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docs.live.net/d6948eb64de24e66/Documents/Dan's Spreadsheets/Cost of Waiting/"/>
    </mc:Choice>
  </mc:AlternateContent>
  <xr:revisionPtr revIDLastSave="0" documentId="8_{4F72FA14-79CE-4158-AC05-20B62A0C119B}" xr6:coauthVersionLast="47" xr6:coauthVersionMax="47" xr10:uidLastSave="{00000000-0000-0000-0000-000000000000}"/>
  <bookViews>
    <workbookView xWindow="-120" yWindow="-120" windowWidth="29040" windowHeight="15720" xr2:uid="{B80606BD-272A-40BF-9F31-2BA8FFB55493}"/>
  </bookViews>
  <sheets>
    <sheet name="Dashboard" sheetId="5" r:id="rId1"/>
    <sheet name="Equity Calculator" sheetId="1" r:id="rId2"/>
    <sheet name="Data" sheetId="2" r:id="rId3"/>
    <sheet name="Loan Schedule High" sheetId="3" r:id="rId4"/>
    <sheet name="Loan Schedule Low" sheetId="4" r:id="rId5"/>
    <sheet name="Notes" sheetId="6" r:id="rId6"/>
  </sheets>
  <externalReferences>
    <externalReference r:id="rId7"/>
  </externalReferences>
  <definedNames>
    <definedName name="ActualNumberOfPayments" localSheetId="3">IFERROR(IF([1]!LoanIsGood,IF([1]!PaymentsPerYear=1,1,MATCH(0.01,'Loan Schedule High'!End_Bal,-1)+1)),"")</definedName>
    <definedName name="ActualNumberOfPayments" localSheetId="4">IFERROR(IF([1]!LoanIsGood,IF([1]!PaymentsPerYear=1,1,MATCH(0.01,'Loan Schedule Low'!End_Bal,-1)+1)),"")</definedName>
    <definedName name="ActualNumberOfPayments">IFERROR(IF(LoanIsGood,IF(PaymentsPerYear=1,1,MATCH(0.01,End_Bal,-1)+1)),"")</definedName>
    <definedName name="AppRate">Dashboard!$C$10</definedName>
    <definedName name="ColumnTitle1" localSheetId="3">PaymentSchedule3[[#Headers],[Payment Number]]</definedName>
    <definedName name="ColumnTitle1" localSheetId="4">PaymentSchedule33[[#Headers],[Payment Number]]</definedName>
    <definedName name="ColumnTitle1">#REF!</definedName>
    <definedName name="CurrentYearlyRent">Dashboard!$C$30</definedName>
    <definedName name="DownPercent">Dashboard!$C$14</definedName>
    <definedName name="End_Bal" localSheetId="3">PaymentSchedule3[Ending
Balance]</definedName>
    <definedName name="End_Bal" localSheetId="4">PaymentSchedule33[Ending
Balance]</definedName>
    <definedName name="End_Bal">#REF!</definedName>
    <definedName name="ExtraPayments" localSheetId="3">'Loan Schedule High'!$E$11</definedName>
    <definedName name="ExtraPayments" localSheetId="4">'Loan Schedule Low'!$E$11</definedName>
    <definedName name="ExtraPayments">#REF!</definedName>
    <definedName name="HiLoanAmount">'Loan Schedule High'!$E$5</definedName>
    <definedName name="HiMtgRate">Dashboard!$C$19</definedName>
    <definedName name="InitLoanAmt">Dashboard!$C$15</definedName>
    <definedName name="InitLoanTerm">Dashboard!$C$16</definedName>
    <definedName name="InterestRate" localSheetId="3">'Loan Schedule High'!$E$6</definedName>
    <definedName name="InterestRate" localSheetId="4">'Loan Schedule Low'!$E$6</definedName>
    <definedName name="LastCol" localSheetId="3">MATCH(REPT("z",255),'Loan Schedule High'!$13:$13)</definedName>
    <definedName name="LastCol" localSheetId="4">MATCH(REPT("z",255),'Loan Schedule Low'!$13:$13)</definedName>
    <definedName name="LastCol">MATCH(REPT("z",255),#REF!)</definedName>
    <definedName name="LastRow" localSheetId="3">MATCH(9.99E+307,'Loan Schedule High'!$B:$B)</definedName>
    <definedName name="LastRow" localSheetId="4">MATCH(9.99E+307,'Loan Schedule Low'!$B:$B)</definedName>
    <definedName name="LastRow">MATCH(9.99E+307,#REF!)</definedName>
    <definedName name="LenderName" localSheetId="3">'Loan Schedule High'!$H$11:$I$11</definedName>
    <definedName name="LenderName" localSheetId="4">'Loan Schedule Low'!$H$11:$I$11</definedName>
    <definedName name="LenderName">#REF!</definedName>
    <definedName name="LoanAmount" localSheetId="3">'Loan Schedule High'!$E$5</definedName>
    <definedName name="LoanAmount" localSheetId="4">'Loan Schedule Low'!$E$5</definedName>
    <definedName name="LoanAmount">#REF!</definedName>
    <definedName name="LoanIsGood" localSheetId="3">('Loan Schedule High'!$E$5*'Loan Schedule High'!$E$6*'Loan Schedule High'!$E$7*'Loan Schedule High'!$E$9)&gt;0</definedName>
    <definedName name="LoanIsGood" localSheetId="4">('Loan Schedule Low'!$E$5*'Loan Schedule Low'!$E$6*'Loan Schedule Low'!$E$7*'Loan Schedule Low'!$E$9)&gt;0</definedName>
    <definedName name="LoanIsGood">(#REF!*#REF!*#REF!*#REF!)&gt;0</definedName>
    <definedName name="LoanPeriod" localSheetId="3">'Loan Schedule High'!$E$7</definedName>
    <definedName name="LoanPeriod" localSheetId="4">'Loan Schedule Low'!$E$7</definedName>
    <definedName name="LoanPeriod">#REF!</definedName>
    <definedName name="LoanStartDate" localSheetId="3">'Loan Schedule High'!$E$9</definedName>
    <definedName name="LoanStartDate" localSheetId="4">'Loan Schedule Low'!$E$9</definedName>
    <definedName name="LoanStartDate">#REF!</definedName>
    <definedName name="LoMtgRate">Dashboard!$C$22</definedName>
    <definedName name="MtgRate">Dashboard!$C$19</definedName>
    <definedName name="PaymentsPerYear" localSheetId="3">'Loan Schedule High'!$E$8</definedName>
    <definedName name="PaymentsPerYear" localSheetId="4">'Loan Schedule Low'!$E$8</definedName>
    <definedName name="PaymentsPerYear">#REF!</definedName>
    <definedName name="_xlnm.Print_Titles" localSheetId="3">'Loan Schedule High'!$13:$13</definedName>
    <definedName name="_xlnm.Print_Titles" localSheetId="4">'Loan Schedule Low'!$13:$13</definedName>
    <definedName name="PrintArea_SET" localSheetId="3">OFFSET('Loan Schedule High'!#REF!,,,'Loan Schedule High'!LastRow,'Loan Schedule High'!LastCol)</definedName>
    <definedName name="PrintArea_SET" localSheetId="4">OFFSET('Loan Schedule Low'!#REF!,,,'Loan Schedule Low'!LastRow,'Loan Schedule Low'!LastCol)</definedName>
    <definedName name="PrintArea_SET">OFFSET(#REF!,,,LastRow,LastCol)</definedName>
    <definedName name="PurchasePrice">Dashboard!$C$9</definedName>
    <definedName name="RentIncrease">Dashboard!$C$31</definedName>
    <definedName name="RowTitleRegion1..E9" localSheetId="3">'Loan Schedule High'!$B$5:$D$5</definedName>
    <definedName name="RowTitleRegion1..E9" localSheetId="4">'Loan Schedule Low'!$B$5:$D$5</definedName>
    <definedName name="RowTitleRegion1..E9">#REF!</definedName>
    <definedName name="RowTitleRegion2..I7" localSheetId="3">'Loan Schedule High'!$G$5:$H$5</definedName>
    <definedName name="RowTitleRegion2..I7" localSheetId="4">'Loan Schedule Low'!$G$5:$H$5</definedName>
    <definedName name="RowTitleRegion2..I7">#REF!</definedName>
    <definedName name="RowTitleRegion3..E9" localSheetId="3">'Loan Schedule High'!$B$11</definedName>
    <definedName name="RowTitleRegion3..E9" localSheetId="4">'Loan Schedule Low'!$B$11</definedName>
    <definedName name="RowTitleRegion3..E9">#REF!</definedName>
    <definedName name="RowTitleRegion4..H9" localSheetId="3">'Loan Schedule High'!$G$11</definedName>
    <definedName name="RowTitleRegion4..H9" localSheetId="4">'Loan Schedule Low'!$G$11</definedName>
    <definedName name="RowTitleRegion4..H9">#REF!</definedName>
    <definedName name="ScheduledNumberOfPayments" localSheetId="3">'Loan Schedule High'!$I$6</definedName>
    <definedName name="ScheduledNumberOfPayments" localSheetId="4">'Loan Schedule Low'!$I$6</definedName>
    <definedName name="ScheduledNumberOfPayments">#REF!</definedName>
    <definedName name="ScheduledPayment" localSheetId="3">'Loan Schedule High'!$I$5</definedName>
    <definedName name="ScheduledPayment" localSheetId="4">'Loan Schedule Low'!$I$5</definedName>
    <definedName name="ScheduledPayment">#REF!</definedName>
    <definedName name="TotalEarlyPayments" localSheetId="3">SUM(PaymentSchedule3[Extra
Payment])</definedName>
    <definedName name="TotalEarlyPayments" localSheetId="4">SUM(PaymentSchedule33[Extra
Payment])</definedName>
    <definedName name="TotalEarlyPayments">SUM(#REF!)</definedName>
    <definedName name="TotalInterest" localSheetId="3">SUM(PaymentSchedule3[Interest])</definedName>
    <definedName name="TotalInterest" localSheetId="4">SUM(PaymentSchedule33[Interest])</definedName>
    <definedName name="TotalInter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M3" i="2"/>
  <c r="P3" i="2"/>
  <c r="C14" i="5" l="1"/>
  <c r="C56" i="5" s="1"/>
  <c r="H59" i="5"/>
  <c r="G59" i="5"/>
  <c r="F59" i="5"/>
  <c r="E59" i="5"/>
  <c r="D59" i="5"/>
  <c r="H6" i="2"/>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3" i="2"/>
  <c r="H4" i="2" s="1"/>
  <c r="I4" i="2" s="1"/>
  <c r="C63" i="5"/>
  <c r="N11" i="5" s="1"/>
  <c r="C59" i="5"/>
  <c r="C55" i="5"/>
  <c r="C58" i="5" s="1"/>
  <c r="E7" i="4"/>
  <c r="E6" i="4"/>
  <c r="C30" i="5"/>
  <c r="G4" i="2" s="1"/>
  <c r="E7" i="3"/>
  <c r="E6" i="3"/>
  <c r="D3" i="2"/>
  <c r="C10" i="1"/>
  <c r="C9" i="1"/>
  <c r="C8" i="1"/>
  <c r="C4" i="1"/>
  <c r="E9" i="4"/>
  <c r="I7" i="4"/>
  <c r="D5" i="2" l="1"/>
  <c r="D55" i="5" s="1"/>
  <c r="D4" i="2"/>
  <c r="O4" i="2" s="1"/>
  <c r="C65" i="5"/>
  <c r="N13" i="5" s="1"/>
  <c r="C15" i="5"/>
  <c r="E5" i="3" s="1"/>
  <c r="C57" i="5"/>
  <c r="E56" i="5"/>
  <c r="F56" i="5"/>
  <c r="G56" i="5"/>
  <c r="H56" i="5"/>
  <c r="D56" i="5"/>
  <c r="G5" i="2"/>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C6" i="1"/>
  <c r="C5" i="1"/>
  <c r="D6" i="2" l="1"/>
  <c r="E55" i="5" s="1"/>
  <c r="E57" i="5" s="1"/>
  <c r="O5" i="2"/>
  <c r="D58" i="5"/>
  <c r="D65" i="5"/>
  <c r="N20" i="5" s="1"/>
  <c r="C7" i="1"/>
  <c r="D57" i="5"/>
  <c r="I5" i="2"/>
  <c r="E65" i="5" l="1"/>
  <c r="N27" i="5" s="1"/>
  <c r="E58" i="5"/>
  <c r="D7" i="2"/>
  <c r="D8" i="2" s="1"/>
  <c r="O6" i="2"/>
  <c r="I6" i="2"/>
  <c r="D63" i="5"/>
  <c r="N18" i="5" s="1"/>
  <c r="F55" i="5" l="1"/>
  <c r="F58" i="5" s="1"/>
  <c r="O7" i="2"/>
  <c r="D9" i="2"/>
  <c r="O8" i="2"/>
  <c r="G55" i="5"/>
  <c r="I7" i="2"/>
  <c r="E63" i="5"/>
  <c r="N25" i="5" s="1"/>
  <c r="F57" i="5" l="1"/>
  <c r="F65" i="5"/>
  <c r="Q13" i="5" s="1"/>
  <c r="G57" i="5"/>
  <c r="G58" i="5"/>
  <c r="G65" i="5"/>
  <c r="Q20" i="5" s="1"/>
  <c r="D10" i="2"/>
  <c r="O9" i="2"/>
  <c r="H55" i="5"/>
  <c r="F63" i="5"/>
  <c r="Q11" i="5" s="1"/>
  <c r="I8" i="2"/>
  <c r="H65" i="5" l="1"/>
  <c r="Q27" i="5" s="1"/>
  <c r="H58" i="5"/>
  <c r="H57" i="5"/>
  <c r="D11" i="2"/>
  <c r="O10" i="2"/>
  <c r="G63" i="5"/>
  <c r="Q18" i="5" s="1"/>
  <c r="I9"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3" i="2"/>
  <c r="E9" i="3"/>
  <c r="D12" i="2" l="1"/>
  <c r="O11" i="2"/>
  <c r="H63" i="5"/>
  <c r="Q25" i="5" s="1"/>
  <c r="I10" i="2"/>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E3" i="2"/>
  <c r="F3" i="2" s="1"/>
  <c r="E5" i="4"/>
  <c r="I6" i="3"/>
  <c r="B373" i="3" s="1"/>
  <c r="D13" i="2" l="1"/>
  <c r="O12" i="2"/>
  <c r="I6" i="4"/>
  <c r="B160" i="4" s="1"/>
  <c r="B369" i="3"/>
  <c r="B364" i="3"/>
  <c r="B372" i="3"/>
  <c r="B368" i="3"/>
  <c r="C373" i="3"/>
  <c r="B294" i="3"/>
  <c r="B365" i="3"/>
  <c r="I5" i="3"/>
  <c r="C20" i="5" s="1"/>
  <c r="B362" i="3"/>
  <c r="B363" i="3"/>
  <c r="B374" i="3"/>
  <c r="L374" i="3" s="1"/>
  <c r="B375" i="3"/>
  <c r="L375" i="3" s="1"/>
  <c r="B366" i="3"/>
  <c r="B367" i="3"/>
  <c r="B370" i="3"/>
  <c r="B371" i="3"/>
  <c r="B361" i="3"/>
  <c r="B150" i="3"/>
  <c r="B278" i="3"/>
  <c r="B242" i="3"/>
  <c r="B334" i="3"/>
  <c r="B290" i="3"/>
  <c r="B206" i="3"/>
  <c r="B298" i="3"/>
  <c r="B338" i="3"/>
  <c r="B262" i="3"/>
  <c r="B250" i="3"/>
  <c r="B271" i="3"/>
  <c r="B143" i="3"/>
  <c r="B342" i="3"/>
  <c r="B270" i="3"/>
  <c r="B230" i="3"/>
  <c r="B222" i="3"/>
  <c r="B327" i="3"/>
  <c r="B199" i="3"/>
  <c r="B71" i="3"/>
  <c r="B38" i="3"/>
  <c r="B245" i="3"/>
  <c r="B117" i="3"/>
  <c r="B324" i="3"/>
  <c r="B196" i="3"/>
  <c r="B275" i="3"/>
  <c r="B310" i="3"/>
  <c r="B274" i="3"/>
  <c r="B238" i="3"/>
  <c r="B202" i="3"/>
  <c r="B198" i="3"/>
  <c r="B194" i="3"/>
  <c r="B190" i="3"/>
  <c r="B186" i="3"/>
  <c r="B319" i="3"/>
  <c r="B255" i="3"/>
  <c r="B191" i="3"/>
  <c r="B127" i="3"/>
  <c r="B63" i="3"/>
  <c r="B94" i="3"/>
  <c r="B30" i="3"/>
  <c r="B301" i="3"/>
  <c r="B237" i="3"/>
  <c r="B173" i="3"/>
  <c r="B109" i="3"/>
  <c r="B45" i="3"/>
  <c r="B316" i="3"/>
  <c r="B252" i="3"/>
  <c r="B188" i="3"/>
  <c r="B124" i="3"/>
  <c r="B60" i="3"/>
  <c r="B331" i="3"/>
  <c r="B267" i="3"/>
  <c r="B203" i="3"/>
  <c r="B139" i="3"/>
  <c r="B75" i="3"/>
  <c r="B106" i="3"/>
  <c r="B42" i="3"/>
  <c r="B313" i="3"/>
  <c r="B249" i="3"/>
  <c r="B185" i="3"/>
  <c r="B121" i="3"/>
  <c r="B57" i="3"/>
  <c r="B336" i="3"/>
  <c r="B272" i="3"/>
  <c r="B208" i="3"/>
  <c r="B144" i="3"/>
  <c r="B80" i="3"/>
  <c r="B158" i="3"/>
  <c r="B154" i="3"/>
  <c r="B311" i="3"/>
  <c r="B247" i="3"/>
  <c r="B183" i="3"/>
  <c r="B119" i="3"/>
  <c r="B55" i="3"/>
  <c r="B86" i="3"/>
  <c r="B357" i="3"/>
  <c r="B293" i="3"/>
  <c r="B229" i="3"/>
  <c r="B165" i="3"/>
  <c r="B101" i="3"/>
  <c r="B37" i="3"/>
  <c r="B308" i="3"/>
  <c r="B244" i="3"/>
  <c r="B180" i="3"/>
  <c r="B116" i="3"/>
  <c r="B52" i="3"/>
  <c r="B323" i="3"/>
  <c r="B259" i="3"/>
  <c r="B195" i="3"/>
  <c r="B131" i="3"/>
  <c r="B67" i="3"/>
  <c r="B98" i="3"/>
  <c r="B34" i="3"/>
  <c r="B305" i="3"/>
  <c r="B241" i="3"/>
  <c r="B177" i="3"/>
  <c r="B113" i="3"/>
  <c r="B49" i="3"/>
  <c r="B328" i="3"/>
  <c r="B264" i="3"/>
  <c r="B200" i="3"/>
  <c r="B136" i="3"/>
  <c r="B72" i="3"/>
  <c r="B170" i="3"/>
  <c r="B174" i="3"/>
  <c r="B130" i="3"/>
  <c r="B126" i="3"/>
  <c r="B303" i="3"/>
  <c r="B175" i="3"/>
  <c r="B47" i="3"/>
  <c r="B78" i="3"/>
  <c r="B349" i="3"/>
  <c r="B285" i="3"/>
  <c r="B221" i="3"/>
  <c r="B157" i="3"/>
  <c r="B93" i="3"/>
  <c r="B29" i="3"/>
  <c r="B300" i="3"/>
  <c r="B236" i="3"/>
  <c r="B172" i="3"/>
  <c r="B108" i="3"/>
  <c r="B44" i="3"/>
  <c r="B315" i="3"/>
  <c r="B251" i="3"/>
  <c r="B187" i="3"/>
  <c r="B123" i="3"/>
  <c r="B59" i="3"/>
  <c r="B90" i="3"/>
  <c r="B26" i="3"/>
  <c r="B297" i="3"/>
  <c r="B233" i="3"/>
  <c r="B169" i="3"/>
  <c r="B105" i="3"/>
  <c r="B41" i="3"/>
  <c r="B320" i="3"/>
  <c r="B256" i="3"/>
  <c r="B192" i="3"/>
  <c r="B128" i="3"/>
  <c r="B64" i="3"/>
  <c r="B166" i="3"/>
  <c r="B246" i="3"/>
  <c r="B138" i="3"/>
  <c r="B214" i="3"/>
  <c r="B358" i="3"/>
  <c r="B350" i="3"/>
  <c r="B359" i="3"/>
  <c r="B231" i="3"/>
  <c r="B103" i="3"/>
  <c r="B70" i="3"/>
  <c r="B277" i="3"/>
  <c r="B149" i="3"/>
  <c r="B356" i="3"/>
  <c r="B228" i="3"/>
  <c r="B100" i="3"/>
  <c r="B307" i="3"/>
  <c r="B243" i="3"/>
  <c r="B115" i="3"/>
  <c r="B51" i="3"/>
  <c r="B82" i="3"/>
  <c r="B353" i="3"/>
  <c r="B289" i="3"/>
  <c r="B225" i="3"/>
  <c r="B161" i="3"/>
  <c r="B97" i="3"/>
  <c r="B33" i="3"/>
  <c r="B312" i="3"/>
  <c r="B248" i="3"/>
  <c r="B184" i="3"/>
  <c r="B120" i="3"/>
  <c r="B56" i="3"/>
  <c r="B162" i="3"/>
  <c r="B210" i="3"/>
  <c r="B134" i="3"/>
  <c r="B122" i="3"/>
  <c r="B239" i="3"/>
  <c r="B111" i="3"/>
  <c r="B178" i="3"/>
  <c r="B142" i="3"/>
  <c r="B354" i="3"/>
  <c r="B346" i="3"/>
  <c r="B295" i="3"/>
  <c r="B167" i="3"/>
  <c r="B39" i="3"/>
  <c r="B341" i="3"/>
  <c r="B213" i="3"/>
  <c r="B85" i="3"/>
  <c r="B292" i="3"/>
  <c r="B164" i="3"/>
  <c r="B36" i="3"/>
  <c r="B179" i="3"/>
  <c r="B182" i="3"/>
  <c r="B146" i="3"/>
  <c r="B330" i="3"/>
  <c r="B326" i="3"/>
  <c r="B322" i="3"/>
  <c r="B318" i="3"/>
  <c r="B314" i="3"/>
  <c r="B351" i="3"/>
  <c r="B287" i="3"/>
  <c r="B223" i="3"/>
  <c r="B159" i="3"/>
  <c r="B95" i="3"/>
  <c r="B31" i="3"/>
  <c r="B62" i="3"/>
  <c r="B333" i="3"/>
  <c r="B269" i="3"/>
  <c r="B205" i="3"/>
  <c r="B141" i="3"/>
  <c r="B77" i="3"/>
  <c r="B348" i="3"/>
  <c r="B284" i="3"/>
  <c r="B220" i="3"/>
  <c r="B156" i="3"/>
  <c r="B92" i="3"/>
  <c r="B28" i="3"/>
  <c r="B299" i="3"/>
  <c r="B235" i="3"/>
  <c r="B171" i="3"/>
  <c r="B107" i="3"/>
  <c r="B43" i="3"/>
  <c r="B74" i="3"/>
  <c r="B345" i="3"/>
  <c r="B281" i="3"/>
  <c r="B217" i="3"/>
  <c r="B153" i="3"/>
  <c r="B89" i="3"/>
  <c r="B25" i="3"/>
  <c r="B304" i="3"/>
  <c r="B240" i="3"/>
  <c r="B176" i="3"/>
  <c r="B112" i="3"/>
  <c r="B48" i="3"/>
  <c r="B286" i="3"/>
  <c r="B282" i="3"/>
  <c r="B343" i="3"/>
  <c r="B279" i="3"/>
  <c r="B215" i="3"/>
  <c r="B151" i="3"/>
  <c r="B87" i="3"/>
  <c r="B118" i="3"/>
  <c r="B54" i="3"/>
  <c r="B325" i="3"/>
  <c r="B261" i="3"/>
  <c r="B197" i="3"/>
  <c r="B133" i="3"/>
  <c r="B69" i="3"/>
  <c r="B340" i="3"/>
  <c r="B276" i="3"/>
  <c r="B212" i="3"/>
  <c r="B148" i="3"/>
  <c r="B84" i="3"/>
  <c r="B355" i="3"/>
  <c r="B291" i="3"/>
  <c r="B227" i="3"/>
  <c r="B163" i="3"/>
  <c r="B99" i="3"/>
  <c r="B35" i="3"/>
  <c r="B66" i="3"/>
  <c r="B337" i="3"/>
  <c r="B273" i="3"/>
  <c r="B209" i="3"/>
  <c r="B145" i="3"/>
  <c r="B81" i="3"/>
  <c r="B360" i="3"/>
  <c r="B296" i="3"/>
  <c r="B232" i="3"/>
  <c r="B168" i="3"/>
  <c r="B104" i="3"/>
  <c r="B40" i="3"/>
  <c r="B266" i="3"/>
  <c r="B258" i="3"/>
  <c r="B335" i="3"/>
  <c r="B207" i="3"/>
  <c r="B79" i="3"/>
  <c r="B110" i="3"/>
  <c r="B46" i="3"/>
  <c r="B317" i="3"/>
  <c r="B253" i="3"/>
  <c r="B189" i="3"/>
  <c r="B125" i="3"/>
  <c r="B61" i="3"/>
  <c r="B332" i="3"/>
  <c r="B268" i="3"/>
  <c r="B204" i="3"/>
  <c r="B140" i="3"/>
  <c r="B76" i="3"/>
  <c r="B347" i="3"/>
  <c r="B283" i="3"/>
  <c r="B219" i="3"/>
  <c r="B155" i="3"/>
  <c r="B91" i="3"/>
  <c r="B27" i="3"/>
  <c r="B58" i="3"/>
  <c r="B329" i="3"/>
  <c r="B265" i="3"/>
  <c r="B201" i="3"/>
  <c r="B137" i="3"/>
  <c r="B73" i="3"/>
  <c r="B352" i="3"/>
  <c r="B288" i="3"/>
  <c r="B224" i="3"/>
  <c r="B160" i="3"/>
  <c r="B96" i="3"/>
  <c r="B32" i="3"/>
  <c r="B302" i="3"/>
  <c r="B254" i="3"/>
  <c r="B306" i="3"/>
  <c r="B234" i="3"/>
  <c r="B226" i="3"/>
  <c r="B218" i="3"/>
  <c r="B263" i="3"/>
  <c r="B135" i="3"/>
  <c r="B102" i="3"/>
  <c r="B309" i="3"/>
  <c r="B181" i="3"/>
  <c r="B53" i="3"/>
  <c r="B260" i="3"/>
  <c r="B132" i="3"/>
  <c r="B68" i="3"/>
  <c r="B339" i="3"/>
  <c r="B211" i="3"/>
  <c r="B147" i="3"/>
  <c r="B83" i="3"/>
  <c r="B114" i="3"/>
  <c r="B50" i="3"/>
  <c r="B321" i="3"/>
  <c r="B257" i="3"/>
  <c r="B193" i="3"/>
  <c r="B129" i="3"/>
  <c r="B65" i="3"/>
  <c r="B344" i="3"/>
  <c r="B280" i="3"/>
  <c r="B216" i="3"/>
  <c r="B152" i="3"/>
  <c r="B88" i="3"/>
  <c r="B24" i="3"/>
  <c r="B21" i="3"/>
  <c r="B17" i="3"/>
  <c r="B23" i="3"/>
  <c r="B15" i="3"/>
  <c r="B16" i="3"/>
  <c r="B20" i="3"/>
  <c r="B19" i="3"/>
  <c r="B14" i="3"/>
  <c r="B18" i="3"/>
  <c r="B22" i="3"/>
  <c r="D14" i="2" l="1"/>
  <c r="O13" i="2"/>
  <c r="C21" i="5"/>
  <c r="B227" i="4"/>
  <c r="B42" i="4"/>
  <c r="B222" i="4"/>
  <c r="B251" i="4"/>
  <c r="B100" i="4"/>
  <c r="B184" i="4"/>
  <c r="B311" i="4"/>
  <c r="B188" i="4"/>
  <c r="B281" i="4"/>
  <c r="B146" i="4"/>
  <c r="B150" i="4"/>
  <c r="B181" i="4"/>
  <c r="B220" i="4"/>
  <c r="B221" i="4"/>
  <c r="B97" i="4"/>
  <c r="B208" i="4"/>
  <c r="B45" i="4"/>
  <c r="B153" i="4"/>
  <c r="B58" i="4"/>
  <c r="B22" i="4"/>
  <c r="B290" i="4"/>
  <c r="B240" i="4"/>
  <c r="B92" i="4"/>
  <c r="B25" i="4"/>
  <c r="B238" i="4"/>
  <c r="B120" i="4"/>
  <c r="B118" i="4"/>
  <c r="B259" i="4"/>
  <c r="B137" i="4"/>
  <c r="B256" i="4"/>
  <c r="B205" i="4"/>
  <c r="B193" i="4"/>
  <c r="B291" i="4"/>
  <c r="B82" i="4"/>
  <c r="B195" i="4"/>
  <c r="B93" i="4"/>
  <c r="B180" i="4"/>
  <c r="B233" i="4"/>
  <c r="B334" i="4"/>
  <c r="B202" i="4"/>
  <c r="B320" i="4"/>
  <c r="B225" i="4"/>
  <c r="B96" i="4"/>
  <c r="B43" i="4"/>
  <c r="B47" i="4"/>
  <c r="B255" i="4"/>
  <c r="B375" i="4"/>
  <c r="B50" i="4"/>
  <c r="B67" i="4"/>
  <c r="B245" i="4"/>
  <c r="B248" i="4"/>
  <c r="B163" i="4"/>
  <c r="B310" i="4"/>
  <c r="B115" i="4"/>
  <c r="B62" i="4"/>
  <c r="B35" i="4"/>
  <c r="B191" i="4"/>
  <c r="B86" i="4"/>
  <c r="B84" i="4"/>
  <c r="B200" i="4"/>
  <c r="B250" i="4"/>
  <c r="B121" i="4"/>
  <c r="B328" i="4"/>
  <c r="B125" i="4"/>
  <c r="B114" i="4"/>
  <c r="B361" i="4"/>
  <c r="B144" i="4"/>
  <c r="B119" i="4"/>
  <c r="B54" i="4"/>
  <c r="B283" i="4"/>
  <c r="B186" i="4"/>
  <c r="B152" i="4"/>
  <c r="B113" i="4"/>
  <c r="B223" i="4"/>
  <c r="B159" i="4"/>
  <c r="B347" i="4"/>
  <c r="B185" i="4"/>
  <c r="B111" i="4"/>
  <c r="B32" i="4"/>
  <c r="B226" i="4"/>
  <c r="B192" i="4"/>
  <c r="B117" i="4"/>
  <c r="B372" i="4"/>
  <c r="B151" i="4"/>
  <c r="B187" i="4"/>
  <c r="B78" i="4"/>
  <c r="B260" i="4"/>
  <c r="B198" i="4"/>
  <c r="B356" i="4"/>
  <c r="B239" i="4"/>
  <c r="B89" i="4"/>
  <c r="B359" i="4"/>
  <c r="B75" i="4"/>
  <c r="B237" i="4"/>
  <c r="B39" i="4"/>
  <c r="B147" i="4"/>
  <c r="B109" i="4"/>
  <c r="B73" i="4"/>
  <c r="B161" i="4"/>
  <c r="B46" i="4"/>
  <c r="B266" i="4"/>
  <c r="B258" i="4"/>
  <c r="B20" i="4"/>
  <c r="B349" i="4"/>
  <c r="B263" i="4"/>
  <c r="B279" i="4"/>
  <c r="B314" i="4"/>
  <c r="B21" i="4"/>
  <c r="B216" i="4"/>
  <c r="B142" i="4"/>
  <c r="B269" i="4"/>
  <c r="B234" i="4"/>
  <c r="B143" i="4"/>
  <c r="B145" i="4"/>
  <c r="B304" i="4"/>
  <c r="B293" i="4"/>
  <c r="B94" i="4"/>
  <c r="B203" i="4"/>
  <c r="B302" i="4"/>
  <c r="B298" i="4"/>
  <c r="B318" i="4"/>
  <c r="B332" i="4"/>
  <c r="B206" i="4"/>
  <c r="B148" i="4"/>
  <c r="B285" i="4"/>
  <c r="B219" i="4"/>
  <c r="B197" i="4"/>
  <c r="B110" i="4"/>
  <c r="B329" i="4"/>
  <c r="B31" i="4"/>
  <c r="B126" i="4"/>
  <c r="B235" i="4"/>
  <c r="B341" i="4"/>
  <c r="B246" i="4"/>
  <c r="I5" i="4"/>
  <c r="B158" i="4"/>
  <c r="B350" i="4"/>
  <c r="B14" i="4"/>
  <c r="B228" i="4"/>
  <c r="B265" i="4"/>
  <c r="B141" i="4"/>
  <c r="B300" i="4"/>
  <c r="B105" i="4"/>
  <c r="B189" i="4"/>
  <c r="B194" i="4"/>
  <c r="B38" i="4"/>
  <c r="B166" i="4"/>
  <c r="B274" i="4"/>
  <c r="B63" i="4"/>
  <c r="B342" i="4"/>
  <c r="B135" i="4"/>
  <c r="B16" i="4"/>
  <c r="B272" i="4"/>
  <c r="B366" i="4"/>
  <c r="B90" i="4"/>
  <c r="B367" i="4"/>
  <c r="B19" i="4"/>
  <c r="B217" i="4"/>
  <c r="B168" i="4"/>
  <c r="B103" i="4"/>
  <c r="B128" i="4"/>
  <c r="B319" i="4"/>
  <c r="B108" i="4"/>
  <c r="B69" i="4"/>
  <c r="B190" i="4"/>
  <c r="B140" i="4"/>
  <c r="B104" i="4"/>
  <c r="B138" i="4"/>
  <c r="B154" i="4"/>
  <c r="B267" i="4"/>
  <c r="B297" i="4"/>
  <c r="B33" i="4"/>
  <c r="B174" i="4"/>
  <c r="B130" i="4"/>
  <c r="B102" i="4"/>
  <c r="B157" i="4"/>
  <c r="B26" i="4"/>
  <c r="B172" i="4"/>
  <c r="B169" i="4"/>
  <c r="B249" i="4"/>
  <c r="B363" i="4"/>
  <c r="B52" i="4"/>
  <c r="B339" i="4"/>
  <c r="B336" i="4"/>
  <c r="B344" i="4"/>
  <c r="B254" i="4"/>
  <c r="B316" i="4"/>
  <c r="B229" i="4"/>
  <c r="B127" i="4"/>
  <c r="B171" i="4"/>
  <c r="B284" i="4"/>
  <c r="B373" i="4"/>
  <c r="B242" i="4"/>
  <c r="B71" i="4"/>
  <c r="B48" i="4"/>
  <c r="B273" i="4"/>
  <c r="B323" i="4"/>
  <c r="B353" i="4"/>
  <c r="B199" i="4"/>
  <c r="B309" i="4"/>
  <c r="B98" i="4"/>
  <c r="B371" i="4"/>
  <c r="B70" i="4"/>
  <c r="B243" i="4"/>
  <c r="B44" i="4"/>
  <c r="B209" i="4"/>
  <c r="B124" i="4"/>
  <c r="B247" i="4"/>
  <c r="B131" i="4"/>
  <c r="B61" i="4"/>
  <c r="B213" i="4"/>
  <c r="B340" i="4"/>
  <c r="B167" i="4"/>
  <c r="B271" i="4"/>
  <c r="B299" i="4"/>
  <c r="B355" i="4"/>
  <c r="B277" i="4"/>
  <c r="B270" i="4"/>
  <c r="B116" i="4"/>
  <c r="B175" i="4"/>
  <c r="B23" i="4"/>
  <c r="B136" i="4"/>
  <c r="B278" i="4"/>
  <c r="B374" i="4"/>
  <c r="B301" i="4"/>
  <c r="B107" i="4"/>
  <c r="B335" i="4"/>
  <c r="B346" i="4"/>
  <c r="B122" i="4"/>
  <c r="B224" i="4"/>
  <c r="B18" i="4"/>
  <c r="B253" i="4"/>
  <c r="B30" i="4"/>
  <c r="B196" i="4"/>
  <c r="B68" i="4"/>
  <c r="B27" i="4"/>
  <c r="B29" i="4"/>
  <c r="B170" i="4"/>
  <c r="B77" i="4"/>
  <c r="B287" i="4"/>
  <c r="B317" i="4"/>
  <c r="B112" i="4"/>
  <c r="B37" i="4"/>
  <c r="B165" i="4"/>
  <c r="B313" i="4"/>
  <c r="B210" i="4"/>
  <c r="B156" i="4"/>
  <c r="B275" i="4"/>
  <c r="B321" i="4"/>
  <c r="B268" i="4"/>
  <c r="B231" i="4"/>
  <c r="B56" i="4"/>
  <c r="B132" i="4"/>
  <c r="B306" i="4"/>
  <c r="B87" i="4"/>
  <c r="B173" i="4"/>
  <c r="B257" i="4"/>
  <c r="B322" i="4"/>
  <c r="B262" i="4"/>
  <c r="B81" i="4"/>
  <c r="B295" i="4"/>
  <c r="B91" i="4"/>
  <c r="B133" i="4"/>
  <c r="B177" i="4"/>
  <c r="B261" i="4"/>
  <c r="B358" i="4"/>
  <c r="B53" i="4"/>
  <c r="B292" i="4"/>
  <c r="B57" i="4"/>
  <c r="B280" i="4"/>
  <c r="B34" i="4"/>
  <c r="B307" i="4"/>
  <c r="B88" i="4"/>
  <c r="B74" i="4"/>
  <c r="B201" i="4"/>
  <c r="B368" i="4"/>
  <c r="B17" i="4"/>
  <c r="B149" i="4"/>
  <c r="B337" i="4"/>
  <c r="B164" i="4"/>
  <c r="B244" i="4"/>
  <c r="B59" i="4"/>
  <c r="B178" i="4"/>
  <c r="B179" i="4"/>
  <c r="B305" i="4"/>
  <c r="B80" i="4"/>
  <c r="B348" i="4"/>
  <c r="B176" i="4"/>
  <c r="B364" i="4"/>
  <c r="B214" i="4"/>
  <c r="B182" i="4"/>
  <c r="B215" i="4"/>
  <c r="B343" i="4"/>
  <c r="B40" i="4"/>
  <c r="B134" i="4"/>
  <c r="B162" i="4"/>
  <c r="B315" i="4"/>
  <c r="B324" i="4"/>
  <c r="B66" i="4"/>
  <c r="B236" i="4"/>
  <c r="B24" i="4"/>
  <c r="B230" i="4"/>
  <c r="B288" i="4"/>
  <c r="B76" i="4"/>
  <c r="B79" i="4"/>
  <c r="B139" i="4"/>
  <c r="B183" i="4"/>
  <c r="B296" i="4"/>
  <c r="B326" i="4"/>
  <c r="B129" i="4"/>
  <c r="B155" i="4"/>
  <c r="B211" i="4"/>
  <c r="B351" i="4"/>
  <c r="B354" i="4"/>
  <c r="B123" i="4"/>
  <c r="B369" i="4"/>
  <c r="B95" i="4"/>
  <c r="B207" i="4"/>
  <c r="B345" i="4"/>
  <c r="B51" i="4"/>
  <c r="B106" i="4"/>
  <c r="B212" i="4"/>
  <c r="B252" i="4"/>
  <c r="B282" i="4"/>
  <c r="B65" i="4"/>
  <c r="B99" i="4"/>
  <c r="B360" i="4"/>
  <c r="B286" i="4"/>
  <c r="B352" i="4"/>
  <c r="B325" i="4"/>
  <c r="B357" i="4"/>
  <c r="B330" i="4"/>
  <c r="B362" i="4"/>
  <c r="B101" i="4"/>
  <c r="B49" i="4"/>
  <c r="B83" i="4"/>
  <c r="E373" i="3"/>
  <c r="C290" i="3"/>
  <c r="C294" i="3"/>
  <c r="C16" i="3"/>
  <c r="C23" i="3"/>
  <c r="C242" i="3"/>
  <c r="C368" i="3"/>
  <c r="C372" i="3"/>
  <c r="C150" i="3"/>
  <c r="C364" i="3"/>
  <c r="C17" i="3"/>
  <c r="C369" i="3"/>
  <c r="C298" i="3"/>
  <c r="C20" i="3"/>
  <c r="C206" i="3"/>
  <c r="B64" i="4"/>
  <c r="B36" i="4"/>
  <c r="B72" i="4"/>
  <c r="B308" i="4"/>
  <c r="B232" i="4"/>
  <c r="B264" i="4"/>
  <c r="B241" i="4"/>
  <c r="B303" i="4"/>
  <c r="B276" i="4"/>
  <c r="B312" i="4"/>
  <c r="B289" i="4"/>
  <c r="B327" i="4"/>
  <c r="B331" i="4"/>
  <c r="B294" i="4"/>
  <c r="B333" i="4"/>
  <c r="B365" i="4"/>
  <c r="B338" i="4"/>
  <c r="B85" i="4"/>
  <c r="B370" i="4"/>
  <c r="B41" i="4"/>
  <c r="B204" i="4"/>
  <c r="B218" i="4"/>
  <c r="B60" i="4"/>
  <c r="B28" i="4"/>
  <c r="C160" i="4"/>
  <c r="B55" i="4"/>
  <c r="B15" i="4"/>
  <c r="E38" i="2"/>
  <c r="E35" i="2"/>
  <c r="E39" i="2"/>
  <c r="E37" i="2"/>
  <c r="E36" i="2"/>
  <c r="E15" i="3"/>
  <c r="E21" i="3"/>
  <c r="E298" i="3"/>
  <c r="E278" i="3"/>
  <c r="E334" i="3"/>
  <c r="E294" i="3"/>
  <c r="C278" i="3"/>
  <c r="E290" i="3"/>
  <c r="C334" i="3"/>
  <c r="E242" i="3"/>
  <c r="E372" i="3"/>
  <c r="E150" i="3"/>
  <c r="E364" i="3"/>
  <c r="E206" i="3"/>
  <c r="E369" i="3"/>
  <c r="C371" i="3"/>
  <c r="E371" i="3"/>
  <c r="E370" i="3"/>
  <c r="C370" i="3"/>
  <c r="E367" i="3"/>
  <c r="C367" i="3"/>
  <c r="E366" i="3"/>
  <c r="C366" i="3"/>
  <c r="E365" i="3"/>
  <c r="C365" i="3"/>
  <c r="G375" i="3"/>
  <c r="J375" i="3"/>
  <c r="E375" i="3"/>
  <c r="K375" i="3"/>
  <c r="D375" i="3"/>
  <c r="C375" i="3"/>
  <c r="I375" i="3"/>
  <c r="H375" i="3"/>
  <c r="F375" i="3"/>
  <c r="F374" i="3"/>
  <c r="D374" i="3"/>
  <c r="C374" i="3"/>
  <c r="K374" i="3"/>
  <c r="J374" i="3"/>
  <c r="H374" i="3"/>
  <c r="G374" i="3"/>
  <c r="E374" i="3"/>
  <c r="I374" i="3"/>
  <c r="C363" i="3"/>
  <c r="E363" i="3"/>
  <c r="E361" i="3"/>
  <c r="C361" i="3"/>
  <c r="E362" i="3"/>
  <c r="C362" i="3"/>
  <c r="E368" i="3"/>
  <c r="E129" i="3"/>
  <c r="C129" i="3"/>
  <c r="C24" i="3"/>
  <c r="E24" i="3"/>
  <c r="C339" i="3"/>
  <c r="E339" i="3"/>
  <c r="C219" i="3"/>
  <c r="E219" i="3"/>
  <c r="C207" i="3"/>
  <c r="E207" i="3"/>
  <c r="C212" i="3"/>
  <c r="E212" i="3"/>
  <c r="C88" i="3"/>
  <c r="E88" i="3"/>
  <c r="E257" i="3"/>
  <c r="C257" i="3"/>
  <c r="C68" i="3"/>
  <c r="E68" i="3"/>
  <c r="E263" i="3"/>
  <c r="C263" i="3"/>
  <c r="C32" i="3"/>
  <c r="E32" i="3"/>
  <c r="C201" i="3"/>
  <c r="E201" i="3"/>
  <c r="C283" i="3"/>
  <c r="E283" i="3"/>
  <c r="C125" i="3"/>
  <c r="E125" i="3"/>
  <c r="C335" i="3"/>
  <c r="E335" i="3"/>
  <c r="C360" i="3"/>
  <c r="E360" i="3"/>
  <c r="C99" i="3"/>
  <c r="E99" i="3"/>
  <c r="C276" i="3"/>
  <c r="E276" i="3"/>
  <c r="C118" i="3"/>
  <c r="E118" i="3"/>
  <c r="C153" i="3"/>
  <c r="E153" i="3"/>
  <c r="C235" i="3"/>
  <c r="E235" i="3"/>
  <c r="C77" i="3"/>
  <c r="E77" i="3"/>
  <c r="C159" i="3"/>
  <c r="E159" i="3"/>
  <c r="C330" i="3"/>
  <c r="E330" i="3"/>
  <c r="C213" i="3"/>
  <c r="E213" i="3"/>
  <c r="C178" i="3"/>
  <c r="E178" i="3"/>
  <c r="C56" i="3"/>
  <c r="E56" i="3"/>
  <c r="E225" i="3"/>
  <c r="C225" i="3"/>
  <c r="C100" i="3"/>
  <c r="E100" i="3"/>
  <c r="E359" i="3"/>
  <c r="C359" i="3"/>
  <c r="C64" i="3"/>
  <c r="E64" i="3"/>
  <c r="C233" i="3"/>
  <c r="E233" i="3"/>
  <c r="C315" i="3"/>
  <c r="E315" i="3"/>
  <c r="C157" i="3"/>
  <c r="E157" i="3"/>
  <c r="C126" i="3"/>
  <c r="E126" i="3"/>
  <c r="C264" i="3"/>
  <c r="E264" i="3"/>
  <c r="C98" i="3"/>
  <c r="E98" i="3"/>
  <c r="C180" i="3"/>
  <c r="E180" i="3"/>
  <c r="C357" i="3"/>
  <c r="E357" i="3"/>
  <c r="C158" i="3"/>
  <c r="E158" i="3"/>
  <c r="C121" i="3"/>
  <c r="E121" i="3"/>
  <c r="C203" i="3"/>
  <c r="E203" i="3"/>
  <c r="C45" i="3"/>
  <c r="E45" i="3"/>
  <c r="C127" i="3"/>
  <c r="E127" i="3"/>
  <c r="C202" i="3"/>
  <c r="E202" i="3"/>
  <c r="C245" i="3"/>
  <c r="E245" i="3"/>
  <c r="C342" i="3"/>
  <c r="E342" i="3"/>
  <c r="E321" i="3"/>
  <c r="C321" i="3"/>
  <c r="C132" i="3"/>
  <c r="E132" i="3"/>
  <c r="C218" i="3"/>
  <c r="E218" i="3"/>
  <c r="C96" i="3"/>
  <c r="E96" i="3"/>
  <c r="C265" i="3"/>
  <c r="E265" i="3"/>
  <c r="C347" i="3"/>
  <c r="E347" i="3"/>
  <c r="C189" i="3"/>
  <c r="E189" i="3"/>
  <c r="C258" i="3"/>
  <c r="E258" i="3"/>
  <c r="C81" i="3"/>
  <c r="E81" i="3"/>
  <c r="C163" i="3"/>
  <c r="E163" i="3"/>
  <c r="C340" i="3"/>
  <c r="E340" i="3"/>
  <c r="C87" i="3"/>
  <c r="E87" i="3"/>
  <c r="C48" i="3"/>
  <c r="E48" i="3"/>
  <c r="E217" i="3"/>
  <c r="C217" i="3"/>
  <c r="C299" i="3"/>
  <c r="E299" i="3"/>
  <c r="C141" i="3"/>
  <c r="E141" i="3"/>
  <c r="C223" i="3"/>
  <c r="E223" i="3"/>
  <c r="C146" i="3"/>
  <c r="E146" i="3"/>
  <c r="C341" i="3"/>
  <c r="E341" i="3"/>
  <c r="C111" i="3"/>
  <c r="E111" i="3"/>
  <c r="C120" i="3"/>
  <c r="E120" i="3"/>
  <c r="E289" i="3"/>
  <c r="C289" i="3"/>
  <c r="C228" i="3"/>
  <c r="E228" i="3"/>
  <c r="C350" i="3"/>
  <c r="E350" i="3"/>
  <c r="C128" i="3"/>
  <c r="E128" i="3"/>
  <c r="C297" i="3"/>
  <c r="E297" i="3"/>
  <c r="C44" i="3"/>
  <c r="E44" i="3"/>
  <c r="C221" i="3"/>
  <c r="E221" i="3"/>
  <c r="C130" i="3"/>
  <c r="E130" i="3"/>
  <c r="C328" i="3"/>
  <c r="E328" i="3"/>
  <c r="C67" i="3"/>
  <c r="E67" i="3"/>
  <c r="C244" i="3"/>
  <c r="E244" i="3"/>
  <c r="C86" i="3"/>
  <c r="E86" i="3"/>
  <c r="C185" i="3"/>
  <c r="E185" i="3"/>
  <c r="C267" i="3"/>
  <c r="E267" i="3"/>
  <c r="C109" i="3"/>
  <c r="E109" i="3"/>
  <c r="C191" i="3"/>
  <c r="E191" i="3"/>
  <c r="C238" i="3"/>
  <c r="E238" i="3"/>
  <c r="C38" i="3"/>
  <c r="E38" i="3"/>
  <c r="C143" i="3"/>
  <c r="E143" i="3"/>
  <c r="C216" i="3"/>
  <c r="E216" i="3"/>
  <c r="C50" i="3"/>
  <c r="E50" i="3"/>
  <c r="C260" i="3"/>
  <c r="E260" i="3"/>
  <c r="C226" i="3"/>
  <c r="E226" i="3"/>
  <c r="C160" i="3"/>
  <c r="E160" i="3"/>
  <c r="C329" i="3"/>
  <c r="E329" i="3"/>
  <c r="C76" i="3"/>
  <c r="E76" i="3"/>
  <c r="C253" i="3"/>
  <c r="E253" i="3"/>
  <c r="C266" i="3"/>
  <c r="E266" i="3"/>
  <c r="E145" i="3"/>
  <c r="C145" i="3"/>
  <c r="C227" i="3"/>
  <c r="E227" i="3"/>
  <c r="C69" i="3"/>
  <c r="E69" i="3"/>
  <c r="C151" i="3"/>
  <c r="E151" i="3"/>
  <c r="C112" i="3"/>
  <c r="E112" i="3"/>
  <c r="E281" i="3"/>
  <c r="C281" i="3"/>
  <c r="C28" i="3"/>
  <c r="E28" i="3"/>
  <c r="C205" i="3"/>
  <c r="E205" i="3"/>
  <c r="C287" i="3"/>
  <c r="E287" i="3"/>
  <c r="C182" i="3"/>
  <c r="E182" i="3"/>
  <c r="C39" i="3"/>
  <c r="E39" i="3"/>
  <c r="C239" i="3"/>
  <c r="E239" i="3"/>
  <c r="C184" i="3"/>
  <c r="E184" i="3"/>
  <c r="E353" i="3"/>
  <c r="C353" i="3"/>
  <c r="C356" i="3"/>
  <c r="E356" i="3"/>
  <c r="C358" i="3"/>
  <c r="E358" i="3"/>
  <c r="C192" i="3"/>
  <c r="E192" i="3"/>
  <c r="C26" i="3"/>
  <c r="E26" i="3"/>
  <c r="C108" i="3"/>
  <c r="E108" i="3"/>
  <c r="C285" i="3"/>
  <c r="E285" i="3"/>
  <c r="C174" i="3"/>
  <c r="E174" i="3"/>
  <c r="C49" i="3"/>
  <c r="E49" i="3"/>
  <c r="C131" i="3"/>
  <c r="E131" i="3"/>
  <c r="C308" i="3"/>
  <c r="E308" i="3"/>
  <c r="C55" i="3"/>
  <c r="E55" i="3"/>
  <c r="C80" i="3"/>
  <c r="E80" i="3"/>
  <c r="E249" i="3"/>
  <c r="C249" i="3"/>
  <c r="C331" i="3"/>
  <c r="E331" i="3"/>
  <c r="C173" i="3"/>
  <c r="E173" i="3"/>
  <c r="C255" i="3"/>
  <c r="E255" i="3"/>
  <c r="C274" i="3"/>
  <c r="E274" i="3"/>
  <c r="C71" i="3"/>
  <c r="E71" i="3"/>
  <c r="C271" i="3"/>
  <c r="E271" i="3"/>
  <c r="C280" i="3"/>
  <c r="E280" i="3"/>
  <c r="C53" i="3"/>
  <c r="E53" i="3"/>
  <c r="C58" i="3"/>
  <c r="E58" i="3"/>
  <c r="C317" i="3"/>
  <c r="E317" i="3"/>
  <c r="C209" i="3"/>
  <c r="E209" i="3"/>
  <c r="C291" i="3"/>
  <c r="E291" i="3"/>
  <c r="C133" i="3"/>
  <c r="E133" i="3"/>
  <c r="C215" i="3"/>
  <c r="E215" i="3"/>
  <c r="C176" i="3"/>
  <c r="E176" i="3"/>
  <c r="E345" i="3"/>
  <c r="C345" i="3"/>
  <c r="C92" i="3"/>
  <c r="E92" i="3"/>
  <c r="C269" i="3"/>
  <c r="E269" i="3"/>
  <c r="C351" i="3"/>
  <c r="E351" i="3"/>
  <c r="C179" i="3"/>
  <c r="E179" i="3"/>
  <c r="C167" i="3"/>
  <c r="E167" i="3"/>
  <c r="C122" i="3"/>
  <c r="E122" i="3"/>
  <c r="C248" i="3"/>
  <c r="E248" i="3"/>
  <c r="C82" i="3"/>
  <c r="E82" i="3"/>
  <c r="C149" i="3"/>
  <c r="E149" i="3"/>
  <c r="C214" i="3"/>
  <c r="E214" i="3"/>
  <c r="C256" i="3"/>
  <c r="E256" i="3"/>
  <c r="C90" i="3"/>
  <c r="E90" i="3"/>
  <c r="C172" i="3"/>
  <c r="E172" i="3"/>
  <c r="C349" i="3"/>
  <c r="E349" i="3"/>
  <c r="C170" i="3"/>
  <c r="E170" i="3"/>
  <c r="E113" i="3"/>
  <c r="C113" i="3"/>
  <c r="C195" i="3"/>
  <c r="E195" i="3"/>
  <c r="C37" i="3"/>
  <c r="E37" i="3"/>
  <c r="C119" i="3"/>
  <c r="E119" i="3"/>
  <c r="C144" i="3"/>
  <c r="E144" i="3"/>
  <c r="E313" i="3"/>
  <c r="C313" i="3"/>
  <c r="C60" i="3"/>
  <c r="E60" i="3"/>
  <c r="C237" i="3"/>
  <c r="E237" i="3"/>
  <c r="C319" i="3"/>
  <c r="E319" i="3"/>
  <c r="C310" i="3"/>
  <c r="E310" i="3"/>
  <c r="C199" i="3"/>
  <c r="E199" i="3"/>
  <c r="C250" i="3"/>
  <c r="E250" i="3"/>
  <c r="C152" i="3"/>
  <c r="E152" i="3"/>
  <c r="C114" i="3"/>
  <c r="E114" i="3"/>
  <c r="C234" i="3"/>
  <c r="E234" i="3"/>
  <c r="C224" i="3"/>
  <c r="E224" i="3"/>
  <c r="C140" i="3"/>
  <c r="E140" i="3"/>
  <c r="C40" i="3"/>
  <c r="E40" i="3"/>
  <c r="C344" i="3"/>
  <c r="E344" i="3"/>
  <c r="C83" i="3"/>
  <c r="E83" i="3"/>
  <c r="C181" i="3"/>
  <c r="E181" i="3"/>
  <c r="C306" i="3"/>
  <c r="E306" i="3"/>
  <c r="C288" i="3"/>
  <c r="E288" i="3"/>
  <c r="C27" i="3"/>
  <c r="E27" i="3"/>
  <c r="C204" i="3"/>
  <c r="E204" i="3"/>
  <c r="C46" i="3"/>
  <c r="E46" i="3"/>
  <c r="C104" i="3"/>
  <c r="E104" i="3"/>
  <c r="E273" i="3"/>
  <c r="C273" i="3"/>
  <c r="C355" i="3"/>
  <c r="E355" i="3"/>
  <c r="C197" i="3"/>
  <c r="E197" i="3"/>
  <c r="C279" i="3"/>
  <c r="E279" i="3"/>
  <c r="C240" i="3"/>
  <c r="E240" i="3"/>
  <c r="C74" i="3"/>
  <c r="E74" i="3"/>
  <c r="C156" i="3"/>
  <c r="E156" i="3"/>
  <c r="C333" i="3"/>
  <c r="E333" i="3"/>
  <c r="C314" i="3"/>
  <c r="E314" i="3"/>
  <c r="C36" i="3"/>
  <c r="E36" i="3"/>
  <c r="E295" i="3"/>
  <c r="C295" i="3"/>
  <c r="C134" i="3"/>
  <c r="E134" i="3"/>
  <c r="C312" i="3"/>
  <c r="E312" i="3"/>
  <c r="C51" i="3"/>
  <c r="E51" i="3"/>
  <c r="C277" i="3"/>
  <c r="E277" i="3"/>
  <c r="C138" i="3"/>
  <c r="E138" i="3"/>
  <c r="C320" i="3"/>
  <c r="E320" i="3"/>
  <c r="C59" i="3"/>
  <c r="E59" i="3"/>
  <c r="C236" i="3"/>
  <c r="E236" i="3"/>
  <c r="C78" i="3"/>
  <c r="E78" i="3"/>
  <c r="E177" i="3"/>
  <c r="C177" i="3"/>
  <c r="C259" i="3"/>
  <c r="E259" i="3"/>
  <c r="C101" i="3"/>
  <c r="E101" i="3"/>
  <c r="C183" i="3"/>
  <c r="E183" i="3"/>
  <c r="C208" i="3"/>
  <c r="E208" i="3"/>
  <c r="C42" i="3"/>
  <c r="E42" i="3"/>
  <c r="C124" i="3"/>
  <c r="E124" i="3"/>
  <c r="C301" i="3"/>
  <c r="E301" i="3"/>
  <c r="C186" i="3"/>
  <c r="E186" i="3"/>
  <c r="C275" i="3"/>
  <c r="E275" i="3"/>
  <c r="E327" i="3"/>
  <c r="C327" i="3"/>
  <c r="C262" i="3"/>
  <c r="E262" i="3"/>
  <c r="E65" i="3"/>
  <c r="C65" i="3"/>
  <c r="C147" i="3"/>
  <c r="E147" i="3"/>
  <c r="C309" i="3"/>
  <c r="E309" i="3"/>
  <c r="C254" i="3"/>
  <c r="E254" i="3"/>
  <c r="C352" i="3"/>
  <c r="E352" i="3"/>
  <c r="C91" i="3"/>
  <c r="E91" i="3"/>
  <c r="C268" i="3"/>
  <c r="E268" i="3"/>
  <c r="C110" i="3"/>
  <c r="E110" i="3"/>
  <c r="C168" i="3"/>
  <c r="E168" i="3"/>
  <c r="E337" i="3"/>
  <c r="C337" i="3"/>
  <c r="C84" i="3"/>
  <c r="E84" i="3"/>
  <c r="C261" i="3"/>
  <c r="E261" i="3"/>
  <c r="C343" i="3"/>
  <c r="E343" i="3"/>
  <c r="C304" i="3"/>
  <c r="E304" i="3"/>
  <c r="C43" i="3"/>
  <c r="E43" i="3"/>
  <c r="E220" i="3"/>
  <c r="C220" i="3"/>
  <c r="C62" i="3"/>
  <c r="E62" i="3"/>
  <c r="C318" i="3"/>
  <c r="E318" i="3"/>
  <c r="C164" i="3"/>
  <c r="E164" i="3"/>
  <c r="C346" i="3"/>
  <c r="E346" i="3"/>
  <c r="C210" i="3"/>
  <c r="E210" i="3"/>
  <c r="E33" i="3"/>
  <c r="C33" i="3"/>
  <c r="C115" i="3"/>
  <c r="E115" i="3"/>
  <c r="C70" i="3"/>
  <c r="E70" i="3"/>
  <c r="C246" i="3"/>
  <c r="E246" i="3"/>
  <c r="C41" i="3"/>
  <c r="E41" i="3"/>
  <c r="C123" i="3"/>
  <c r="E123" i="3"/>
  <c r="C300" i="3"/>
  <c r="E300" i="3"/>
  <c r="C47" i="3"/>
  <c r="E47" i="3"/>
  <c r="C72" i="3"/>
  <c r="E72" i="3"/>
  <c r="E241" i="3"/>
  <c r="C241" i="3"/>
  <c r="C323" i="3"/>
  <c r="E323" i="3"/>
  <c r="C165" i="3"/>
  <c r="E165" i="3"/>
  <c r="E247" i="3"/>
  <c r="C247" i="3"/>
  <c r="C272" i="3"/>
  <c r="E272" i="3"/>
  <c r="C106" i="3"/>
  <c r="E106" i="3"/>
  <c r="C188" i="3"/>
  <c r="E188" i="3"/>
  <c r="C30" i="3"/>
  <c r="E30" i="3"/>
  <c r="C190" i="3"/>
  <c r="E190" i="3"/>
  <c r="C196" i="3"/>
  <c r="E196" i="3"/>
  <c r="C222" i="3"/>
  <c r="E222" i="3"/>
  <c r="C338" i="3"/>
  <c r="E338" i="3"/>
  <c r="C102" i="3"/>
  <c r="E102" i="3"/>
  <c r="C73" i="3"/>
  <c r="E73" i="3"/>
  <c r="C155" i="3"/>
  <c r="E155" i="3"/>
  <c r="E332" i="3"/>
  <c r="C332" i="3"/>
  <c r="C79" i="3"/>
  <c r="E79" i="3"/>
  <c r="C232" i="3"/>
  <c r="E232" i="3"/>
  <c r="C66" i="3"/>
  <c r="E66" i="3"/>
  <c r="C148" i="3"/>
  <c r="E148" i="3"/>
  <c r="C325" i="3"/>
  <c r="E325" i="3"/>
  <c r="C282" i="3"/>
  <c r="E282" i="3"/>
  <c r="E25" i="3"/>
  <c r="C25" i="3"/>
  <c r="C107" i="3"/>
  <c r="E107" i="3"/>
  <c r="E284" i="3"/>
  <c r="C284" i="3"/>
  <c r="C31" i="3"/>
  <c r="E31" i="3"/>
  <c r="C322" i="3"/>
  <c r="E322" i="3"/>
  <c r="C292" i="3"/>
  <c r="E292" i="3"/>
  <c r="C354" i="3"/>
  <c r="E354" i="3"/>
  <c r="C162" i="3"/>
  <c r="E162" i="3"/>
  <c r="E97" i="3"/>
  <c r="C97" i="3"/>
  <c r="C243" i="3"/>
  <c r="E243" i="3"/>
  <c r="C103" i="3"/>
  <c r="E103" i="3"/>
  <c r="C166" i="3"/>
  <c r="E166" i="3"/>
  <c r="C105" i="3"/>
  <c r="E105" i="3"/>
  <c r="C187" i="3"/>
  <c r="E187" i="3"/>
  <c r="C29" i="3"/>
  <c r="E29" i="3"/>
  <c r="C175" i="3"/>
  <c r="E175" i="3"/>
  <c r="C136" i="3"/>
  <c r="E136" i="3"/>
  <c r="E305" i="3"/>
  <c r="C305" i="3"/>
  <c r="C52" i="3"/>
  <c r="E52" i="3"/>
  <c r="C229" i="3"/>
  <c r="E229" i="3"/>
  <c r="C311" i="3"/>
  <c r="E311" i="3"/>
  <c r="C336" i="3"/>
  <c r="E336" i="3"/>
  <c r="C75" i="3"/>
  <c r="E75" i="3"/>
  <c r="E252" i="3"/>
  <c r="C252" i="3"/>
  <c r="C94" i="3"/>
  <c r="E94" i="3"/>
  <c r="C194" i="3"/>
  <c r="E194" i="3"/>
  <c r="C324" i="3"/>
  <c r="E324" i="3"/>
  <c r="C230" i="3"/>
  <c r="E230" i="3"/>
  <c r="C211" i="3"/>
  <c r="E211" i="3"/>
  <c r="C302" i="3"/>
  <c r="E302" i="3"/>
  <c r="E193" i="3"/>
  <c r="C193" i="3"/>
  <c r="C135" i="3"/>
  <c r="E135" i="3"/>
  <c r="C137" i="3"/>
  <c r="E137" i="3"/>
  <c r="C61" i="3"/>
  <c r="E61" i="3"/>
  <c r="C296" i="3"/>
  <c r="E296" i="3"/>
  <c r="C35" i="3"/>
  <c r="E35" i="3"/>
  <c r="C54" i="3"/>
  <c r="E54" i="3"/>
  <c r="C286" i="3"/>
  <c r="E286" i="3"/>
  <c r="E89" i="3"/>
  <c r="C89" i="3"/>
  <c r="C171" i="3"/>
  <c r="E171" i="3"/>
  <c r="E348" i="3"/>
  <c r="C348" i="3"/>
  <c r="C95" i="3"/>
  <c r="E95" i="3"/>
  <c r="C326" i="3"/>
  <c r="E326" i="3"/>
  <c r="C85" i="3"/>
  <c r="E85" i="3"/>
  <c r="C142" i="3"/>
  <c r="E142" i="3"/>
  <c r="E161" i="3"/>
  <c r="C161" i="3"/>
  <c r="C307" i="3"/>
  <c r="E307" i="3"/>
  <c r="E231" i="3"/>
  <c r="C231" i="3"/>
  <c r="C169" i="3"/>
  <c r="E169" i="3"/>
  <c r="C251" i="3"/>
  <c r="E251" i="3"/>
  <c r="C93" i="3"/>
  <c r="E93" i="3"/>
  <c r="C303" i="3"/>
  <c r="E303" i="3"/>
  <c r="C200" i="3"/>
  <c r="E200" i="3"/>
  <c r="C34" i="3"/>
  <c r="E34" i="3"/>
  <c r="C116" i="3"/>
  <c r="E116" i="3"/>
  <c r="C293" i="3"/>
  <c r="E293" i="3"/>
  <c r="C154" i="3"/>
  <c r="E154" i="3"/>
  <c r="E57" i="3"/>
  <c r="C57" i="3"/>
  <c r="C139" i="3"/>
  <c r="E139" i="3"/>
  <c r="E316" i="3"/>
  <c r="C316" i="3"/>
  <c r="C63" i="3"/>
  <c r="E63" i="3"/>
  <c r="C198" i="3"/>
  <c r="E198" i="3"/>
  <c r="C117" i="3"/>
  <c r="E117" i="3"/>
  <c r="C270" i="3"/>
  <c r="E270" i="3"/>
  <c r="C21" i="3"/>
  <c r="E17" i="3"/>
  <c r="E23" i="3"/>
  <c r="C15" i="3"/>
  <c r="E16" i="3"/>
  <c r="E20" i="3"/>
  <c r="C19" i="3"/>
  <c r="E19" i="3"/>
  <c r="E22" i="3"/>
  <c r="C22" i="3"/>
  <c r="D14" i="3"/>
  <c r="E14" i="3"/>
  <c r="C14" i="3"/>
  <c r="E18" i="3"/>
  <c r="C18" i="3"/>
  <c r="D15" i="2" l="1"/>
  <c r="O14" i="2"/>
  <c r="C99" i="4"/>
  <c r="C80" i="4"/>
  <c r="C170" i="4"/>
  <c r="C219" i="4"/>
  <c r="C256" i="4"/>
  <c r="C65" i="4"/>
  <c r="C95" i="4"/>
  <c r="C24" i="4"/>
  <c r="C122" i="4"/>
  <c r="C167" i="4"/>
  <c r="C323" i="4"/>
  <c r="C363" i="4"/>
  <c r="C190" i="4"/>
  <c r="C63" i="4"/>
  <c r="C341" i="4"/>
  <c r="C94" i="4"/>
  <c r="C266" i="4"/>
  <c r="C187" i="4"/>
  <c r="C54" i="4"/>
  <c r="C310" i="4"/>
  <c r="C180" i="4"/>
  <c r="C290" i="4"/>
  <c r="C100" i="4"/>
  <c r="C296" i="4"/>
  <c r="C179" i="4"/>
  <c r="C27" i="4"/>
  <c r="C359" i="4"/>
  <c r="C151" i="4"/>
  <c r="C347" i="4"/>
  <c r="C119" i="4"/>
  <c r="C200" i="4"/>
  <c r="C163" i="4"/>
  <c r="C43" i="4"/>
  <c r="C93" i="4"/>
  <c r="C259" i="4"/>
  <c r="C22" i="4"/>
  <c r="C181" i="4"/>
  <c r="C251" i="4"/>
  <c r="C333" i="4"/>
  <c r="C224" i="4"/>
  <c r="C300" i="4"/>
  <c r="C258" i="4"/>
  <c r="C111" i="4"/>
  <c r="C121" i="4"/>
  <c r="C115" i="4"/>
  <c r="C255" i="4"/>
  <c r="C184" i="4"/>
  <c r="C295" i="4"/>
  <c r="C29" i="4"/>
  <c r="C23" i="4"/>
  <c r="C44" i="4"/>
  <c r="C127" i="4"/>
  <c r="C174" i="4"/>
  <c r="C19" i="4"/>
  <c r="C141" i="4"/>
  <c r="C285" i="4"/>
  <c r="C216" i="4"/>
  <c r="C75" i="4"/>
  <c r="C185" i="4"/>
  <c r="C250" i="4"/>
  <c r="C47" i="4"/>
  <c r="C137" i="4"/>
  <c r="C220" i="4"/>
  <c r="C331" i="4"/>
  <c r="C232" i="4"/>
  <c r="C369" i="4"/>
  <c r="C215" i="4"/>
  <c r="C368" i="4"/>
  <c r="C292" i="4"/>
  <c r="C56" i="4"/>
  <c r="C165" i="4"/>
  <c r="C273" i="4"/>
  <c r="C367" i="4"/>
  <c r="C274" i="4"/>
  <c r="C235" i="4"/>
  <c r="C148" i="4"/>
  <c r="C21" i="4"/>
  <c r="C46" i="4"/>
  <c r="C327" i="4"/>
  <c r="C308" i="4"/>
  <c r="C357" i="4"/>
  <c r="C252" i="4"/>
  <c r="C123" i="4"/>
  <c r="C183" i="4"/>
  <c r="C201" i="4"/>
  <c r="C53" i="4"/>
  <c r="C37" i="4"/>
  <c r="C116" i="4"/>
  <c r="C70" i="4"/>
  <c r="C316" i="4"/>
  <c r="C169" i="4"/>
  <c r="C166" i="4"/>
  <c r="C126" i="4"/>
  <c r="C206" i="4"/>
  <c r="C304" i="4"/>
  <c r="C248" i="4"/>
  <c r="C96" i="4"/>
  <c r="C195" i="4"/>
  <c r="C118" i="4"/>
  <c r="C58" i="4"/>
  <c r="C150" i="4"/>
  <c r="C222" i="4"/>
  <c r="C370" i="4"/>
  <c r="C72" i="4"/>
  <c r="C214" i="4"/>
  <c r="C59" i="4"/>
  <c r="C358" i="4"/>
  <c r="C268" i="4"/>
  <c r="C196" i="4"/>
  <c r="C270" i="4"/>
  <c r="C61" i="4"/>
  <c r="C371" i="4"/>
  <c r="C71" i="4"/>
  <c r="C254" i="4"/>
  <c r="C172" i="4"/>
  <c r="C38" i="4"/>
  <c r="D14" i="4"/>
  <c r="I14" i="4" s="1"/>
  <c r="K14" i="4" s="1"/>
  <c r="C145" i="4"/>
  <c r="C117" i="4"/>
  <c r="C223" i="4"/>
  <c r="C361" i="4"/>
  <c r="C245" i="4"/>
  <c r="C225" i="4"/>
  <c r="C82" i="4"/>
  <c r="C120" i="4"/>
  <c r="C153" i="4"/>
  <c r="C146" i="4"/>
  <c r="C42" i="4"/>
  <c r="C207" i="4"/>
  <c r="C149" i="4"/>
  <c r="C209" i="4"/>
  <c r="C140" i="4"/>
  <c r="C246" i="4"/>
  <c r="C237" i="4"/>
  <c r="C240" i="4"/>
  <c r="C315" i="4"/>
  <c r="C364" i="4"/>
  <c r="C244" i="4"/>
  <c r="C88" i="4"/>
  <c r="C257" i="4"/>
  <c r="C321" i="4"/>
  <c r="C317" i="4"/>
  <c r="C30" i="4"/>
  <c r="C98" i="4"/>
  <c r="C242" i="4"/>
  <c r="C154" i="4"/>
  <c r="C143" i="4"/>
  <c r="C109" i="4"/>
  <c r="C192" i="4"/>
  <c r="C191" i="4"/>
  <c r="C67" i="4"/>
  <c r="C320" i="4"/>
  <c r="C238" i="4"/>
  <c r="C45" i="4"/>
  <c r="C281" i="4"/>
  <c r="C227" i="4"/>
  <c r="C241" i="4"/>
  <c r="C217" i="4"/>
  <c r="C142" i="4"/>
  <c r="C233" i="4"/>
  <c r="C51" i="4"/>
  <c r="C76" i="4"/>
  <c r="C176" i="4"/>
  <c r="C164" i="4"/>
  <c r="C173" i="4"/>
  <c r="C275" i="4"/>
  <c r="H374" i="4"/>
  <c r="L374" i="4"/>
  <c r="C355" i="4"/>
  <c r="C247" i="4"/>
  <c r="C373" i="4"/>
  <c r="C157" i="4"/>
  <c r="C138" i="4"/>
  <c r="C103" i="4"/>
  <c r="C189" i="4"/>
  <c r="C234" i="4"/>
  <c r="C349" i="4"/>
  <c r="C152" i="4"/>
  <c r="C125" i="4"/>
  <c r="C50" i="4"/>
  <c r="C202" i="4"/>
  <c r="C193" i="4"/>
  <c r="C25" i="4"/>
  <c r="C208" i="4"/>
  <c r="C188" i="4"/>
  <c r="C230" i="4"/>
  <c r="C342" i="4"/>
  <c r="C203" i="4"/>
  <c r="C78" i="4"/>
  <c r="C283" i="4"/>
  <c r="C221" i="4"/>
  <c r="C85" i="4"/>
  <c r="C36" i="4"/>
  <c r="C303" i="4"/>
  <c r="C155" i="4"/>
  <c r="C288" i="4"/>
  <c r="C337" i="4"/>
  <c r="C34" i="4"/>
  <c r="C77" i="4"/>
  <c r="C18" i="4"/>
  <c r="C278" i="4"/>
  <c r="C299" i="4"/>
  <c r="C284" i="4"/>
  <c r="C102" i="4"/>
  <c r="C302" i="4"/>
  <c r="C20" i="4"/>
  <c r="C39" i="4"/>
  <c r="C260" i="4"/>
  <c r="C32" i="4"/>
  <c r="C328" i="4"/>
  <c r="C62" i="4"/>
  <c r="H375" i="4"/>
  <c r="L375" i="4"/>
  <c r="C334" i="4"/>
  <c r="C92" i="4"/>
  <c r="C97" i="4"/>
  <c r="C311" i="4"/>
  <c r="C60" i="5"/>
  <c r="C61" i="5" s="1"/>
  <c r="C62" i="5" s="1"/>
  <c r="N10" i="5" s="1"/>
  <c r="E28" i="4"/>
  <c r="E49" i="4"/>
  <c r="E360" i="4"/>
  <c r="E365" i="4"/>
  <c r="E345" i="4"/>
  <c r="E348" i="4"/>
  <c r="E87" i="4"/>
  <c r="E156" i="4"/>
  <c r="E134" i="4"/>
  <c r="E133" i="4"/>
  <c r="G60" i="5"/>
  <c r="G61" i="5" s="1"/>
  <c r="H60" i="5"/>
  <c r="H61" i="5" s="1"/>
  <c r="F60" i="5"/>
  <c r="F61" i="5" s="1"/>
  <c r="E60" i="5"/>
  <c r="E61" i="5" s="1"/>
  <c r="C23" i="5"/>
  <c r="C25" i="5" s="1"/>
  <c r="D60" i="5"/>
  <c r="E124" i="4"/>
  <c r="E199" i="4"/>
  <c r="E339" i="4"/>
  <c r="E104" i="4"/>
  <c r="E168" i="4"/>
  <c r="E135" i="4"/>
  <c r="E219" i="4"/>
  <c r="E105" i="4"/>
  <c r="E233" i="4"/>
  <c r="E312" i="4"/>
  <c r="E352" i="4"/>
  <c r="E351" i="4"/>
  <c r="E79" i="4"/>
  <c r="E261" i="4"/>
  <c r="E301" i="4"/>
  <c r="E277" i="4"/>
  <c r="E131" i="4"/>
  <c r="E344" i="4"/>
  <c r="E26" i="4"/>
  <c r="E128" i="4"/>
  <c r="E272" i="4"/>
  <c r="E106" i="4"/>
  <c r="E42" i="4"/>
  <c r="E278" i="4"/>
  <c r="E77" i="4"/>
  <c r="E140" i="4"/>
  <c r="E18" i="4"/>
  <c r="C135" i="4"/>
  <c r="E46" i="4"/>
  <c r="E194" i="4"/>
  <c r="E350" i="4"/>
  <c r="E329" i="4"/>
  <c r="E299" i="4"/>
  <c r="E151" i="4"/>
  <c r="E47" i="4"/>
  <c r="C339" i="4"/>
  <c r="E115" i="4"/>
  <c r="D375" i="4"/>
  <c r="E20" i="4"/>
  <c r="C375" i="4"/>
  <c r="E300" i="4"/>
  <c r="E54" i="4"/>
  <c r="E237" i="4"/>
  <c r="E220" i="4"/>
  <c r="J375" i="4"/>
  <c r="E19" i="4"/>
  <c r="E227" i="4"/>
  <c r="E258" i="4"/>
  <c r="E119" i="4"/>
  <c r="E138" i="4"/>
  <c r="E318" i="4"/>
  <c r="E263" i="4"/>
  <c r="E356" i="4"/>
  <c r="E113" i="4"/>
  <c r="E114" i="4"/>
  <c r="E291" i="4"/>
  <c r="E88" i="4"/>
  <c r="E320" i="4"/>
  <c r="E30" i="4"/>
  <c r="E317" i="4"/>
  <c r="E192" i="4"/>
  <c r="C79" i="4"/>
  <c r="E143" i="4"/>
  <c r="C131" i="4"/>
  <c r="E315" i="4"/>
  <c r="C26" i="4"/>
  <c r="E197" i="4"/>
  <c r="E302" i="4"/>
  <c r="E269" i="4"/>
  <c r="E39" i="4"/>
  <c r="E32" i="4"/>
  <c r="E186" i="4"/>
  <c r="E62" i="4"/>
  <c r="E334" i="4"/>
  <c r="E205" i="4"/>
  <c r="C291" i="4"/>
  <c r="E242" i="4"/>
  <c r="E67" i="4"/>
  <c r="E154" i="4"/>
  <c r="C194" i="4"/>
  <c r="C351" i="4"/>
  <c r="C263" i="4"/>
  <c r="C272" i="4"/>
  <c r="C318" i="4"/>
  <c r="C356" i="4"/>
  <c r="E50" i="4"/>
  <c r="E181" i="4"/>
  <c r="E94" i="4"/>
  <c r="E216" i="4"/>
  <c r="E251" i="4"/>
  <c r="E78" i="4"/>
  <c r="I375" i="4"/>
  <c r="N375" i="4" s="1"/>
  <c r="E364" i="4"/>
  <c r="E266" i="4"/>
  <c r="E122" i="4"/>
  <c r="E121" i="4"/>
  <c r="E200" i="4"/>
  <c r="E341" i="4"/>
  <c r="E118" i="4"/>
  <c r="E21" i="4"/>
  <c r="E174" i="4"/>
  <c r="E338" i="4"/>
  <c r="E276" i="4"/>
  <c r="E64" i="4"/>
  <c r="E83" i="4"/>
  <c r="E286" i="4"/>
  <c r="E211" i="4"/>
  <c r="E162" i="4"/>
  <c r="E307" i="4"/>
  <c r="E177" i="4"/>
  <c r="E16" i="4"/>
  <c r="E158" i="4"/>
  <c r="E110" i="4"/>
  <c r="E298" i="4"/>
  <c r="E147" i="4"/>
  <c r="E198" i="4"/>
  <c r="C124" i="4"/>
  <c r="E225" i="4"/>
  <c r="E146" i="4"/>
  <c r="E285" i="4"/>
  <c r="E45" i="4"/>
  <c r="E100" i="4"/>
  <c r="C352" i="4"/>
  <c r="C301" i="4"/>
  <c r="E375" i="4"/>
  <c r="E193" i="4"/>
  <c r="E25" i="4"/>
  <c r="E23" i="4"/>
  <c r="E328" i="4"/>
  <c r="E153" i="4"/>
  <c r="E221" i="4"/>
  <c r="C205" i="4"/>
  <c r="E248" i="4"/>
  <c r="E284" i="4"/>
  <c r="C105" i="4"/>
  <c r="E60" i="4"/>
  <c r="E101" i="4"/>
  <c r="E129" i="4"/>
  <c r="E40" i="4"/>
  <c r="E280" i="4"/>
  <c r="E91" i="4"/>
  <c r="E306" i="4"/>
  <c r="E210" i="4"/>
  <c r="E136" i="4"/>
  <c r="E271" i="4"/>
  <c r="E353" i="4"/>
  <c r="E171" i="4"/>
  <c r="E52" i="4"/>
  <c r="E130" i="4"/>
  <c r="E96" i="4"/>
  <c r="E93" i="4"/>
  <c r="E195" i="4"/>
  <c r="E185" i="4"/>
  <c r="C329" i="4"/>
  <c r="E206" i="4"/>
  <c r="E75" i="4"/>
  <c r="E240" i="4"/>
  <c r="C269" i="4"/>
  <c r="E150" i="4"/>
  <c r="C199" i="4"/>
  <c r="E260" i="4"/>
  <c r="E187" i="4"/>
  <c r="K375" i="4"/>
  <c r="O375" i="4" s="1"/>
  <c r="E82" i="4"/>
  <c r="E347" i="4"/>
  <c r="C113" i="4"/>
  <c r="E111" i="4"/>
  <c r="E202" i="4"/>
  <c r="C114" i="4"/>
  <c r="C168" i="4"/>
  <c r="E218" i="4"/>
  <c r="E294" i="4"/>
  <c r="E264" i="4"/>
  <c r="E362" i="4"/>
  <c r="E326" i="4"/>
  <c r="E343" i="4"/>
  <c r="E305" i="4"/>
  <c r="E17" i="4"/>
  <c r="E57" i="4"/>
  <c r="E132" i="4"/>
  <c r="E313" i="4"/>
  <c r="C350" i="4"/>
  <c r="E169" i="4"/>
  <c r="E311" i="4"/>
  <c r="C106" i="4"/>
  <c r="E109" i="4"/>
  <c r="E359" i="4"/>
  <c r="E222" i="4"/>
  <c r="C277" i="4"/>
  <c r="E44" i="4"/>
  <c r="F375" i="4"/>
  <c r="E43" i="4"/>
  <c r="E160" i="4"/>
  <c r="E98" i="4"/>
  <c r="E203" i="4"/>
  <c r="E250" i="4"/>
  <c r="E290" i="4"/>
  <c r="E323" i="4"/>
  <c r="E190" i="4"/>
  <c r="E137" i="4"/>
  <c r="E310" i="4"/>
  <c r="E204" i="4"/>
  <c r="E330" i="4"/>
  <c r="E282" i="4"/>
  <c r="E236" i="4"/>
  <c r="E81" i="4"/>
  <c r="E346" i="4"/>
  <c r="E175" i="4"/>
  <c r="E340" i="4"/>
  <c r="E243" i="4"/>
  <c r="E229" i="4"/>
  <c r="E249" i="4"/>
  <c r="E33" i="4"/>
  <c r="E69" i="4"/>
  <c r="E265" i="4"/>
  <c r="E22" i="4"/>
  <c r="E256" i="4"/>
  <c r="E58" i="4"/>
  <c r="C197" i="4"/>
  <c r="C344" i="4"/>
  <c r="E63" i="4"/>
  <c r="E208" i="4"/>
  <c r="G375" i="4"/>
  <c r="M375" i="4" s="1"/>
  <c r="E255" i="4"/>
  <c r="C128" i="4"/>
  <c r="C186" i="4"/>
  <c r="C261" i="4"/>
  <c r="E141" i="4"/>
  <c r="C104" i="4"/>
  <c r="E191" i="4"/>
  <c r="E259" i="4"/>
  <c r="E41" i="4"/>
  <c r="E66" i="4"/>
  <c r="E182" i="4"/>
  <c r="E178" i="4"/>
  <c r="E201" i="4"/>
  <c r="E262" i="4"/>
  <c r="E108" i="4"/>
  <c r="E90" i="4"/>
  <c r="E166" i="4"/>
  <c r="E228" i="4"/>
  <c r="E238" i="4"/>
  <c r="E184" i="4"/>
  <c r="C345" i="4"/>
  <c r="E245" i="4"/>
  <c r="E180" i="4"/>
  <c r="E142" i="4"/>
  <c r="E281" i="4"/>
  <c r="E188" i="4"/>
  <c r="E92" i="4"/>
  <c r="E246" i="4"/>
  <c r="E120" i="4"/>
  <c r="E342" i="4"/>
  <c r="E97" i="4"/>
  <c r="E283" i="4"/>
  <c r="E102" i="4"/>
  <c r="E217" i="4"/>
  <c r="E163" i="4"/>
  <c r="E289" i="4"/>
  <c r="E325" i="4"/>
  <c r="E212" i="4"/>
  <c r="E354" i="4"/>
  <c r="E139" i="4"/>
  <c r="E324" i="4"/>
  <c r="E74" i="4"/>
  <c r="E322" i="4"/>
  <c r="E112" i="4"/>
  <c r="E107" i="4"/>
  <c r="E267" i="4"/>
  <c r="E319" i="4"/>
  <c r="E366" i="4"/>
  <c r="E14" i="4"/>
  <c r="E31" i="4"/>
  <c r="E332" i="4"/>
  <c r="E279" i="4"/>
  <c r="E73" i="4"/>
  <c r="E239" i="4"/>
  <c r="E86" i="4"/>
  <c r="E226" i="4"/>
  <c r="E35" i="4"/>
  <c r="C198" i="4"/>
  <c r="C147" i="4"/>
  <c r="C158" i="4"/>
  <c r="E125" i="4"/>
  <c r="E349" i="4"/>
  <c r="C298" i="4"/>
  <c r="E152" i="4"/>
  <c r="E374" i="4"/>
  <c r="E234" i="4"/>
  <c r="J374" i="4"/>
  <c r="C162" i="4"/>
  <c r="E214" i="4"/>
  <c r="C16" i="4"/>
  <c r="E355" i="4"/>
  <c r="C319" i="4"/>
  <c r="E61" i="4"/>
  <c r="E172" i="4"/>
  <c r="E189" i="4"/>
  <c r="C35" i="4"/>
  <c r="C110" i="4"/>
  <c r="E196" i="4"/>
  <c r="C226" i="4"/>
  <c r="E176" i="4"/>
  <c r="E268" i="4"/>
  <c r="E247" i="4"/>
  <c r="E103" i="4"/>
  <c r="C212" i="4"/>
  <c r="C112" i="4"/>
  <c r="E145" i="4"/>
  <c r="E358" i="4"/>
  <c r="E223" i="4"/>
  <c r="C73" i="4"/>
  <c r="C324" i="4"/>
  <c r="C86" i="4"/>
  <c r="E361" i="4"/>
  <c r="C14" i="4"/>
  <c r="C366" i="4"/>
  <c r="E254" i="4"/>
  <c r="C239" i="4"/>
  <c r="E38" i="4"/>
  <c r="C322" i="4"/>
  <c r="E71" i="4"/>
  <c r="E270" i="4"/>
  <c r="C31" i="4"/>
  <c r="C279" i="4"/>
  <c r="C332" i="4"/>
  <c r="E117" i="4"/>
  <c r="C74" i="4"/>
  <c r="E371" i="4"/>
  <c r="C267" i="4"/>
  <c r="C139" i="4"/>
  <c r="C107" i="4"/>
  <c r="E293" i="4"/>
  <c r="C354" i="4"/>
  <c r="E314" i="4"/>
  <c r="E161" i="4"/>
  <c r="E89" i="4"/>
  <c r="E372" i="4"/>
  <c r="E159" i="4"/>
  <c r="E144" i="4"/>
  <c r="E84" i="4"/>
  <c r="C314" i="4"/>
  <c r="E126" i="4"/>
  <c r="C144" i="4"/>
  <c r="C108" i="4"/>
  <c r="E304" i="4"/>
  <c r="C159" i="4"/>
  <c r="C89" i="4"/>
  <c r="C262" i="4"/>
  <c r="C228" i="4"/>
  <c r="C161" i="4"/>
  <c r="C372" i="4"/>
  <c r="C66" i="4"/>
  <c r="C84" i="4"/>
  <c r="C90" i="4"/>
  <c r="E53" i="4"/>
  <c r="E231" i="4"/>
  <c r="E68" i="4"/>
  <c r="E335" i="4"/>
  <c r="E213" i="4"/>
  <c r="E48" i="4"/>
  <c r="E316" i="4"/>
  <c r="E297" i="4"/>
  <c r="C69" i="4"/>
  <c r="E244" i="4"/>
  <c r="E257" i="4"/>
  <c r="E321" i="4"/>
  <c r="E274" i="4"/>
  <c r="C293" i="4"/>
  <c r="C265" i="4"/>
  <c r="E275" i="4"/>
  <c r="E287" i="4"/>
  <c r="E253" i="4"/>
  <c r="E309" i="4"/>
  <c r="E336" i="4"/>
  <c r="E235" i="4"/>
  <c r="E367" i="4"/>
  <c r="E148" i="4"/>
  <c r="E164" i="4"/>
  <c r="C340" i="4"/>
  <c r="E27" i="4"/>
  <c r="E167" i="4"/>
  <c r="E127" i="4"/>
  <c r="E363" i="4"/>
  <c r="E29" i="4"/>
  <c r="E59" i="4"/>
  <c r="E80" i="4"/>
  <c r="C52" i="4"/>
  <c r="C91" i="4"/>
  <c r="C271" i="4"/>
  <c r="E230" i="4"/>
  <c r="C171" i="4"/>
  <c r="E170" i="4"/>
  <c r="C306" i="4"/>
  <c r="C280" i="4"/>
  <c r="E149" i="4"/>
  <c r="E368" i="4"/>
  <c r="E296" i="4"/>
  <c r="C243" i="4"/>
  <c r="C249" i="4"/>
  <c r="C231" i="4"/>
  <c r="C178" i="4"/>
  <c r="E70" i="4"/>
  <c r="C335" i="4"/>
  <c r="C68" i="4"/>
  <c r="E123" i="4"/>
  <c r="C33" i="4"/>
  <c r="C48" i="4"/>
  <c r="C297" i="4"/>
  <c r="E183" i="4"/>
  <c r="C346" i="4"/>
  <c r="C182" i="4"/>
  <c r="E252" i="4"/>
  <c r="E37" i="4"/>
  <c r="C229" i="4"/>
  <c r="E273" i="4"/>
  <c r="C175" i="4"/>
  <c r="C213" i="4"/>
  <c r="E116" i="4"/>
  <c r="I374" i="4"/>
  <c r="N374" i="4" s="1"/>
  <c r="E51" i="4"/>
  <c r="C374" i="4"/>
  <c r="D374" i="4"/>
  <c r="E224" i="4"/>
  <c r="C253" i="4"/>
  <c r="C40" i="4"/>
  <c r="F374" i="4"/>
  <c r="E157" i="4"/>
  <c r="C136" i="4"/>
  <c r="E207" i="4"/>
  <c r="C211" i="4"/>
  <c r="C177" i="4"/>
  <c r="C336" i="4"/>
  <c r="C287" i="4"/>
  <c r="E99" i="4"/>
  <c r="E209" i="4"/>
  <c r="K374" i="4"/>
  <c r="O374" i="4" s="1"/>
  <c r="E76" i="4"/>
  <c r="E373" i="4"/>
  <c r="G374" i="4"/>
  <c r="M374" i="4" s="1"/>
  <c r="C309" i="4"/>
  <c r="C129" i="4"/>
  <c r="C286" i="4"/>
  <c r="C130" i="4"/>
  <c r="C210" i="4"/>
  <c r="C353" i="4"/>
  <c r="C307" i="4"/>
  <c r="E173" i="4"/>
  <c r="C360" i="4"/>
  <c r="E34" i="4"/>
  <c r="C156" i="4"/>
  <c r="E288" i="4"/>
  <c r="E95" i="4"/>
  <c r="C133" i="4"/>
  <c r="E155" i="4"/>
  <c r="C348" i="4"/>
  <c r="C87" i="4"/>
  <c r="C236" i="4"/>
  <c r="E65" i="4"/>
  <c r="C313" i="4"/>
  <c r="E56" i="4"/>
  <c r="C326" i="4"/>
  <c r="E24" i="4"/>
  <c r="E295" i="4"/>
  <c r="C282" i="4"/>
  <c r="E369" i="4"/>
  <c r="C17" i="4"/>
  <c r="E292" i="4"/>
  <c r="E215" i="4"/>
  <c r="E165" i="4"/>
  <c r="C57" i="4"/>
  <c r="C305" i="4"/>
  <c r="C343" i="4"/>
  <c r="E179" i="4"/>
  <c r="C132" i="4"/>
  <c r="C81" i="4"/>
  <c r="E337" i="4"/>
  <c r="C134" i="4"/>
  <c r="E357" i="4"/>
  <c r="C325" i="4"/>
  <c r="C362" i="4"/>
  <c r="C330" i="4"/>
  <c r="C49" i="4"/>
  <c r="C101" i="4"/>
  <c r="C64" i="4"/>
  <c r="E72" i="4"/>
  <c r="C83" i="4"/>
  <c r="E308" i="4"/>
  <c r="E327" i="4"/>
  <c r="E36" i="4"/>
  <c r="C264" i="4"/>
  <c r="E232" i="4"/>
  <c r="E331" i="4"/>
  <c r="C218" i="4"/>
  <c r="E333" i="4"/>
  <c r="E241" i="4"/>
  <c r="C276" i="4"/>
  <c r="C365" i="4"/>
  <c r="E303" i="4"/>
  <c r="C312" i="4"/>
  <c r="C289" i="4"/>
  <c r="C294" i="4"/>
  <c r="C338" i="4"/>
  <c r="E85" i="4"/>
  <c r="C41" i="4"/>
  <c r="E370" i="4"/>
  <c r="C204" i="4"/>
  <c r="C60" i="4"/>
  <c r="C28" i="4"/>
  <c r="C15" i="4"/>
  <c r="E15" i="4"/>
  <c r="C55" i="4"/>
  <c r="E55" i="4"/>
  <c r="F14" i="3"/>
  <c r="I14" i="3"/>
  <c r="N14" i="4" s="1"/>
  <c r="C26" i="5" l="1"/>
  <c r="D16" i="2"/>
  <c r="O15" i="2"/>
  <c r="F14" i="4"/>
  <c r="G14" i="4" s="1"/>
  <c r="H14" i="4" s="1"/>
  <c r="L14" i="4" s="1"/>
  <c r="C64" i="5"/>
  <c r="D61" i="5"/>
  <c r="D62" i="5" s="1"/>
  <c r="N17" i="5" s="1"/>
  <c r="C24" i="5"/>
  <c r="G14" i="3"/>
  <c r="K14" i="3"/>
  <c r="D17" i="2" l="1"/>
  <c r="O16" i="2"/>
  <c r="M14" i="4"/>
  <c r="J14" i="4"/>
  <c r="D15" i="4" s="1"/>
  <c r="I15" i="4" s="1"/>
  <c r="K15" i="4" s="1"/>
  <c r="O14" i="4"/>
  <c r="D64" i="5"/>
  <c r="C66" i="5"/>
  <c r="N12" i="5"/>
  <c r="N14" i="5" s="1"/>
  <c r="H62" i="5"/>
  <c r="Q24" i="5" s="1"/>
  <c r="G62" i="5"/>
  <c r="Q17" i="5" s="1"/>
  <c r="F62" i="5"/>
  <c r="Q10" i="5" s="1"/>
  <c r="E62" i="5"/>
  <c r="N24" i="5" s="1"/>
  <c r="H14" i="3"/>
  <c r="L14" i="3" s="1"/>
  <c r="D18" i="2" l="1"/>
  <c r="O17" i="2"/>
  <c r="F15" i="4"/>
  <c r="G15" i="4" s="1"/>
  <c r="H15" i="4" s="1"/>
  <c r="L15" i="4" s="1"/>
  <c r="H64" i="5"/>
  <c r="G64" i="5"/>
  <c r="F64" i="5"/>
  <c r="E64" i="5"/>
  <c r="D66" i="5"/>
  <c r="N19" i="5"/>
  <c r="N21" i="5" s="1"/>
  <c r="J14" i="3"/>
  <c r="D15" i="3" s="1"/>
  <c r="I15" i="3" s="1"/>
  <c r="N15" i="4" s="1"/>
  <c r="D19" i="2" l="1"/>
  <c r="O18" i="2"/>
  <c r="J15" i="4"/>
  <c r="D16" i="4" s="1"/>
  <c r="F16" i="4" s="1"/>
  <c r="G16" i="4" s="1"/>
  <c r="H66" i="5"/>
  <c r="Q26" i="5"/>
  <c r="Q28" i="5" s="1"/>
  <c r="G66" i="5"/>
  <c r="Q19" i="5"/>
  <c r="Q21" i="5" s="1"/>
  <c r="F66" i="5"/>
  <c r="Q12" i="5"/>
  <c r="Q14" i="5" s="1"/>
  <c r="E66" i="5"/>
  <c r="N26" i="5"/>
  <c r="N28" i="5" s="1"/>
  <c r="F15" i="3"/>
  <c r="G15" i="3" s="1"/>
  <c r="M15" i="4" s="1"/>
  <c r="K15" i="3"/>
  <c r="O15" i="4" s="1"/>
  <c r="D20" i="2" l="1"/>
  <c r="O19" i="2"/>
  <c r="I16" i="4"/>
  <c r="K16" i="4" s="1"/>
  <c r="H15" i="3"/>
  <c r="D21" i="2" l="1"/>
  <c r="O20" i="2"/>
  <c r="H16" i="4"/>
  <c r="L16" i="4" s="1"/>
  <c r="L15" i="3"/>
  <c r="J15" i="3"/>
  <c r="D16" i="3" s="1"/>
  <c r="I16" i="3" s="1"/>
  <c r="N16" i="4" s="1"/>
  <c r="D22" i="2" l="1"/>
  <c r="O21" i="2"/>
  <c r="J16" i="4"/>
  <c r="D17" i="4" s="1"/>
  <c r="F17" i="4" s="1"/>
  <c r="G17" i="4" s="1"/>
  <c r="F16" i="3"/>
  <c r="G16" i="3" s="1"/>
  <c r="M16" i="4" s="1"/>
  <c r="K16" i="3"/>
  <c r="O16" i="4" s="1"/>
  <c r="D23" i="2" l="1"/>
  <c r="O22" i="2"/>
  <c r="I17" i="4"/>
  <c r="K17" i="4" s="1"/>
  <c r="H16" i="3"/>
  <c r="H17" i="4" l="1"/>
  <c r="L17" i="4" s="1"/>
  <c r="D24" i="2"/>
  <c r="O23" i="2"/>
  <c r="L16" i="3"/>
  <c r="J16" i="3"/>
  <c r="D17" i="3" s="1"/>
  <c r="I17" i="3" s="1"/>
  <c r="N17" i="4" s="1"/>
  <c r="J17" i="4" l="1"/>
  <c r="D18" i="4" s="1"/>
  <c r="F18" i="4" s="1"/>
  <c r="G18" i="4" s="1"/>
  <c r="D25" i="2"/>
  <c r="O24" i="2"/>
  <c r="F17" i="3"/>
  <c r="G17" i="3" s="1"/>
  <c r="M17" i="4" s="1"/>
  <c r="K17" i="3"/>
  <c r="O17" i="4" s="1"/>
  <c r="I18" i="4" l="1"/>
  <c r="K18" i="4" s="1"/>
  <c r="D26" i="2"/>
  <c r="O25" i="2"/>
  <c r="H17" i="3"/>
  <c r="H18" i="4" l="1"/>
  <c r="D27" i="2"/>
  <c r="O26" i="2"/>
  <c r="L17" i="3"/>
  <c r="J17" i="3"/>
  <c r="D18" i="3" s="1"/>
  <c r="I18" i="3" s="1"/>
  <c r="N18" i="4" s="1"/>
  <c r="L18" i="4" l="1"/>
  <c r="J18" i="4"/>
  <c r="D19" i="4" s="1"/>
  <c r="D28" i="2"/>
  <c r="O27" i="2"/>
  <c r="F18" i="3"/>
  <c r="G18" i="3" s="1"/>
  <c r="M18" i="4" s="1"/>
  <c r="K18" i="3"/>
  <c r="O18" i="4" s="1"/>
  <c r="F19" i="4" l="1"/>
  <c r="I19" i="4"/>
  <c r="K19" i="4" s="1"/>
  <c r="D29" i="2"/>
  <c r="O28" i="2"/>
  <c r="H18" i="3"/>
  <c r="L18" i="3" s="1"/>
  <c r="G19" i="4" l="1"/>
  <c r="H19" i="4" s="1"/>
  <c r="L19" i="4" s="1"/>
  <c r="K4" i="2" s="1" a="1"/>
  <c r="K4" i="2" s="1"/>
  <c r="D30" i="2"/>
  <c r="O29" i="2"/>
  <c r="J18" i="3"/>
  <c r="D19" i="3" s="1"/>
  <c r="F19" i="3" s="1"/>
  <c r="G19" i="3" s="1"/>
  <c r="M19" i="4" s="1"/>
  <c r="J19" i="4" l="1"/>
  <c r="D20" i="4" s="1"/>
  <c r="I20" i="4" s="1"/>
  <c r="K20" i="4" s="1"/>
  <c r="D31" i="2"/>
  <c r="O30" i="2"/>
  <c r="I19" i="3"/>
  <c r="N19" i="4" s="1"/>
  <c r="F20" i="4" l="1"/>
  <c r="G20" i="4" s="1"/>
  <c r="H20" i="4" s="1"/>
  <c r="D32" i="2"/>
  <c r="O31" i="2"/>
  <c r="K19" i="3"/>
  <c r="O19" i="4" s="1"/>
  <c r="H19" i="3"/>
  <c r="L20" i="4" l="1"/>
  <c r="J20" i="4"/>
  <c r="D21" i="4" s="1"/>
  <c r="D33" i="2"/>
  <c r="O32" i="2"/>
  <c r="J19" i="3"/>
  <c r="L19" i="3"/>
  <c r="J4" i="2" s="1" a="1"/>
  <c r="J4" i="2" s="1"/>
  <c r="L4" i="2" s="1"/>
  <c r="N4" i="2" l="1"/>
  <c r="P4" i="2" s="1"/>
  <c r="M4" i="2"/>
  <c r="F21" i="4"/>
  <c r="G21" i="4" s="1"/>
  <c r="I21" i="4"/>
  <c r="K21" i="4" s="1"/>
  <c r="D20" i="3"/>
  <c r="I20" i="3" s="1"/>
  <c r="K20" i="3" s="1"/>
  <c r="O20" i="4" s="1"/>
  <c r="E4" i="2"/>
  <c r="F4" i="2" s="1"/>
  <c r="D34" i="2"/>
  <c r="O33" i="2"/>
  <c r="F20" i="3" l="1"/>
  <c r="G20" i="3" s="1"/>
  <c r="M20" i="4" s="1"/>
  <c r="H21" i="4"/>
  <c r="N20" i="4"/>
  <c r="D35" i="2"/>
  <c r="O34" i="2"/>
  <c r="H20" i="3" l="1"/>
  <c r="J20" i="3" s="1"/>
  <c r="D21" i="3" s="1"/>
  <c r="F21" i="3" s="1"/>
  <c r="G21" i="3" s="1"/>
  <c r="M21" i="4" s="1"/>
  <c r="J21" i="4"/>
  <c r="D22" i="4" s="1"/>
  <c r="L21" i="4"/>
  <c r="D36" i="2"/>
  <c r="O35" i="2"/>
  <c r="I21" i="3" l="1"/>
  <c r="K21" i="3" s="1"/>
  <c r="O21" i="4" s="1"/>
  <c r="L20" i="3"/>
  <c r="F22" i="4"/>
  <c r="G22" i="4" s="1"/>
  <c r="I22" i="4"/>
  <c r="K22" i="4" s="1"/>
  <c r="D37" i="2"/>
  <c r="O36" i="2"/>
  <c r="N21" i="4" l="1"/>
  <c r="H21" i="3"/>
  <c r="J21" i="3" s="1"/>
  <c r="D22" i="3" s="1"/>
  <c r="F22" i="3" s="1"/>
  <c r="G22" i="3" s="1"/>
  <c r="M22" i="4" s="1"/>
  <c r="H22" i="4"/>
  <c r="D38" i="2"/>
  <c r="O37" i="2"/>
  <c r="L21" i="3" l="1"/>
  <c r="I22" i="3"/>
  <c r="K22" i="3" s="1"/>
  <c r="O22" i="4" s="1"/>
  <c r="L22" i="4"/>
  <c r="J22" i="4"/>
  <c r="D23" i="4" s="1"/>
  <c r="D39" i="2"/>
  <c r="O39" i="2" s="1"/>
  <c r="O38" i="2"/>
  <c r="I7" i="3"/>
  <c r="H22" i="3" l="1"/>
  <c r="J22" i="3" s="1"/>
  <c r="D23" i="3" s="1"/>
  <c r="F23" i="3" s="1"/>
  <c r="G23" i="3" s="1"/>
  <c r="N22" i="4"/>
  <c r="I23" i="4"/>
  <c r="K23" i="4" s="1"/>
  <c r="F23" i="4"/>
  <c r="L22" i="3" l="1"/>
  <c r="I23" i="3"/>
  <c r="H23" i="3" s="1"/>
  <c r="G23" i="4"/>
  <c r="K23" i="3" l="1"/>
  <c r="O23" i="4" s="1"/>
  <c r="N23" i="4"/>
  <c r="L23" i="3"/>
  <c r="J23" i="3"/>
  <c r="D24" i="3" s="1"/>
  <c r="I24" i="3" s="1"/>
  <c r="H23" i="4"/>
  <c r="M23" i="4"/>
  <c r="F35" i="2"/>
  <c r="F24" i="3" l="1"/>
  <c r="G24" i="3" s="1"/>
  <c r="H24" i="3" s="1"/>
  <c r="L24" i="3" s="1"/>
  <c r="L23" i="4"/>
  <c r="J23" i="4"/>
  <c r="D24" i="4" s="1"/>
  <c r="K24" i="3"/>
  <c r="F36" i="2"/>
  <c r="I24" i="4" l="1"/>
  <c r="F24" i="4"/>
  <c r="J24" i="3"/>
  <c r="D25" i="3" s="1"/>
  <c r="I25" i="3" s="1"/>
  <c r="F39" i="2"/>
  <c r="F37" i="2"/>
  <c r="K24" i="4" l="1"/>
  <c r="O24" i="4" s="1"/>
  <c r="N24" i="4"/>
  <c r="G24" i="4"/>
  <c r="K25" i="3"/>
  <c r="F25" i="3"/>
  <c r="G25" i="3" s="1"/>
  <c r="F38" i="2"/>
  <c r="H24" i="4" l="1"/>
  <c r="M24" i="4"/>
  <c r="H25" i="3"/>
  <c r="L24" i="4" l="1"/>
  <c r="J24" i="4"/>
  <c r="D25" i="4" s="1"/>
  <c r="L25" i="3"/>
  <c r="J5" i="2" s="1" a="1"/>
  <c r="J5" i="2" s="1"/>
  <c r="J25" i="3"/>
  <c r="F25" i="4" l="1"/>
  <c r="I25" i="4"/>
  <c r="E5" i="2"/>
  <c r="F5" i="2" s="1"/>
  <c r="D26" i="3"/>
  <c r="K25" i="4" l="1"/>
  <c r="O25" i="4" s="1"/>
  <c r="N25" i="4"/>
  <c r="G25" i="4"/>
  <c r="I26" i="3"/>
  <c r="F26" i="3"/>
  <c r="G26" i="3" s="1"/>
  <c r="H25" i="4" l="1"/>
  <c r="M25" i="4"/>
  <c r="H26" i="3"/>
  <c r="L26" i="3" s="1"/>
  <c r="K26" i="3"/>
  <c r="L25" i="4" l="1"/>
  <c r="K5" i="2" s="1" a="1"/>
  <c r="K5" i="2" s="1"/>
  <c r="L5" i="2" s="1"/>
  <c r="J25" i="4"/>
  <c r="D26" i="4" s="1"/>
  <c r="J26" i="3"/>
  <c r="D27" i="3" s="1"/>
  <c r="I27" i="3" s="1"/>
  <c r="N5" i="2" l="1"/>
  <c r="P5" i="2" s="1"/>
  <c r="M5" i="2"/>
  <c r="I26" i="4"/>
  <c r="F26" i="4"/>
  <c r="K27" i="3"/>
  <c r="F27" i="3"/>
  <c r="G27" i="3" s="1"/>
  <c r="K26" i="4" l="1"/>
  <c r="O26" i="4" s="1"/>
  <c r="N26" i="4"/>
  <c r="G26" i="4"/>
  <c r="H27" i="3"/>
  <c r="J27" i="3" s="1"/>
  <c r="D28" i="3" s="1"/>
  <c r="I28" i="3" s="1"/>
  <c r="H26" i="4" l="1"/>
  <c r="M26" i="4"/>
  <c r="K28" i="3"/>
  <c r="L27" i="3"/>
  <c r="F28" i="3"/>
  <c r="G28" i="3" s="1"/>
  <c r="L26" i="4" l="1"/>
  <c r="J26" i="4"/>
  <c r="D27" i="4" s="1"/>
  <c r="H28" i="3"/>
  <c r="I27" i="4" l="1"/>
  <c r="F27" i="4"/>
  <c r="J28" i="3"/>
  <c r="D29" i="3" s="1"/>
  <c r="L28" i="3"/>
  <c r="G27" i="4" l="1"/>
  <c r="K27" i="4"/>
  <c r="O27" i="4" s="1"/>
  <c r="N27" i="4"/>
  <c r="I29" i="3"/>
  <c r="F29" i="3"/>
  <c r="G29" i="3" s="1"/>
  <c r="H27" i="4" l="1"/>
  <c r="M27" i="4"/>
  <c r="K29" i="3"/>
  <c r="H29" i="3"/>
  <c r="L27" i="4" l="1"/>
  <c r="J27" i="4"/>
  <c r="D28" i="4" s="1"/>
  <c r="J29" i="3"/>
  <c r="D30" i="3" s="1"/>
  <c r="L29" i="3"/>
  <c r="F28" i="4" l="1"/>
  <c r="I28" i="4"/>
  <c r="F30" i="3"/>
  <c r="I30" i="3"/>
  <c r="K28" i="4" l="1"/>
  <c r="O28" i="4" s="1"/>
  <c r="N28" i="4"/>
  <c r="G28" i="4"/>
  <c r="K30" i="3"/>
  <c r="G30" i="3"/>
  <c r="H28" i="4" l="1"/>
  <c r="M28" i="4"/>
  <c r="H30" i="3"/>
  <c r="L28" i="4" l="1"/>
  <c r="J28" i="4"/>
  <c r="D29" i="4" s="1"/>
  <c r="L30" i="3"/>
  <c r="J30" i="3"/>
  <c r="D31" i="3" s="1"/>
  <c r="I29" i="4" l="1"/>
  <c r="F29" i="4"/>
  <c r="I31" i="3"/>
  <c r="F31" i="3"/>
  <c r="G29" i="4" l="1"/>
  <c r="K29" i="4"/>
  <c r="O29" i="4" s="1"/>
  <c r="N29" i="4"/>
  <c r="G31" i="3"/>
  <c r="K31" i="3"/>
  <c r="H29" i="4" l="1"/>
  <c r="M29" i="4"/>
  <c r="H31" i="3"/>
  <c r="L29" i="4" l="1"/>
  <c r="J29" i="4"/>
  <c r="D30" i="4" s="1"/>
  <c r="L31" i="3"/>
  <c r="J31" i="3"/>
  <c r="D32" i="3" s="1"/>
  <c r="I30" i="4" l="1"/>
  <c r="F30" i="4"/>
  <c r="F32" i="3"/>
  <c r="I32" i="3"/>
  <c r="G30" i="4" l="1"/>
  <c r="K30" i="4"/>
  <c r="O30" i="4" s="1"/>
  <c r="N30" i="4"/>
  <c r="K32" i="3"/>
  <c r="G32" i="3"/>
  <c r="H30" i="4" l="1"/>
  <c r="M30" i="4"/>
  <c r="H32" i="3"/>
  <c r="L30" i="4" l="1"/>
  <c r="J30" i="4"/>
  <c r="D31" i="4" s="1"/>
  <c r="L32" i="3"/>
  <c r="J32" i="3"/>
  <c r="D33" i="3" s="1"/>
  <c r="F31" i="4" l="1"/>
  <c r="I31" i="4"/>
  <c r="F33" i="3"/>
  <c r="I33" i="3"/>
  <c r="K31" i="4" l="1"/>
  <c r="O31" i="4" s="1"/>
  <c r="N31" i="4"/>
  <c r="G31" i="4"/>
  <c r="K33" i="3"/>
  <c r="G33" i="3"/>
  <c r="H31" i="4" l="1"/>
  <c r="M31" i="4"/>
  <c r="H33" i="3"/>
  <c r="L31" i="4" l="1"/>
  <c r="J31" i="4"/>
  <c r="D32" i="4" s="1"/>
  <c r="L33" i="3"/>
  <c r="J33" i="3"/>
  <c r="D34" i="3" s="1"/>
  <c r="F32" i="4" l="1"/>
  <c r="I32" i="4"/>
  <c r="F34" i="3"/>
  <c r="I34" i="3"/>
  <c r="K32" i="4" l="1"/>
  <c r="O32" i="4" s="1"/>
  <c r="N32" i="4"/>
  <c r="G32" i="4"/>
  <c r="K34" i="3"/>
  <c r="G34" i="3"/>
  <c r="H32" i="4" l="1"/>
  <c r="M32" i="4"/>
  <c r="H34" i="3"/>
  <c r="L32" i="4" l="1"/>
  <c r="J32" i="4"/>
  <c r="D33" i="4" s="1"/>
  <c r="L34" i="3"/>
  <c r="J34" i="3"/>
  <c r="D35" i="3" s="1"/>
  <c r="F33" i="4" l="1"/>
  <c r="I33" i="4"/>
  <c r="F35" i="3"/>
  <c r="I35" i="3"/>
  <c r="K33" i="4" l="1"/>
  <c r="O33" i="4" s="1"/>
  <c r="N33" i="4"/>
  <c r="G33" i="4"/>
  <c r="K35" i="3"/>
  <c r="G35" i="3"/>
  <c r="H33" i="4" l="1"/>
  <c r="M33" i="4"/>
  <c r="H35" i="3"/>
  <c r="L33" i="4" l="1"/>
  <c r="J33" i="4"/>
  <c r="D34" i="4" s="1"/>
  <c r="L35" i="3"/>
  <c r="J35" i="3"/>
  <c r="D36" i="3" s="1"/>
  <c r="F34" i="4" l="1"/>
  <c r="I34" i="4"/>
  <c r="I36" i="3"/>
  <c r="F36" i="3"/>
  <c r="K34" i="4" l="1"/>
  <c r="O34" i="4" s="1"/>
  <c r="N34" i="4"/>
  <c r="G34" i="4"/>
  <c r="G36" i="3"/>
  <c r="K36" i="3"/>
  <c r="H34" i="4" l="1"/>
  <c r="M34" i="4"/>
  <c r="H36" i="3"/>
  <c r="L34" i="4" l="1"/>
  <c r="J34" i="4"/>
  <c r="D35" i="4" s="1"/>
  <c r="L36" i="3"/>
  <c r="J36" i="3"/>
  <c r="D37" i="3" s="1"/>
  <c r="I35" i="4" l="1"/>
  <c r="F35" i="4"/>
  <c r="I37" i="3"/>
  <c r="F37" i="3"/>
  <c r="G35" i="4" l="1"/>
  <c r="K35" i="4"/>
  <c r="O35" i="4" s="1"/>
  <c r="N35" i="4"/>
  <c r="G37" i="3"/>
  <c r="K37" i="3"/>
  <c r="H35" i="4" l="1"/>
  <c r="M35" i="4"/>
  <c r="H37" i="3"/>
  <c r="L35" i="4" l="1"/>
  <c r="J35" i="4"/>
  <c r="D36" i="4" s="1"/>
  <c r="L37" i="3"/>
  <c r="J6" i="2" s="1" a="1"/>
  <c r="J6" i="2" s="1"/>
  <c r="J37" i="3"/>
  <c r="F36" i="4" l="1"/>
  <c r="I36" i="4"/>
  <c r="E6" i="2"/>
  <c r="F6" i="2" s="1"/>
  <c r="D38" i="3"/>
  <c r="K36" i="4" l="1"/>
  <c r="O36" i="4" s="1"/>
  <c r="N36" i="4"/>
  <c r="G36" i="4"/>
  <c r="I38" i="3"/>
  <c r="F38" i="3"/>
  <c r="H36" i="4" l="1"/>
  <c r="M36" i="4"/>
  <c r="G38" i="3"/>
  <c r="K38" i="3"/>
  <c r="L36" i="4" l="1"/>
  <c r="J36" i="4"/>
  <c r="D37" i="4" s="1"/>
  <c r="H38" i="3"/>
  <c r="F37" i="4" l="1"/>
  <c r="I37" i="4"/>
  <c r="L38" i="3"/>
  <c r="J38" i="3"/>
  <c r="D39" i="3" s="1"/>
  <c r="K37" i="4" l="1"/>
  <c r="O37" i="4" s="1"/>
  <c r="N37" i="4"/>
  <c r="G37" i="4"/>
  <c r="F39" i="3"/>
  <c r="I39" i="3"/>
  <c r="H37" i="4" l="1"/>
  <c r="M37" i="4"/>
  <c r="K39" i="3"/>
  <c r="G39" i="3"/>
  <c r="L37" i="4" l="1"/>
  <c r="K6" i="2" s="1" a="1"/>
  <c r="K6" i="2" s="1"/>
  <c r="L6" i="2" s="1"/>
  <c r="J37" i="4"/>
  <c r="D38" i="4" s="1"/>
  <c r="H39" i="3"/>
  <c r="N6" i="2" l="1"/>
  <c r="P6" i="2" s="1"/>
  <c r="M6" i="2"/>
  <c r="I38" i="4"/>
  <c r="F38" i="4"/>
  <c r="L39" i="3"/>
  <c r="J39" i="3"/>
  <c r="D40" i="3" s="1"/>
  <c r="G38" i="4" l="1"/>
  <c r="K38" i="4"/>
  <c r="O38" i="4" s="1"/>
  <c r="N38" i="4"/>
  <c r="I40" i="3"/>
  <c r="F40" i="3"/>
  <c r="H38" i="4" l="1"/>
  <c r="M38" i="4"/>
  <c r="G40" i="3"/>
  <c r="K40" i="3"/>
  <c r="L38" i="4" l="1"/>
  <c r="J38" i="4"/>
  <c r="D39" i="4" s="1"/>
  <c r="H40" i="3"/>
  <c r="I39" i="4" l="1"/>
  <c r="F39" i="4"/>
  <c r="L40" i="3"/>
  <c r="J40" i="3"/>
  <c r="D41" i="3" s="1"/>
  <c r="G39" i="4" l="1"/>
  <c r="K39" i="4"/>
  <c r="O39" i="4" s="1"/>
  <c r="N39" i="4"/>
  <c r="I41" i="3"/>
  <c r="F41" i="3"/>
  <c r="H39" i="4" l="1"/>
  <c r="M39" i="4"/>
  <c r="G41" i="3"/>
  <c r="K41" i="3"/>
  <c r="L39" i="4" l="1"/>
  <c r="J39" i="4"/>
  <c r="D40" i="4" s="1"/>
  <c r="H41" i="3"/>
  <c r="F40" i="4" l="1"/>
  <c r="I40" i="4"/>
  <c r="L41" i="3"/>
  <c r="J41" i="3"/>
  <c r="D42" i="3" s="1"/>
  <c r="K40" i="4" l="1"/>
  <c r="O40" i="4" s="1"/>
  <c r="N40" i="4"/>
  <c r="G40" i="4"/>
  <c r="F42" i="3"/>
  <c r="I42" i="3"/>
  <c r="H40" i="4" l="1"/>
  <c r="M40" i="4"/>
  <c r="K42" i="3"/>
  <c r="G42" i="3"/>
  <c r="L40" i="4" l="1"/>
  <c r="J40" i="4"/>
  <c r="D41" i="4" s="1"/>
  <c r="H42" i="3"/>
  <c r="F41" i="4" l="1"/>
  <c r="I41" i="4"/>
  <c r="L42" i="3"/>
  <c r="J42" i="3"/>
  <c r="D43" i="3" s="1"/>
  <c r="K41" i="4" l="1"/>
  <c r="O41" i="4" s="1"/>
  <c r="N41" i="4"/>
  <c r="G41" i="4"/>
  <c r="F43" i="3"/>
  <c r="I43" i="3"/>
  <c r="H41" i="4" l="1"/>
  <c r="M41" i="4"/>
  <c r="K43" i="3"/>
  <c r="G43" i="3"/>
  <c r="L41" i="4" l="1"/>
  <c r="J41" i="4"/>
  <c r="D42" i="4" s="1"/>
  <c r="H43" i="3"/>
  <c r="F42" i="4" l="1"/>
  <c r="I42" i="4"/>
  <c r="L43" i="3"/>
  <c r="J43" i="3"/>
  <c r="D44" i="3" s="1"/>
  <c r="K42" i="4" l="1"/>
  <c r="O42" i="4" s="1"/>
  <c r="N42" i="4"/>
  <c r="G42" i="4"/>
  <c r="I44" i="3"/>
  <c r="F44" i="3"/>
  <c r="H42" i="4" l="1"/>
  <c r="M42" i="4"/>
  <c r="G44" i="3"/>
  <c r="K44" i="3"/>
  <c r="L42" i="4" l="1"/>
  <c r="J42" i="4"/>
  <c r="D43" i="4" s="1"/>
  <c r="H44" i="3"/>
  <c r="I43" i="4" l="1"/>
  <c r="F43" i="4"/>
  <c r="L44" i="3"/>
  <c r="J44" i="3"/>
  <c r="D45" i="3" s="1"/>
  <c r="G43" i="4" l="1"/>
  <c r="K43" i="4"/>
  <c r="O43" i="4" s="1"/>
  <c r="N43" i="4"/>
  <c r="F45" i="3"/>
  <c r="I45" i="3"/>
  <c r="H43" i="4" l="1"/>
  <c r="M43" i="4"/>
  <c r="K45" i="3"/>
  <c r="G45" i="3"/>
  <c r="L43" i="4" l="1"/>
  <c r="J43" i="4"/>
  <c r="D44" i="4" s="1"/>
  <c r="H45" i="3"/>
  <c r="F44" i="4" l="1"/>
  <c r="I44" i="4"/>
  <c r="L45" i="3"/>
  <c r="J45" i="3"/>
  <c r="D46" i="3" s="1"/>
  <c r="K44" i="4" l="1"/>
  <c r="O44" i="4" s="1"/>
  <c r="N44" i="4"/>
  <c r="G44" i="4"/>
  <c r="F46" i="3"/>
  <c r="I46" i="3"/>
  <c r="H44" i="4" l="1"/>
  <c r="M44" i="4"/>
  <c r="K46" i="3"/>
  <c r="G46" i="3"/>
  <c r="L44" i="4" l="1"/>
  <c r="J44" i="4"/>
  <c r="D45" i="4" s="1"/>
  <c r="H46" i="3"/>
  <c r="I45" i="4" l="1"/>
  <c r="F45" i="4"/>
  <c r="L46" i="3"/>
  <c r="J46" i="3"/>
  <c r="D47" i="3" s="1"/>
  <c r="G45" i="4" l="1"/>
  <c r="K45" i="4"/>
  <c r="O45" i="4" s="1"/>
  <c r="N45" i="4"/>
  <c r="F47" i="3"/>
  <c r="I47" i="3"/>
  <c r="H45" i="4" l="1"/>
  <c r="M45" i="4"/>
  <c r="K47" i="3"/>
  <c r="G47" i="3"/>
  <c r="L45" i="4" l="1"/>
  <c r="J45" i="4"/>
  <c r="D46" i="4" s="1"/>
  <c r="H47" i="3"/>
  <c r="F46" i="4" l="1"/>
  <c r="I46" i="4"/>
  <c r="L47" i="3"/>
  <c r="J47" i="3"/>
  <c r="D48" i="3" s="1"/>
  <c r="K46" i="4" l="1"/>
  <c r="O46" i="4" s="1"/>
  <c r="N46" i="4"/>
  <c r="G46" i="4"/>
  <c r="F48" i="3"/>
  <c r="I48" i="3"/>
  <c r="H46" i="4" l="1"/>
  <c r="M46" i="4"/>
  <c r="K48" i="3"/>
  <c r="G48" i="3"/>
  <c r="L46" i="4" l="1"/>
  <c r="J46" i="4"/>
  <c r="D47" i="4" s="1"/>
  <c r="H48" i="3"/>
  <c r="I47" i="4" l="1"/>
  <c r="F47" i="4"/>
  <c r="L48" i="3"/>
  <c r="J48" i="3"/>
  <c r="D49" i="3" s="1"/>
  <c r="G47" i="4" l="1"/>
  <c r="K47" i="4"/>
  <c r="O47" i="4" s="1"/>
  <c r="N47" i="4"/>
  <c r="F49" i="3"/>
  <c r="I49" i="3"/>
  <c r="H47" i="4" l="1"/>
  <c r="M47" i="4"/>
  <c r="K49" i="3"/>
  <c r="G49" i="3"/>
  <c r="L47" i="4" l="1"/>
  <c r="J47" i="4"/>
  <c r="D48" i="4" s="1"/>
  <c r="H49" i="3"/>
  <c r="F48" i="4" l="1"/>
  <c r="I48" i="4"/>
  <c r="L49" i="3"/>
  <c r="J7" i="2" s="1" a="1"/>
  <c r="J7" i="2" s="1"/>
  <c r="J49" i="3"/>
  <c r="K48" i="4" l="1"/>
  <c r="O48" i="4" s="1"/>
  <c r="N48" i="4"/>
  <c r="G48" i="4"/>
  <c r="D50" i="3"/>
  <c r="E7" i="2"/>
  <c r="F7" i="2" s="1"/>
  <c r="H48" i="4" l="1"/>
  <c r="M48" i="4"/>
  <c r="I50" i="3"/>
  <c r="F50" i="3"/>
  <c r="L48" i="4" l="1"/>
  <c r="J48" i="4"/>
  <c r="D49" i="4" s="1"/>
  <c r="G50" i="3"/>
  <c r="K50" i="3"/>
  <c r="F49" i="4" l="1"/>
  <c r="I49" i="4"/>
  <c r="H50" i="3"/>
  <c r="K49" i="4" l="1"/>
  <c r="O49" i="4" s="1"/>
  <c r="N49" i="4"/>
  <c r="G49" i="4"/>
  <c r="L50" i="3"/>
  <c r="J50" i="3"/>
  <c r="D51" i="3" s="1"/>
  <c r="H49" i="4" l="1"/>
  <c r="M49" i="4"/>
  <c r="F51" i="3"/>
  <c r="I51" i="3"/>
  <c r="L49" i="4" l="1"/>
  <c r="K7" i="2" s="1" a="1"/>
  <c r="K7" i="2" s="1"/>
  <c r="L7" i="2" s="1"/>
  <c r="J49" i="4"/>
  <c r="D50" i="4" s="1"/>
  <c r="K51" i="3"/>
  <c r="G51" i="3"/>
  <c r="N7" i="2" l="1"/>
  <c r="P7" i="2" s="1"/>
  <c r="M7" i="2"/>
  <c r="F50" i="4"/>
  <c r="I50" i="4"/>
  <c r="H51" i="3"/>
  <c r="G50" i="4" l="1"/>
  <c r="K50" i="4"/>
  <c r="O50" i="4" s="1"/>
  <c r="N50" i="4"/>
  <c r="L51" i="3"/>
  <c r="J51" i="3"/>
  <c r="D52" i="3" s="1"/>
  <c r="H50" i="4" l="1"/>
  <c r="M50" i="4"/>
  <c r="F52" i="3"/>
  <c r="I52" i="3"/>
  <c r="L50" i="4" l="1"/>
  <c r="J50" i="4"/>
  <c r="D51" i="4" s="1"/>
  <c r="K52" i="3"/>
  <c r="G52" i="3"/>
  <c r="F51" i="4" l="1"/>
  <c r="I51" i="4"/>
  <c r="H52" i="3"/>
  <c r="K51" i="4" l="1"/>
  <c r="O51" i="4" s="1"/>
  <c r="N51" i="4"/>
  <c r="G51" i="4"/>
  <c r="L52" i="3"/>
  <c r="J52" i="3"/>
  <c r="D53" i="3" s="1"/>
  <c r="H51" i="4" l="1"/>
  <c r="M51" i="4"/>
  <c r="I53" i="3"/>
  <c r="F53" i="3"/>
  <c r="L51" i="4" l="1"/>
  <c r="J51" i="4"/>
  <c r="D52" i="4" s="1"/>
  <c r="G53" i="3"/>
  <c r="K53" i="3"/>
  <c r="I52" i="4" l="1"/>
  <c r="F52" i="4"/>
  <c r="H53" i="3"/>
  <c r="G52" i="4" l="1"/>
  <c r="K52" i="4"/>
  <c r="O52" i="4" s="1"/>
  <c r="N52" i="4"/>
  <c r="L53" i="3"/>
  <c r="J53" i="3"/>
  <c r="D54" i="3" s="1"/>
  <c r="H52" i="4" l="1"/>
  <c r="M52" i="4"/>
  <c r="I54" i="3"/>
  <c r="F54" i="3"/>
  <c r="L52" i="4" l="1"/>
  <c r="J52" i="4"/>
  <c r="D53" i="4" s="1"/>
  <c r="G54" i="3"/>
  <c r="K54" i="3"/>
  <c r="I53" i="4" l="1"/>
  <c r="F53" i="4"/>
  <c r="H54" i="3"/>
  <c r="G53" i="4" l="1"/>
  <c r="K53" i="4"/>
  <c r="O53" i="4" s="1"/>
  <c r="N53" i="4"/>
  <c r="L54" i="3"/>
  <c r="J54" i="3"/>
  <c r="D55" i="3" s="1"/>
  <c r="H53" i="4" l="1"/>
  <c r="M53" i="4"/>
  <c r="F55" i="3"/>
  <c r="I55" i="3"/>
  <c r="L53" i="4" l="1"/>
  <c r="J53" i="4"/>
  <c r="D54" i="4" s="1"/>
  <c r="K55" i="3"/>
  <c r="G55" i="3"/>
  <c r="F54" i="4" l="1"/>
  <c r="I54" i="4"/>
  <c r="H55" i="3"/>
  <c r="K54" i="4" l="1"/>
  <c r="O54" i="4" s="1"/>
  <c r="N54" i="4"/>
  <c r="G54" i="4"/>
  <c r="L55" i="3"/>
  <c r="J55" i="3"/>
  <c r="D56" i="3" s="1"/>
  <c r="H54" i="4" l="1"/>
  <c r="M54" i="4"/>
  <c r="I56" i="3"/>
  <c r="F56" i="3"/>
  <c r="L54" i="4" l="1"/>
  <c r="J54" i="4"/>
  <c r="D55" i="4" s="1"/>
  <c r="G56" i="3"/>
  <c r="K56" i="3"/>
  <c r="I55" i="4" l="1"/>
  <c r="F55" i="4"/>
  <c r="G55" i="4" s="1"/>
  <c r="H56" i="3"/>
  <c r="K55" i="4" l="1"/>
  <c r="O55" i="4" s="1"/>
  <c r="N55" i="4"/>
  <c r="H55" i="4"/>
  <c r="M55" i="4"/>
  <c r="L56" i="3"/>
  <c r="J56" i="3"/>
  <c r="D57" i="3" s="1"/>
  <c r="J55" i="4" l="1"/>
  <c r="D56" i="4" s="1"/>
  <c r="L55" i="4"/>
  <c r="F57" i="3"/>
  <c r="I57" i="3"/>
  <c r="I56" i="4" l="1"/>
  <c r="F56" i="4"/>
  <c r="K57" i="3"/>
  <c r="G57" i="3"/>
  <c r="G56" i="4" l="1"/>
  <c r="K56" i="4"/>
  <c r="O56" i="4" s="1"/>
  <c r="N56" i="4"/>
  <c r="H57" i="3"/>
  <c r="H56" i="4" l="1"/>
  <c r="M56" i="4"/>
  <c r="L57" i="3"/>
  <c r="J57" i="3"/>
  <c r="D58" i="3" s="1"/>
  <c r="L56" i="4" l="1"/>
  <c r="J56" i="4"/>
  <c r="D57" i="4" s="1"/>
  <c r="F58" i="3"/>
  <c r="I58" i="3"/>
  <c r="I57" i="4" l="1"/>
  <c r="F57" i="4"/>
  <c r="K58" i="3"/>
  <c r="G58" i="3"/>
  <c r="G57" i="4" l="1"/>
  <c r="K57" i="4"/>
  <c r="O57" i="4" s="1"/>
  <c r="N57" i="4"/>
  <c r="H58" i="3"/>
  <c r="H57" i="4" l="1"/>
  <c r="M57" i="4"/>
  <c r="L58" i="3"/>
  <c r="J58" i="3"/>
  <c r="D59" i="3" s="1"/>
  <c r="L57" i="4" l="1"/>
  <c r="J57" i="4"/>
  <c r="D58" i="4" s="1"/>
  <c r="I59" i="3"/>
  <c r="F59" i="3"/>
  <c r="I58" i="4" l="1"/>
  <c r="F58" i="4"/>
  <c r="G59" i="3"/>
  <c r="K59" i="3"/>
  <c r="G58" i="4" l="1"/>
  <c r="K58" i="4"/>
  <c r="O58" i="4" s="1"/>
  <c r="N58" i="4"/>
  <c r="H59" i="3"/>
  <c r="H58" i="4" l="1"/>
  <c r="M58" i="4"/>
  <c r="L59" i="3"/>
  <c r="J59" i="3"/>
  <c r="D60" i="3" s="1"/>
  <c r="L58" i="4" l="1"/>
  <c r="J58" i="4"/>
  <c r="D59" i="4" s="1"/>
  <c r="I60" i="3"/>
  <c r="F60" i="3"/>
  <c r="F59" i="4" l="1"/>
  <c r="I59" i="4"/>
  <c r="G60" i="3"/>
  <c r="K60" i="3"/>
  <c r="K59" i="4" l="1"/>
  <c r="O59" i="4" s="1"/>
  <c r="N59" i="4"/>
  <c r="G59" i="4"/>
  <c r="H60" i="3"/>
  <c r="H59" i="4" l="1"/>
  <c r="M59" i="4"/>
  <c r="L60" i="3"/>
  <c r="J60" i="3"/>
  <c r="D61" i="3" s="1"/>
  <c r="L59" i="4" l="1"/>
  <c r="J59" i="4"/>
  <c r="D60" i="4" s="1"/>
  <c r="I61" i="3"/>
  <c r="F61" i="3"/>
  <c r="I60" i="4" l="1"/>
  <c r="F60" i="4"/>
  <c r="G61" i="3"/>
  <c r="K61" i="3"/>
  <c r="G60" i="4" l="1"/>
  <c r="K60" i="4"/>
  <c r="O60" i="4" s="1"/>
  <c r="N60" i="4"/>
  <c r="H61" i="3"/>
  <c r="H60" i="4" l="1"/>
  <c r="M60" i="4"/>
  <c r="L61" i="3"/>
  <c r="J8" i="2" s="1" a="1"/>
  <c r="J8" i="2" s="1"/>
  <c r="J61" i="3"/>
  <c r="L60" i="4" l="1"/>
  <c r="J60" i="4"/>
  <c r="D61" i="4" s="1"/>
  <c r="D62" i="3"/>
  <c r="E8" i="2"/>
  <c r="F8" i="2" s="1"/>
  <c r="I61" i="4" l="1"/>
  <c r="F61" i="4"/>
  <c r="F62" i="3"/>
  <c r="I62" i="3"/>
  <c r="G61" i="4" l="1"/>
  <c r="K61" i="4"/>
  <c r="O61" i="4" s="1"/>
  <c r="N61" i="4"/>
  <c r="K62" i="3"/>
  <c r="G62" i="3"/>
  <c r="H61" i="4" l="1"/>
  <c r="M61" i="4"/>
  <c r="H62" i="3"/>
  <c r="L61" i="4" l="1"/>
  <c r="K8" i="2" s="1" a="1"/>
  <c r="K8" i="2" s="1"/>
  <c r="L8" i="2" s="1"/>
  <c r="J61" i="4"/>
  <c r="D62" i="4" s="1"/>
  <c r="L62" i="3"/>
  <c r="J62" i="3"/>
  <c r="D63" i="3" s="1"/>
  <c r="N8" i="2" l="1"/>
  <c r="P8" i="2" s="1"/>
  <c r="M8" i="2"/>
  <c r="F62" i="4"/>
  <c r="G62" i="4" s="1"/>
  <c r="I62" i="4"/>
  <c r="I63" i="3"/>
  <c r="F63" i="3"/>
  <c r="K62" i="4" l="1"/>
  <c r="O62" i="4" s="1"/>
  <c r="N62" i="4"/>
  <c r="H62" i="4"/>
  <c r="M62" i="4"/>
  <c r="G63" i="3"/>
  <c r="K63" i="3"/>
  <c r="J62" i="4" l="1"/>
  <c r="D63" i="4" s="1"/>
  <c r="L62" i="4"/>
  <c r="H63" i="3"/>
  <c r="I63" i="4" l="1"/>
  <c r="F63" i="4"/>
  <c r="G63" i="4" s="1"/>
  <c r="L63" i="3"/>
  <c r="J63" i="3"/>
  <c r="D64" i="3" s="1"/>
  <c r="H63" i="4" l="1"/>
  <c r="M63" i="4"/>
  <c r="K63" i="4"/>
  <c r="O63" i="4" s="1"/>
  <c r="N63" i="4"/>
  <c r="I64" i="3"/>
  <c r="F64" i="3"/>
  <c r="J63" i="4" l="1"/>
  <c r="D64" i="4" s="1"/>
  <c r="L63" i="4"/>
  <c r="G64" i="3"/>
  <c r="K64" i="3"/>
  <c r="I64" i="4" l="1"/>
  <c r="F64" i="4"/>
  <c r="G64" i="4" s="1"/>
  <c r="H64" i="3"/>
  <c r="H64" i="4" l="1"/>
  <c r="J64" i="4" s="1"/>
  <c r="D65" i="4" s="1"/>
  <c r="M64" i="4"/>
  <c r="K64" i="4"/>
  <c r="O64" i="4" s="1"/>
  <c r="N64" i="4"/>
  <c r="L64" i="3"/>
  <c r="J64" i="3"/>
  <c r="D65" i="3" s="1"/>
  <c r="L64" i="4" l="1"/>
  <c r="I65" i="4"/>
  <c r="K65" i="4" s="1"/>
  <c r="F65" i="4"/>
  <c r="I65" i="3"/>
  <c r="F65" i="3"/>
  <c r="G65" i="4" l="1"/>
  <c r="H65" i="4" s="1"/>
  <c r="J65" i="4" s="1"/>
  <c r="D66" i="4" s="1"/>
  <c r="G65" i="3"/>
  <c r="N65" i="4"/>
  <c r="K65" i="3"/>
  <c r="O65" i="4" s="1"/>
  <c r="I66" i="4" l="1"/>
  <c r="K66" i="4" s="1"/>
  <c r="F66" i="4"/>
  <c r="L65" i="4"/>
  <c r="M65" i="4"/>
  <c r="H65" i="3"/>
  <c r="G66" i="4" l="1"/>
  <c r="H66" i="4" s="1"/>
  <c r="J66" i="4" s="1"/>
  <c r="D67" i="4" s="1"/>
  <c r="L65" i="3"/>
  <c r="J65" i="3"/>
  <c r="D66" i="3" s="1"/>
  <c r="F67" i="4" l="1"/>
  <c r="I67" i="4"/>
  <c r="K67" i="4" s="1"/>
  <c r="L66" i="4"/>
  <c r="I66" i="3"/>
  <c r="F66" i="3"/>
  <c r="G67" i="4" l="1"/>
  <c r="H67" i="4" s="1"/>
  <c r="L67" i="4" s="1"/>
  <c r="G66" i="3"/>
  <c r="N66" i="4"/>
  <c r="K66" i="3"/>
  <c r="O66" i="4" s="1"/>
  <c r="J67" i="4" l="1"/>
  <c r="D68" i="4" s="1"/>
  <c r="F68" i="4" s="1"/>
  <c r="M66" i="4"/>
  <c r="H66" i="3"/>
  <c r="I68" i="4" l="1"/>
  <c r="K68" i="4" s="1"/>
  <c r="G68" i="4"/>
  <c r="L66" i="3"/>
  <c r="J66" i="3"/>
  <c r="D67" i="3" s="1"/>
  <c r="H68" i="4" l="1"/>
  <c r="L68" i="4" s="1"/>
  <c r="I67" i="3"/>
  <c r="F67" i="3"/>
  <c r="J68" i="4" l="1"/>
  <c r="D69" i="4" s="1"/>
  <c r="F69" i="4" s="1"/>
  <c r="G69" i="4" s="1"/>
  <c r="G67" i="3"/>
  <c r="N67" i="4"/>
  <c r="K67" i="3"/>
  <c r="O67" i="4" s="1"/>
  <c r="I69" i="4" l="1"/>
  <c r="K69" i="4" s="1"/>
  <c r="H67" i="3"/>
  <c r="M67" i="4"/>
  <c r="H69" i="4" l="1"/>
  <c r="L69" i="4" s="1"/>
  <c r="L67" i="3"/>
  <c r="J67" i="3"/>
  <c r="D68" i="3" s="1"/>
  <c r="J69" i="4" l="1"/>
  <c r="D70" i="4" s="1"/>
  <c r="I70" i="4" s="1"/>
  <c r="K70" i="4" s="1"/>
  <c r="F68" i="3"/>
  <c r="I68" i="3"/>
  <c r="F70" i="4" l="1"/>
  <c r="G70" i="4" s="1"/>
  <c r="H70" i="4" s="1"/>
  <c r="L70" i="4" s="1"/>
  <c r="N68" i="4"/>
  <c r="K68" i="3"/>
  <c r="O68" i="4" s="1"/>
  <c r="G68" i="3"/>
  <c r="J70" i="4" l="1"/>
  <c r="D71" i="4" s="1"/>
  <c r="H68" i="3"/>
  <c r="M68" i="4"/>
  <c r="I71" i="4" l="1"/>
  <c r="K71" i="4" s="1"/>
  <c r="F71" i="4"/>
  <c r="L68" i="3"/>
  <c r="J68" i="3"/>
  <c r="D69" i="3" s="1"/>
  <c r="G71" i="4" l="1"/>
  <c r="H71" i="4" s="1"/>
  <c r="L71" i="4" s="1"/>
  <c r="I69" i="3"/>
  <c r="F69" i="3"/>
  <c r="J71" i="4" l="1"/>
  <c r="D72" i="4" s="1"/>
  <c r="F72" i="4" s="1"/>
  <c r="G69" i="3"/>
  <c r="N69" i="4"/>
  <c r="K69" i="3"/>
  <c r="O69" i="4" s="1"/>
  <c r="I72" i="4" l="1"/>
  <c r="K72" i="4" s="1"/>
  <c r="G72" i="4"/>
  <c r="H69" i="3"/>
  <c r="M69" i="4"/>
  <c r="H72" i="4" l="1"/>
  <c r="L72" i="4" s="1"/>
  <c r="L69" i="3"/>
  <c r="J69" i="3"/>
  <c r="D70" i="3" s="1"/>
  <c r="J72" i="4" l="1"/>
  <c r="D73" i="4" s="1"/>
  <c r="F73" i="4" s="1"/>
  <c r="I70" i="3"/>
  <c r="F70" i="3"/>
  <c r="I73" i="4" l="1"/>
  <c r="K73" i="4" s="1"/>
  <c r="G73" i="4"/>
  <c r="G70" i="3"/>
  <c r="N70" i="4"/>
  <c r="K70" i="3"/>
  <c r="O70" i="4" s="1"/>
  <c r="H73" i="4" l="1"/>
  <c r="L73" i="4" s="1"/>
  <c r="K9" i="2" s="1" a="1"/>
  <c r="K9" i="2" s="1"/>
  <c r="M70" i="4"/>
  <c r="H70" i="3"/>
  <c r="J73" i="4" l="1"/>
  <c r="D74" i="4" s="1"/>
  <c r="F74" i="4" s="1"/>
  <c r="L70" i="3"/>
  <c r="J70" i="3"/>
  <c r="D71" i="3" s="1"/>
  <c r="I74" i="4" l="1"/>
  <c r="K74" i="4" s="1"/>
  <c r="G74" i="4"/>
  <c r="I71" i="3"/>
  <c r="F71" i="3"/>
  <c r="H74" i="4" l="1"/>
  <c r="J74" i="4" s="1"/>
  <c r="D75" i="4" s="1"/>
  <c r="F75" i="4" s="1"/>
  <c r="G71" i="3"/>
  <c r="N71" i="4"/>
  <c r="K71" i="3"/>
  <c r="O71" i="4" s="1"/>
  <c r="L74" i="4" l="1"/>
  <c r="I75" i="4"/>
  <c r="K75" i="4" s="1"/>
  <c r="G75" i="4"/>
  <c r="H71" i="3"/>
  <c r="M71" i="4"/>
  <c r="H75" i="4" l="1"/>
  <c r="J75" i="4" s="1"/>
  <c r="D76" i="4" s="1"/>
  <c r="I76" i="4" s="1"/>
  <c r="K76" i="4" s="1"/>
  <c r="L71" i="3"/>
  <c r="J71" i="3"/>
  <c r="D72" i="3" s="1"/>
  <c r="L75" i="4" l="1"/>
  <c r="F76" i="4"/>
  <c r="G76" i="4" s="1"/>
  <c r="H76" i="4" s="1"/>
  <c r="J76" i="4" s="1"/>
  <c r="D77" i="4" s="1"/>
  <c r="I72" i="3"/>
  <c r="F72" i="3"/>
  <c r="I77" i="4" l="1"/>
  <c r="K77" i="4" s="1"/>
  <c r="F77" i="4"/>
  <c r="L76" i="4"/>
  <c r="G72" i="3"/>
  <c r="N72" i="4"/>
  <c r="K72" i="3"/>
  <c r="O72" i="4" s="1"/>
  <c r="G77" i="4" l="1"/>
  <c r="H77" i="4" s="1"/>
  <c r="H72" i="3"/>
  <c r="M72" i="4"/>
  <c r="L77" i="4" l="1"/>
  <c r="J77" i="4"/>
  <c r="D78" i="4" s="1"/>
  <c r="L72" i="3"/>
  <c r="J72" i="3"/>
  <c r="D73" i="3" s="1"/>
  <c r="I78" i="4" l="1"/>
  <c r="K78" i="4" s="1"/>
  <c r="F78" i="4"/>
  <c r="F73" i="3"/>
  <c r="I73" i="3"/>
  <c r="G78" i="4" l="1"/>
  <c r="H78" i="4" s="1"/>
  <c r="N73" i="4"/>
  <c r="K73" i="3"/>
  <c r="G73" i="3"/>
  <c r="L78" i="4" l="1"/>
  <c r="J78" i="4"/>
  <c r="D79" i="4" s="1"/>
  <c r="O73" i="4"/>
  <c r="M73" i="4"/>
  <c r="H73" i="3"/>
  <c r="F79" i="4" l="1"/>
  <c r="I79" i="4"/>
  <c r="K79" i="4" s="1"/>
  <c r="L73" i="3"/>
  <c r="J9" i="2" s="1" a="1"/>
  <c r="J9" i="2" s="1"/>
  <c r="L9" i="2" s="1"/>
  <c r="J73" i="3"/>
  <c r="N9" i="2" l="1"/>
  <c r="P9" i="2" s="1"/>
  <c r="M9" i="2"/>
  <c r="G79" i="4"/>
  <c r="H79" i="4" s="1"/>
  <c r="J79" i="4" s="1"/>
  <c r="D80" i="4" s="1"/>
  <c r="E9" i="2"/>
  <c r="F9" i="2" s="1"/>
  <c r="D74" i="3"/>
  <c r="I80" i="4" l="1"/>
  <c r="K80" i="4" s="1"/>
  <c r="F80" i="4"/>
  <c r="G80" i="4" s="1"/>
  <c r="L79" i="4"/>
  <c r="I74" i="3"/>
  <c r="F74" i="3"/>
  <c r="H80" i="4" l="1"/>
  <c r="J80" i="4" s="1"/>
  <c r="D81" i="4" s="1"/>
  <c r="I81" i="4" s="1"/>
  <c r="K81" i="4" s="1"/>
  <c r="G74" i="3"/>
  <c r="N74" i="4"/>
  <c r="K74" i="3"/>
  <c r="O74" i="4" s="1"/>
  <c r="L80" i="4" l="1"/>
  <c r="F81" i="4"/>
  <c r="G81" i="4" s="1"/>
  <c r="H81" i="4" s="1"/>
  <c r="L81" i="4" s="1"/>
  <c r="M74" i="4"/>
  <c r="H74" i="3"/>
  <c r="J81" i="4" l="1"/>
  <c r="D82" i="4" s="1"/>
  <c r="L74" i="3"/>
  <c r="J74" i="3"/>
  <c r="D75" i="3" s="1"/>
  <c r="F82" i="4" l="1"/>
  <c r="I82" i="4"/>
  <c r="K82" i="4" s="1"/>
  <c r="I75" i="3"/>
  <c r="F75" i="3"/>
  <c r="G82" i="4" l="1"/>
  <c r="H82" i="4" s="1"/>
  <c r="L82" i="4" s="1"/>
  <c r="G75" i="3"/>
  <c r="N75" i="4"/>
  <c r="K75" i="3"/>
  <c r="O75" i="4" s="1"/>
  <c r="J82" i="4" l="1"/>
  <c r="D83" i="4" s="1"/>
  <c r="F83" i="4" s="1"/>
  <c r="H75" i="3"/>
  <c r="M75" i="4"/>
  <c r="I83" i="4" l="1"/>
  <c r="K83" i="4" s="1"/>
  <c r="G83" i="4"/>
  <c r="L75" i="3"/>
  <c r="J75" i="3"/>
  <c r="D76" i="3" s="1"/>
  <c r="H83" i="4" l="1"/>
  <c r="L83" i="4" s="1"/>
  <c r="I76" i="3"/>
  <c r="F76" i="3"/>
  <c r="J83" i="4" l="1"/>
  <c r="D84" i="4" s="1"/>
  <c r="I84" i="4" s="1"/>
  <c r="K84" i="4" s="1"/>
  <c r="G76" i="3"/>
  <c r="N76" i="4"/>
  <c r="K76" i="3"/>
  <c r="O76" i="4" s="1"/>
  <c r="F84" i="4" l="1"/>
  <c r="G84" i="4" s="1"/>
  <c r="H84" i="4" s="1"/>
  <c r="M76" i="4"/>
  <c r="H76" i="3"/>
  <c r="L84" i="4" l="1"/>
  <c r="J84" i="4"/>
  <c r="D85" i="4" s="1"/>
  <c r="L76" i="3"/>
  <c r="J76" i="3"/>
  <c r="D77" i="3" s="1"/>
  <c r="I85" i="4" l="1"/>
  <c r="K85" i="4" s="1"/>
  <c r="F85" i="4"/>
  <c r="I77" i="3"/>
  <c r="F77" i="3"/>
  <c r="G85" i="4" l="1"/>
  <c r="H85" i="4" s="1"/>
  <c r="J85" i="4" s="1"/>
  <c r="D86" i="4" s="1"/>
  <c r="G77" i="3"/>
  <c r="N77" i="4"/>
  <c r="K77" i="3"/>
  <c r="O77" i="4" s="1"/>
  <c r="I86" i="4" l="1"/>
  <c r="K86" i="4" s="1"/>
  <c r="F86" i="4"/>
  <c r="L85" i="4"/>
  <c r="K10" i="2" s="1" a="1"/>
  <c r="K10" i="2" s="1"/>
  <c r="M77" i="4"/>
  <c r="H77" i="3"/>
  <c r="G86" i="4" l="1"/>
  <c r="H86" i="4" s="1"/>
  <c r="J86" i="4" s="1"/>
  <c r="D87" i="4" s="1"/>
  <c r="L77" i="3"/>
  <c r="J77" i="3"/>
  <c r="D78" i="3" s="1"/>
  <c r="F87" i="4" l="1"/>
  <c r="I87" i="4"/>
  <c r="K87" i="4" s="1"/>
  <c r="L86" i="4"/>
  <c r="I78" i="3"/>
  <c r="F78" i="3"/>
  <c r="G87" i="4" l="1"/>
  <c r="H87" i="4" s="1"/>
  <c r="J87" i="4" s="1"/>
  <c r="D88" i="4" s="1"/>
  <c r="G78" i="3"/>
  <c r="N78" i="4"/>
  <c r="K78" i="3"/>
  <c r="O78" i="4" s="1"/>
  <c r="F88" i="4" l="1"/>
  <c r="I88" i="4"/>
  <c r="K88" i="4" s="1"/>
  <c r="L87" i="4"/>
  <c r="M78" i="4"/>
  <c r="H78" i="3"/>
  <c r="G88" i="4" l="1"/>
  <c r="H88" i="4" s="1"/>
  <c r="J88" i="4" s="1"/>
  <c r="D89" i="4" s="1"/>
  <c r="L78" i="3"/>
  <c r="J78" i="3"/>
  <c r="D79" i="3" s="1"/>
  <c r="I89" i="4" l="1"/>
  <c r="K89" i="4" s="1"/>
  <c r="F89" i="4"/>
  <c r="L88" i="4"/>
  <c r="I79" i="3"/>
  <c r="F79" i="3"/>
  <c r="G89" i="4" l="1"/>
  <c r="H89" i="4" s="1"/>
  <c r="J89" i="4" s="1"/>
  <c r="D90" i="4" s="1"/>
  <c r="G79" i="3"/>
  <c r="N79" i="4"/>
  <c r="K79" i="3"/>
  <c r="O79" i="4" s="1"/>
  <c r="F90" i="4" l="1"/>
  <c r="I90" i="4"/>
  <c r="K90" i="4" s="1"/>
  <c r="L89" i="4"/>
  <c r="M79" i="4"/>
  <c r="H79" i="3"/>
  <c r="G90" i="4" l="1"/>
  <c r="H90" i="4" s="1"/>
  <c r="J90" i="4" s="1"/>
  <c r="D91" i="4" s="1"/>
  <c r="L79" i="3"/>
  <c r="J79" i="3"/>
  <c r="D80" i="3" s="1"/>
  <c r="I91" i="4" l="1"/>
  <c r="K91" i="4" s="1"/>
  <c r="F91" i="4"/>
  <c r="L90" i="4"/>
  <c r="I80" i="3"/>
  <c r="F80" i="3"/>
  <c r="G91" i="4" l="1"/>
  <c r="H91" i="4" s="1"/>
  <c r="L91" i="4" s="1"/>
  <c r="G80" i="3"/>
  <c r="N80" i="4"/>
  <c r="K80" i="3"/>
  <c r="O80" i="4" s="1"/>
  <c r="J91" i="4" l="1"/>
  <c r="D92" i="4" s="1"/>
  <c r="H80" i="3"/>
  <c r="M80" i="4"/>
  <c r="F92" i="4" l="1"/>
  <c r="I92" i="4"/>
  <c r="K92" i="4" s="1"/>
  <c r="L80" i="3"/>
  <c r="J80" i="3"/>
  <c r="D81" i="3" s="1"/>
  <c r="G92" i="4" l="1"/>
  <c r="H92" i="4" s="1"/>
  <c r="L92" i="4" s="1"/>
  <c r="F81" i="3"/>
  <c r="I81" i="3"/>
  <c r="J92" i="4" l="1"/>
  <c r="D93" i="4" s="1"/>
  <c r="N81" i="4"/>
  <c r="K81" i="3"/>
  <c r="O81" i="4" s="1"/>
  <c r="G81" i="3"/>
  <c r="I93" i="4" l="1"/>
  <c r="K93" i="4" s="1"/>
  <c r="F93" i="4"/>
  <c r="H81" i="3"/>
  <c r="M81" i="4"/>
  <c r="G93" i="4" l="1"/>
  <c r="H93" i="4" s="1"/>
  <c r="L93" i="4" s="1"/>
  <c r="L81" i="3"/>
  <c r="J81" i="3"/>
  <c r="D82" i="3" s="1"/>
  <c r="J93" i="4" l="1"/>
  <c r="D94" i="4" s="1"/>
  <c r="F82" i="3"/>
  <c r="I82" i="3"/>
  <c r="F94" i="4" l="1"/>
  <c r="I94" i="4"/>
  <c r="K94" i="4" s="1"/>
  <c r="N82" i="4"/>
  <c r="K82" i="3"/>
  <c r="O82" i="4" s="1"/>
  <c r="G82" i="3"/>
  <c r="G94" i="4" l="1"/>
  <c r="H94" i="4" s="1"/>
  <c r="J94" i="4" s="1"/>
  <c r="D95" i="4" s="1"/>
  <c r="H82" i="3"/>
  <c r="M82" i="4"/>
  <c r="F95" i="4" l="1"/>
  <c r="I95" i="4"/>
  <c r="K95" i="4" s="1"/>
  <c r="L94" i="4"/>
  <c r="L82" i="3"/>
  <c r="J82" i="3"/>
  <c r="D83" i="3" s="1"/>
  <c r="G95" i="4" l="1"/>
  <c r="H95" i="4" s="1"/>
  <c r="F83" i="3"/>
  <c r="I83" i="3"/>
  <c r="L95" i="4" l="1"/>
  <c r="J95" i="4"/>
  <c r="D96" i="4" s="1"/>
  <c r="N83" i="4"/>
  <c r="K83" i="3"/>
  <c r="O83" i="4" s="1"/>
  <c r="G83" i="3"/>
  <c r="F96" i="4" l="1"/>
  <c r="I96" i="4"/>
  <c r="K96" i="4" s="1"/>
  <c r="M83" i="4"/>
  <c r="H83" i="3"/>
  <c r="G96" i="4" l="1"/>
  <c r="H96" i="4" s="1"/>
  <c r="J96" i="4" s="1"/>
  <c r="D97" i="4" s="1"/>
  <c r="L83" i="3"/>
  <c r="J83" i="3"/>
  <c r="D84" i="3" s="1"/>
  <c r="I97" i="4" l="1"/>
  <c r="K97" i="4" s="1"/>
  <c r="F97" i="4"/>
  <c r="L96" i="4"/>
  <c r="I84" i="3"/>
  <c r="F84" i="3"/>
  <c r="G97" i="4" l="1"/>
  <c r="H97" i="4" s="1"/>
  <c r="G84" i="3"/>
  <c r="N84" i="4"/>
  <c r="K84" i="3"/>
  <c r="O84" i="4" s="1"/>
  <c r="L97" i="4" l="1"/>
  <c r="K11" i="2" s="1" a="1"/>
  <c r="K11" i="2" s="1"/>
  <c r="J97" i="4"/>
  <c r="D98" i="4" s="1"/>
  <c r="M84" i="4"/>
  <c r="H84" i="3"/>
  <c r="F98" i="4" l="1"/>
  <c r="I98" i="4"/>
  <c r="K98" i="4" s="1"/>
  <c r="L84" i="3"/>
  <c r="J84" i="3"/>
  <c r="D85" i="3" s="1"/>
  <c r="G98" i="4" l="1"/>
  <c r="H98" i="4" s="1"/>
  <c r="L98" i="4" s="1"/>
  <c r="I85" i="3"/>
  <c r="F85" i="3"/>
  <c r="J98" i="4" l="1"/>
  <c r="D99" i="4" s="1"/>
  <c r="F99" i="4" s="1"/>
  <c r="G85" i="3"/>
  <c r="N85" i="4"/>
  <c r="K85" i="3"/>
  <c r="O85" i="4" s="1"/>
  <c r="I99" i="4" l="1"/>
  <c r="K99" i="4" s="1"/>
  <c r="G99" i="4"/>
  <c r="M85" i="4"/>
  <c r="H85" i="3"/>
  <c r="H99" i="4" l="1"/>
  <c r="L99" i="4" s="1"/>
  <c r="L85" i="3"/>
  <c r="J10" i="2" s="1" a="1"/>
  <c r="J10" i="2" s="1"/>
  <c r="L10" i="2" s="1"/>
  <c r="J85" i="3"/>
  <c r="J99" i="4" l="1"/>
  <c r="D100" i="4" s="1"/>
  <c r="I100" i="4" s="1"/>
  <c r="K100" i="4" s="1"/>
  <c r="N10" i="2"/>
  <c r="P10" i="2" s="1"/>
  <c r="M10" i="2"/>
  <c r="E10" i="2"/>
  <c r="F10" i="2" s="1"/>
  <c r="D86" i="3"/>
  <c r="F100" i="4" l="1"/>
  <c r="G100" i="4" s="1"/>
  <c r="H100" i="4" s="1"/>
  <c r="L100" i="4" s="1"/>
  <c r="I86" i="3"/>
  <c r="F86" i="3"/>
  <c r="J100" i="4" l="1"/>
  <c r="D101" i="4" s="1"/>
  <c r="F101" i="4" s="1"/>
  <c r="G86" i="3"/>
  <c r="N86" i="4"/>
  <c r="K86" i="3"/>
  <c r="O86" i="4" s="1"/>
  <c r="I101" i="4" l="1"/>
  <c r="K101" i="4" s="1"/>
  <c r="G101" i="4"/>
  <c r="M86" i="4"/>
  <c r="H86" i="3"/>
  <c r="H101" i="4" l="1"/>
  <c r="L101" i="4" s="1"/>
  <c r="L86" i="3"/>
  <c r="J86" i="3"/>
  <c r="D87" i="3" s="1"/>
  <c r="J101" i="4" l="1"/>
  <c r="D102" i="4" s="1"/>
  <c r="I102" i="4" s="1"/>
  <c r="K102" i="4" s="1"/>
  <c r="I87" i="3"/>
  <c r="F87" i="3"/>
  <c r="F102" i="4" l="1"/>
  <c r="G102" i="4" s="1"/>
  <c r="H102" i="4" s="1"/>
  <c r="L102" i="4" s="1"/>
  <c r="G87" i="3"/>
  <c r="N87" i="4"/>
  <c r="K87" i="3"/>
  <c r="O87" i="4" s="1"/>
  <c r="J102" i="4" l="1"/>
  <c r="D103" i="4" s="1"/>
  <c r="M87" i="4"/>
  <c r="H87" i="3"/>
  <c r="F103" i="4" l="1"/>
  <c r="I103" i="4"/>
  <c r="K103" i="4" s="1"/>
  <c r="L87" i="3"/>
  <c r="J87" i="3"/>
  <c r="D88" i="3" s="1"/>
  <c r="G103" i="4" l="1"/>
  <c r="H103" i="4" s="1"/>
  <c r="J103" i="4" s="1"/>
  <c r="D104" i="4" s="1"/>
  <c r="I88" i="3"/>
  <c r="F88" i="3"/>
  <c r="F104" i="4" l="1"/>
  <c r="I104" i="4"/>
  <c r="K104" i="4" s="1"/>
  <c r="L103" i="4"/>
  <c r="G88" i="3"/>
  <c r="N88" i="4"/>
  <c r="K88" i="3"/>
  <c r="O88" i="4" s="1"/>
  <c r="G104" i="4" l="1"/>
  <c r="H104" i="4" s="1"/>
  <c r="J104" i="4" s="1"/>
  <c r="D105" i="4" s="1"/>
  <c r="M88" i="4"/>
  <c r="H88" i="3"/>
  <c r="I105" i="4" l="1"/>
  <c r="K105" i="4" s="1"/>
  <c r="F105" i="4"/>
  <c r="L104" i="4"/>
  <c r="L88" i="3"/>
  <c r="J88" i="3"/>
  <c r="D89" i="3" s="1"/>
  <c r="G105" i="4" l="1"/>
  <c r="H105" i="4" s="1"/>
  <c r="J105" i="4" s="1"/>
  <c r="D106" i="4" s="1"/>
  <c r="I89" i="3"/>
  <c r="F89" i="3"/>
  <c r="F106" i="4" l="1"/>
  <c r="I106" i="4"/>
  <c r="K106" i="4" s="1"/>
  <c r="L105" i="4"/>
  <c r="G89" i="3"/>
  <c r="N89" i="4"/>
  <c r="K89" i="3"/>
  <c r="O89" i="4" s="1"/>
  <c r="G106" i="4" l="1"/>
  <c r="H106" i="4" s="1"/>
  <c r="J106" i="4" s="1"/>
  <c r="D107" i="4" s="1"/>
  <c r="H89" i="3"/>
  <c r="M89" i="4"/>
  <c r="I107" i="4" l="1"/>
  <c r="K107" i="4" s="1"/>
  <c r="F107" i="4"/>
  <c r="L106" i="4"/>
  <c r="L89" i="3"/>
  <c r="J89" i="3"/>
  <c r="D90" i="3" s="1"/>
  <c r="G107" i="4" l="1"/>
  <c r="H107" i="4" s="1"/>
  <c r="J107" i="4" s="1"/>
  <c r="D108" i="4" s="1"/>
  <c r="I90" i="3"/>
  <c r="F90" i="3"/>
  <c r="F108" i="4" l="1"/>
  <c r="I108" i="4"/>
  <c r="K108" i="4" s="1"/>
  <c r="L107" i="4"/>
  <c r="G90" i="3"/>
  <c r="N90" i="4"/>
  <c r="K90" i="3"/>
  <c r="O90" i="4" s="1"/>
  <c r="G108" i="4" l="1"/>
  <c r="H108" i="4" s="1"/>
  <c r="L108" i="4" s="1"/>
  <c r="H90" i="3"/>
  <c r="M90" i="4"/>
  <c r="J108" i="4" l="1"/>
  <c r="D109" i="4" s="1"/>
  <c r="F109" i="4" s="1"/>
  <c r="L90" i="3"/>
  <c r="J90" i="3"/>
  <c r="D91" i="3" s="1"/>
  <c r="I109" i="4" l="1"/>
  <c r="K109" i="4" s="1"/>
  <c r="G109" i="4"/>
  <c r="I91" i="3"/>
  <c r="F91" i="3"/>
  <c r="H109" i="4" l="1"/>
  <c r="L109" i="4" s="1"/>
  <c r="K12" i="2" s="1" a="1"/>
  <c r="K12" i="2" s="1"/>
  <c r="G91" i="3"/>
  <c r="N91" i="4"/>
  <c r="K91" i="3"/>
  <c r="O91" i="4" s="1"/>
  <c r="J109" i="4" l="1"/>
  <c r="D110" i="4" s="1"/>
  <c r="F110" i="4" s="1"/>
  <c r="M91" i="4"/>
  <c r="H91" i="3"/>
  <c r="I110" i="4" l="1"/>
  <c r="K110" i="4" s="1"/>
  <c r="G110" i="4"/>
  <c r="L91" i="3"/>
  <c r="J91" i="3"/>
  <c r="D92" i="3" s="1"/>
  <c r="H110" i="4" l="1"/>
  <c r="L110" i="4" s="1"/>
  <c r="I92" i="3"/>
  <c r="F92" i="3"/>
  <c r="J110" i="4" l="1"/>
  <c r="D111" i="4" s="1"/>
  <c r="F111" i="4" s="1"/>
  <c r="G111" i="4" s="1"/>
  <c r="G92" i="3"/>
  <c r="N92" i="4"/>
  <c r="K92" i="3"/>
  <c r="O92" i="4" s="1"/>
  <c r="I111" i="4" l="1"/>
  <c r="K111" i="4" s="1"/>
  <c r="H92" i="3"/>
  <c r="M92" i="4"/>
  <c r="H111" i="4" l="1"/>
  <c r="L111" i="4" s="1"/>
  <c r="L92" i="3"/>
  <c r="J92" i="3"/>
  <c r="D93" i="3" s="1"/>
  <c r="J111" i="4" l="1"/>
  <c r="D112" i="4" s="1"/>
  <c r="F112" i="4" s="1"/>
  <c r="G112" i="4" s="1"/>
  <c r="I93" i="3"/>
  <c r="F93" i="3"/>
  <c r="I112" i="4" l="1"/>
  <c r="K112" i="4" s="1"/>
  <c r="G93" i="3"/>
  <c r="N93" i="4"/>
  <c r="K93" i="3"/>
  <c r="O93" i="4" s="1"/>
  <c r="H112" i="4" l="1"/>
  <c r="L112" i="4" s="1"/>
  <c r="H93" i="3"/>
  <c r="M93" i="4"/>
  <c r="J112" i="4" l="1"/>
  <c r="D113" i="4" s="1"/>
  <c r="F113" i="4" s="1"/>
  <c r="G113" i="4" s="1"/>
  <c r="L93" i="3"/>
  <c r="J93" i="3"/>
  <c r="D94" i="3" s="1"/>
  <c r="I113" i="4" l="1"/>
  <c r="K113" i="4" s="1"/>
  <c r="F94" i="3"/>
  <c r="I94" i="3"/>
  <c r="H113" i="4" l="1"/>
  <c r="L113" i="4" s="1"/>
  <c r="N94" i="4"/>
  <c r="K94" i="3"/>
  <c r="O94" i="4" s="1"/>
  <c r="G94" i="3"/>
  <c r="J113" i="4" l="1"/>
  <c r="D114" i="4" s="1"/>
  <c r="I114" i="4" s="1"/>
  <c r="K114" i="4" s="1"/>
  <c r="H94" i="3"/>
  <c r="M94" i="4"/>
  <c r="F114" i="4" l="1"/>
  <c r="G114" i="4" s="1"/>
  <c r="H114" i="4" s="1"/>
  <c r="J114" i="4" s="1"/>
  <c r="D115" i="4" s="1"/>
  <c r="I115" i="4" s="1"/>
  <c r="K115" i="4" s="1"/>
  <c r="L94" i="3"/>
  <c r="J94" i="3"/>
  <c r="D95" i="3" s="1"/>
  <c r="F115" i="4" l="1"/>
  <c r="G115" i="4" s="1"/>
  <c r="H115" i="4" s="1"/>
  <c r="J115" i="4" s="1"/>
  <c r="D116" i="4" s="1"/>
  <c r="L114" i="4"/>
  <c r="F95" i="3"/>
  <c r="I95" i="3"/>
  <c r="I116" i="4" l="1"/>
  <c r="K116" i="4" s="1"/>
  <c r="F116" i="4"/>
  <c r="L115" i="4"/>
  <c r="N95" i="4"/>
  <c r="K95" i="3"/>
  <c r="O95" i="4" s="1"/>
  <c r="G95" i="3"/>
  <c r="G116" i="4" l="1"/>
  <c r="H116" i="4" s="1"/>
  <c r="J116" i="4" s="1"/>
  <c r="D117" i="4" s="1"/>
  <c r="M95" i="4"/>
  <c r="H95" i="3"/>
  <c r="F117" i="4" l="1"/>
  <c r="I117" i="4"/>
  <c r="K117" i="4" s="1"/>
  <c r="L116" i="4"/>
  <c r="L95" i="3"/>
  <c r="J95" i="3"/>
  <c r="D96" i="3" s="1"/>
  <c r="G117" i="4" l="1"/>
  <c r="H117" i="4" s="1"/>
  <c r="J117" i="4" s="1"/>
  <c r="D118" i="4" s="1"/>
  <c r="I96" i="3"/>
  <c r="F96" i="3"/>
  <c r="I118" i="4" l="1"/>
  <c r="K118" i="4" s="1"/>
  <c r="F118" i="4"/>
  <c r="L117" i="4"/>
  <c r="G96" i="3"/>
  <c r="N96" i="4"/>
  <c r="K96" i="3"/>
  <c r="O96" i="4" s="1"/>
  <c r="G118" i="4" l="1"/>
  <c r="H118" i="4" s="1"/>
  <c r="J118" i="4" s="1"/>
  <c r="D119" i="4" s="1"/>
  <c r="M96" i="4"/>
  <c r="H96" i="3"/>
  <c r="I119" i="4" l="1"/>
  <c r="K119" i="4" s="1"/>
  <c r="F119" i="4"/>
  <c r="L118" i="4"/>
  <c r="L96" i="3"/>
  <c r="J96" i="3"/>
  <c r="D97" i="3" s="1"/>
  <c r="G119" i="4" l="1"/>
  <c r="H119" i="4" s="1"/>
  <c r="J119" i="4" s="1"/>
  <c r="D120" i="4" s="1"/>
  <c r="F97" i="3"/>
  <c r="I97" i="3"/>
  <c r="F120" i="4" l="1"/>
  <c r="I120" i="4"/>
  <c r="K120" i="4" s="1"/>
  <c r="L119" i="4"/>
  <c r="N97" i="4"/>
  <c r="K97" i="3"/>
  <c r="O97" i="4" s="1"/>
  <c r="G97" i="3"/>
  <c r="G120" i="4" l="1"/>
  <c r="H120" i="4" s="1"/>
  <c r="J120" i="4" s="1"/>
  <c r="D121" i="4" s="1"/>
  <c r="M97" i="4"/>
  <c r="H97" i="3"/>
  <c r="I121" i="4" l="1"/>
  <c r="K121" i="4" s="1"/>
  <c r="F121" i="4"/>
  <c r="L120" i="4"/>
  <c r="L97" i="3"/>
  <c r="J11" i="2" s="1" a="1"/>
  <c r="J11" i="2" s="1"/>
  <c r="L11" i="2" s="1"/>
  <c r="J97" i="3"/>
  <c r="N11" i="2" l="1"/>
  <c r="P11" i="2" s="1"/>
  <c r="M11" i="2"/>
  <c r="G121" i="4"/>
  <c r="H121" i="4" s="1"/>
  <c r="D98" i="3"/>
  <c r="E11" i="2"/>
  <c r="F11" i="2" s="1"/>
  <c r="L121" i="4" l="1"/>
  <c r="K13" i="2" s="1" a="1"/>
  <c r="K13" i="2" s="1"/>
  <c r="J121" i="4"/>
  <c r="D122" i="4" s="1"/>
  <c r="I98" i="3"/>
  <c r="F98" i="3"/>
  <c r="I122" i="4" l="1"/>
  <c r="K122" i="4" s="1"/>
  <c r="F122" i="4"/>
  <c r="G122" i="4" s="1"/>
  <c r="G98" i="3"/>
  <c r="N98" i="4"/>
  <c r="K98" i="3"/>
  <c r="O98" i="4" s="1"/>
  <c r="H122" i="4" l="1"/>
  <c r="J122" i="4" s="1"/>
  <c r="D123" i="4" s="1"/>
  <c r="H98" i="3"/>
  <c r="M98" i="4"/>
  <c r="L122" i="4" l="1"/>
  <c r="F123" i="4"/>
  <c r="I123" i="4"/>
  <c r="K123" i="4" s="1"/>
  <c r="L98" i="3"/>
  <c r="J98" i="3"/>
  <c r="D99" i="3" s="1"/>
  <c r="G123" i="4" l="1"/>
  <c r="H123" i="4" s="1"/>
  <c r="L123" i="4" s="1"/>
  <c r="I99" i="3"/>
  <c r="F99" i="3"/>
  <c r="J123" i="4" l="1"/>
  <c r="D124" i="4" s="1"/>
  <c r="G99" i="3"/>
  <c r="N99" i="4"/>
  <c r="K99" i="3"/>
  <c r="O99" i="4" s="1"/>
  <c r="F124" i="4" l="1"/>
  <c r="G124" i="4" s="1"/>
  <c r="I124" i="4"/>
  <c r="K124" i="4" s="1"/>
  <c r="M99" i="4"/>
  <c r="H99" i="3"/>
  <c r="H124" i="4" l="1"/>
  <c r="J124" i="4" s="1"/>
  <c r="D125" i="4" s="1"/>
  <c r="L99" i="3"/>
  <c r="J99" i="3"/>
  <c r="D100" i="3" s="1"/>
  <c r="L124" i="4" l="1"/>
  <c r="I125" i="4"/>
  <c r="K125" i="4" s="1"/>
  <c r="F125" i="4"/>
  <c r="G125" i="4" s="1"/>
  <c r="I100" i="3"/>
  <c r="F100" i="3"/>
  <c r="H125" i="4" l="1"/>
  <c r="G100" i="3"/>
  <c r="N100" i="4"/>
  <c r="K100" i="3"/>
  <c r="O100" i="4" s="1"/>
  <c r="J125" i="4" l="1"/>
  <c r="D126" i="4" s="1"/>
  <c r="L125" i="4"/>
  <c r="M100" i="4"/>
  <c r="H100" i="3"/>
  <c r="F126" i="4" l="1"/>
  <c r="I126" i="4"/>
  <c r="K126" i="4" s="1"/>
  <c r="L100" i="3"/>
  <c r="J100" i="3"/>
  <c r="D101" i="3" s="1"/>
  <c r="G126" i="4" l="1"/>
  <c r="H126" i="4" s="1"/>
  <c r="J126" i="4" s="1"/>
  <c r="D127" i="4" s="1"/>
  <c r="I101" i="3"/>
  <c r="F101" i="3"/>
  <c r="I127" i="4" l="1"/>
  <c r="K127" i="4" s="1"/>
  <c r="F127" i="4"/>
  <c r="L126" i="4"/>
  <c r="G101" i="3"/>
  <c r="N101" i="4"/>
  <c r="K101" i="3"/>
  <c r="O101" i="4" s="1"/>
  <c r="G127" i="4" l="1"/>
  <c r="H127" i="4" s="1"/>
  <c r="J127" i="4" s="1"/>
  <c r="D128" i="4" s="1"/>
  <c r="M101" i="4"/>
  <c r="H101" i="3"/>
  <c r="I128" i="4" l="1"/>
  <c r="K128" i="4" s="1"/>
  <c r="F128" i="4"/>
  <c r="L127" i="4"/>
  <c r="L101" i="3"/>
  <c r="J101" i="3"/>
  <c r="D102" i="3" s="1"/>
  <c r="G128" i="4" l="1"/>
  <c r="H128" i="4" s="1"/>
  <c r="I102" i="3"/>
  <c r="F102" i="3"/>
  <c r="L128" i="4" l="1"/>
  <c r="J128" i="4"/>
  <c r="D129" i="4" s="1"/>
  <c r="G102" i="3"/>
  <c r="N102" i="4"/>
  <c r="K102" i="3"/>
  <c r="O102" i="4" s="1"/>
  <c r="I129" i="4" l="1"/>
  <c r="K129" i="4" s="1"/>
  <c r="F129" i="4"/>
  <c r="H102" i="3"/>
  <c r="M102" i="4"/>
  <c r="G129" i="4" l="1"/>
  <c r="H129" i="4" s="1"/>
  <c r="L102" i="3"/>
  <c r="J102" i="3"/>
  <c r="D103" i="3" s="1"/>
  <c r="L129" i="4" l="1"/>
  <c r="J129" i="4"/>
  <c r="D130" i="4" s="1"/>
  <c r="F103" i="3"/>
  <c r="I103" i="3"/>
  <c r="I130" i="4" l="1"/>
  <c r="K130" i="4" s="1"/>
  <c r="F130" i="4"/>
  <c r="N103" i="4"/>
  <c r="K103" i="3"/>
  <c r="O103" i="4" s="1"/>
  <c r="G103" i="3"/>
  <c r="G130" i="4" l="1"/>
  <c r="H130" i="4" s="1"/>
  <c r="J130" i="4" s="1"/>
  <c r="D131" i="4" s="1"/>
  <c r="M103" i="4"/>
  <c r="H103" i="3"/>
  <c r="I131" i="4" l="1"/>
  <c r="K131" i="4" s="1"/>
  <c r="F131" i="4"/>
  <c r="L130" i="4"/>
  <c r="L103" i="3"/>
  <c r="J103" i="3"/>
  <c r="D104" i="3" s="1"/>
  <c r="G131" i="4" l="1"/>
  <c r="H131" i="4" s="1"/>
  <c r="J131" i="4" s="1"/>
  <c r="D132" i="4" s="1"/>
  <c r="I104" i="3"/>
  <c r="F104" i="3"/>
  <c r="I132" i="4" l="1"/>
  <c r="K132" i="4" s="1"/>
  <c r="F132" i="4"/>
  <c r="L131" i="4"/>
  <c r="G104" i="3"/>
  <c r="N104" i="4"/>
  <c r="K104" i="3"/>
  <c r="O104" i="4" s="1"/>
  <c r="G132" i="4" l="1"/>
  <c r="H132" i="4" s="1"/>
  <c r="J132" i="4" s="1"/>
  <c r="D133" i="4" s="1"/>
  <c r="H104" i="3"/>
  <c r="M104" i="4"/>
  <c r="F133" i="4" l="1"/>
  <c r="I133" i="4"/>
  <c r="K133" i="4" s="1"/>
  <c r="L132" i="4"/>
  <c r="L104" i="3"/>
  <c r="J104" i="3"/>
  <c r="D105" i="3" s="1"/>
  <c r="G133" i="4" l="1"/>
  <c r="H133" i="4" s="1"/>
  <c r="J133" i="4" s="1"/>
  <c r="D134" i="4" s="1"/>
  <c r="I105" i="3"/>
  <c r="F105" i="3"/>
  <c r="I134" i="4" l="1"/>
  <c r="K134" i="4" s="1"/>
  <c r="F134" i="4"/>
  <c r="G134" i="4" s="1"/>
  <c r="L133" i="4"/>
  <c r="K14" i="2" s="1" a="1"/>
  <c r="K14" i="2" s="1"/>
  <c r="G105" i="3"/>
  <c r="N105" i="4"/>
  <c r="K105" i="3"/>
  <c r="O105" i="4" s="1"/>
  <c r="H134" i="4" l="1"/>
  <c r="J134" i="4" s="1"/>
  <c r="D135" i="4" s="1"/>
  <c r="M105" i="4"/>
  <c r="H105" i="3"/>
  <c r="L134" i="4" l="1"/>
  <c r="F135" i="4"/>
  <c r="I135" i="4"/>
  <c r="K135" i="4" s="1"/>
  <c r="L105" i="3"/>
  <c r="J105" i="3"/>
  <c r="D106" i="3" s="1"/>
  <c r="G135" i="4" l="1"/>
  <c r="H135" i="4" s="1"/>
  <c r="J135" i="4" s="1"/>
  <c r="D136" i="4" s="1"/>
  <c r="F106" i="3"/>
  <c r="I106" i="3"/>
  <c r="F136" i="4" l="1"/>
  <c r="I136" i="4"/>
  <c r="K136" i="4" s="1"/>
  <c r="L135" i="4"/>
  <c r="N106" i="4"/>
  <c r="K106" i="3"/>
  <c r="O106" i="4" s="1"/>
  <c r="G106" i="3"/>
  <c r="G136" i="4" l="1"/>
  <c r="H136" i="4" s="1"/>
  <c r="J136" i="4" s="1"/>
  <c r="D137" i="4" s="1"/>
  <c r="M106" i="4"/>
  <c r="H106" i="3"/>
  <c r="I137" i="4" l="1"/>
  <c r="K137" i="4" s="1"/>
  <c r="F137" i="4"/>
  <c r="L136" i="4"/>
  <c r="L106" i="3"/>
  <c r="J106" i="3"/>
  <c r="D107" i="3" s="1"/>
  <c r="G137" i="4" l="1"/>
  <c r="H137" i="4" s="1"/>
  <c r="J137" i="4" s="1"/>
  <c r="D138" i="4" s="1"/>
  <c r="F107" i="3"/>
  <c r="I107" i="3"/>
  <c r="I138" i="4" l="1"/>
  <c r="K138" i="4" s="1"/>
  <c r="F138" i="4"/>
  <c r="L137" i="4"/>
  <c r="N107" i="4"/>
  <c r="K107" i="3"/>
  <c r="O107" i="4" s="1"/>
  <c r="G107" i="3"/>
  <c r="G138" i="4" l="1"/>
  <c r="H138" i="4" s="1"/>
  <c r="J138" i="4" s="1"/>
  <c r="D139" i="4" s="1"/>
  <c r="M107" i="4"/>
  <c r="H107" i="3"/>
  <c r="F139" i="4" l="1"/>
  <c r="I139" i="4"/>
  <c r="K139" i="4" s="1"/>
  <c r="L138" i="4"/>
  <c r="L107" i="3"/>
  <c r="J107" i="3"/>
  <c r="D108" i="3" s="1"/>
  <c r="G139" i="4" l="1"/>
  <c r="H139" i="4" s="1"/>
  <c r="J139" i="4" s="1"/>
  <c r="D140" i="4" s="1"/>
  <c r="F108" i="3"/>
  <c r="I108" i="3"/>
  <c r="F140" i="4" l="1"/>
  <c r="I140" i="4"/>
  <c r="K140" i="4" s="1"/>
  <c r="L139" i="4"/>
  <c r="N108" i="4"/>
  <c r="K108" i="3"/>
  <c r="O108" i="4" s="1"/>
  <c r="G108" i="3"/>
  <c r="G140" i="4" l="1"/>
  <c r="H140" i="4" s="1"/>
  <c r="M108" i="4"/>
  <c r="H108" i="3"/>
  <c r="L140" i="4" l="1"/>
  <c r="J140" i="4"/>
  <c r="D141" i="4" s="1"/>
  <c r="L108" i="3"/>
  <c r="J108" i="3"/>
  <c r="D109" i="3" s="1"/>
  <c r="I141" i="4" l="1"/>
  <c r="K141" i="4" s="1"/>
  <c r="F141" i="4"/>
  <c r="I109" i="3"/>
  <c r="F109" i="3"/>
  <c r="G141" i="4" l="1"/>
  <c r="H141" i="4" s="1"/>
  <c r="J141" i="4" s="1"/>
  <c r="D142" i="4" s="1"/>
  <c r="G109" i="3"/>
  <c r="N109" i="4"/>
  <c r="K109" i="3"/>
  <c r="O109" i="4" s="1"/>
  <c r="F142" i="4" l="1"/>
  <c r="G142" i="4" s="1"/>
  <c r="I142" i="4"/>
  <c r="K142" i="4" s="1"/>
  <c r="L141" i="4"/>
  <c r="M109" i="4"/>
  <c r="H109" i="3"/>
  <c r="H142" i="4" l="1"/>
  <c r="L109" i="3"/>
  <c r="J12" i="2" s="1" a="1"/>
  <c r="J12" i="2" s="1"/>
  <c r="L12" i="2" s="1"/>
  <c r="J109" i="3"/>
  <c r="N12" i="2" l="1"/>
  <c r="P12" i="2" s="1"/>
  <c r="M12" i="2"/>
  <c r="J142" i="4"/>
  <c r="D143" i="4" s="1"/>
  <c r="L142" i="4"/>
  <c r="E12" i="2"/>
  <c r="F12" i="2" s="1"/>
  <c r="D110" i="3"/>
  <c r="I143" i="4" l="1"/>
  <c r="K143" i="4" s="1"/>
  <c r="F143" i="4"/>
  <c r="I110" i="3"/>
  <c r="F110" i="3"/>
  <c r="G143" i="4" l="1"/>
  <c r="H143" i="4" s="1"/>
  <c r="J143" i="4" s="1"/>
  <c r="D144" i="4" s="1"/>
  <c r="G110" i="3"/>
  <c r="N110" i="4"/>
  <c r="K110" i="3"/>
  <c r="O110" i="4" s="1"/>
  <c r="I144" i="4" l="1"/>
  <c r="K144" i="4" s="1"/>
  <c r="F144" i="4"/>
  <c r="L143" i="4"/>
  <c r="M110" i="4"/>
  <c r="H110" i="3"/>
  <c r="G144" i="4" l="1"/>
  <c r="H144" i="4" s="1"/>
  <c r="J144" i="4" s="1"/>
  <c r="D145" i="4" s="1"/>
  <c r="L110" i="3"/>
  <c r="J110" i="3"/>
  <c r="D111" i="3" s="1"/>
  <c r="F145" i="4" l="1"/>
  <c r="I145" i="4"/>
  <c r="K145" i="4" s="1"/>
  <c r="L144" i="4"/>
  <c r="I111" i="3"/>
  <c r="F111" i="3"/>
  <c r="G145" i="4" l="1"/>
  <c r="H145" i="4" s="1"/>
  <c r="J145" i="4" s="1"/>
  <c r="D146" i="4" s="1"/>
  <c r="G111" i="3"/>
  <c r="N111" i="4"/>
  <c r="K111" i="3"/>
  <c r="O111" i="4" s="1"/>
  <c r="I146" i="4" l="1"/>
  <c r="K146" i="4" s="1"/>
  <c r="F146" i="4"/>
  <c r="L145" i="4"/>
  <c r="K15" i="2" s="1" a="1"/>
  <c r="K15" i="2" s="1"/>
  <c r="H111" i="3"/>
  <c r="M111" i="4"/>
  <c r="G146" i="4" l="1"/>
  <c r="H146" i="4" s="1"/>
  <c r="J146" i="4" s="1"/>
  <c r="D147" i="4" s="1"/>
  <c r="L111" i="3"/>
  <c r="J111" i="3"/>
  <c r="D112" i="3" s="1"/>
  <c r="I147" i="4" l="1"/>
  <c r="K147" i="4" s="1"/>
  <c r="F147" i="4"/>
  <c r="L146" i="4"/>
  <c r="I112" i="3"/>
  <c r="F112" i="3"/>
  <c r="G147" i="4" l="1"/>
  <c r="H147" i="4" s="1"/>
  <c r="L147" i="4" s="1"/>
  <c r="G112" i="3"/>
  <c r="N112" i="4"/>
  <c r="K112" i="3"/>
  <c r="O112" i="4" s="1"/>
  <c r="J147" i="4" l="1"/>
  <c r="D148" i="4" s="1"/>
  <c r="F148" i="4" s="1"/>
  <c r="M112" i="4"/>
  <c r="H112" i="3"/>
  <c r="I148" i="4" l="1"/>
  <c r="K148" i="4" s="1"/>
  <c r="G148" i="4"/>
  <c r="L112" i="3"/>
  <c r="J112" i="3"/>
  <c r="D113" i="3" s="1"/>
  <c r="H148" i="4" l="1"/>
  <c r="L148" i="4" s="1"/>
  <c r="I113" i="3"/>
  <c r="F113" i="3"/>
  <c r="J148" i="4" l="1"/>
  <c r="D149" i="4" s="1"/>
  <c r="F149" i="4" s="1"/>
  <c r="G113" i="3"/>
  <c r="N113" i="4"/>
  <c r="K113" i="3"/>
  <c r="O113" i="4" s="1"/>
  <c r="I149" i="4" l="1"/>
  <c r="K149" i="4" s="1"/>
  <c r="G149" i="4"/>
  <c r="M113" i="4"/>
  <c r="H113" i="3"/>
  <c r="H149" i="4" l="1"/>
  <c r="J149" i="4" s="1"/>
  <c r="D150" i="4" s="1"/>
  <c r="L113" i="3"/>
  <c r="J113" i="3"/>
  <c r="D114" i="3" s="1"/>
  <c r="L149" i="4" l="1"/>
  <c r="F150" i="4"/>
  <c r="G150" i="4" s="1"/>
  <c r="I150" i="4"/>
  <c r="K150" i="4" s="1"/>
  <c r="I114" i="3"/>
  <c r="F114" i="3"/>
  <c r="H150" i="4" l="1"/>
  <c r="G114" i="3"/>
  <c r="N114" i="4"/>
  <c r="K114" i="3"/>
  <c r="O114" i="4" s="1"/>
  <c r="J150" i="4" l="1"/>
  <c r="D151" i="4" s="1"/>
  <c r="L150" i="4"/>
  <c r="M114" i="4"/>
  <c r="H114" i="3"/>
  <c r="I151" i="4" l="1"/>
  <c r="K151" i="4" s="1"/>
  <c r="F151" i="4"/>
  <c r="L114" i="3"/>
  <c r="J114" i="3"/>
  <c r="D115" i="3" s="1"/>
  <c r="G151" i="4" l="1"/>
  <c r="H151" i="4" s="1"/>
  <c r="F115" i="3"/>
  <c r="I115" i="3"/>
  <c r="L151" i="4" l="1"/>
  <c r="J151" i="4"/>
  <c r="D152" i="4" s="1"/>
  <c r="N115" i="4"/>
  <c r="K115" i="3"/>
  <c r="O115" i="4" s="1"/>
  <c r="G115" i="3"/>
  <c r="I152" i="4" l="1"/>
  <c r="K152" i="4" s="1"/>
  <c r="F152" i="4"/>
  <c r="G152" i="4" s="1"/>
  <c r="M115" i="4"/>
  <c r="H115" i="3"/>
  <c r="H152" i="4" l="1"/>
  <c r="J152" i="4" s="1"/>
  <c r="D153" i="4" s="1"/>
  <c r="L115" i="3"/>
  <c r="J115" i="3"/>
  <c r="D116" i="3" s="1"/>
  <c r="L152" i="4" l="1"/>
  <c r="I153" i="4"/>
  <c r="K153" i="4" s="1"/>
  <c r="F153" i="4"/>
  <c r="I116" i="3"/>
  <c r="F116" i="3"/>
  <c r="G153" i="4" l="1"/>
  <c r="H153" i="4" s="1"/>
  <c r="J153" i="4" s="1"/>
  <c r="D154" i="4" s="1"/>
  <c r="G116" i="3"/>
  <c r="N116" i="4"/>
  <c r="K116" i="3"/>
  <c r="O116" i="4" s="1"/>
  <c r="I154" i="4" l="1"/>
  <c r="K154" i="4" s="1"/>
  <c r="F154" i="4"/>
  <c r="L153" i="4"/>
  <c r="M116" i="4"/>
  <c r="H116" i="3"/>
  <c r="G154" i="4" l="1"/>
  <c r="H154" i="4" s="1"/>
  <c r="J154" i="4" s="1"/>
  <c r="D155" i="4" s="1"/>
  <c r="L116" i="3"/>
  <c r="J116" i="3"/>
  <c r="D117" i="3" s="1"/>
  <c r="I155" i="4" l="1"/>
  <c r="K155" i="4" s="1"/>
  <c r="F155" i="4"/>
  <c r="L154" i="4"/>
  <c r="I117" i="3"/>
  <c r="F117" i="3"/>
  <c r="G155" i="4" l="1"/>
  <c r="H155" i="4" s="1"/>
  <c r="J155" i="4" s="1"/>
  <c r="D156" i="4" s="1"/>
  <c r="G117" i="3"/>
  <c r="N117" i="4"/>
  <c r="K117" i="3"/>
  <c r="O117" i="4" s="1"/>
  <c r="F156" i="4" l="1"/>
  <c r="I156" i="4"/>
  <c r="K156" i="4" s="1"/>
  <c r="L155" i="4"/>
  <c r="M117" i="4"/>
  <c r="H117" i="3"/>
  <c r="G156" i="4" l="1"/>
  <c r="H156" i="4" s="1"/>
  <c r="J156" i="4" s="1"/>
  <c r="D157" i="4" s="1"/>
  <c r="L117" i="3"/>
  <c r="J117" i="3"/>
  <c r="D118" i="3" s="1"/>
  <c r="I157" i="4" l="1"/>
  <c r="K157" i="4" s="1"/>
  <c r="F157" i="4"/>
  <c r="L156" i="4"/>
  <c r="F118" i="3"/>
  <c r="I118" i="3"/>
  <c r="G157" i="4" l="1"/>
  <c r="H157" i="4" s="1"/>
  <c r="J157" i="4" s="1"/>
  <c r="D158" i="4" s="1"/>
  <c r="N118" i="4"/>
  <c r="K118" i="3"/>
  <c r="O118" i="4" s="1"/>
  <c r="G118" i="3"/>
  <c r="I158" i="4" l="1"/>
  <c r="K158" i="4" s="1"/>
  <c r="F158" i="4"/>
  <c r="L157" i="4"/>
  <c r="K16" i="2" s="1" a="1"/>
  <c r="K16" i="2" s="1"/>
  <c r="M118" i="4"/>
  <c r="H118" i="3"/>
  <c r="G158" i="4" l="1"/>
  <c r="H158" i="4" s="1"/>
  <c r="J158" i="4" s="1"/>
  <c r="D159" i="4" s="1"/>
  <c r="L118" i="3"/>
  <c r="J118" i="3"/>
  <c r="D119" i="3" s="1"/>
  <c r="I159" i="4" l="1"/>
  <c r="K159" i="4" s="1"/>
  <c r="F159" i="4"/>
  <c r="L158" i="4"/>
  <c r="I119" i="3"/>
  <c r="F119" i="3"/>
  <c r="G159" i="4" l="1"/>
  <c r="H159" i="4" s="1"/>
  <c r="J159" i="4" s="1"/>
  <c r="D160" i="4" s="1"/>
  <c r="G119" i="3"/>
  <c r="N119" i="4"/>
  <c r="K119" i="3"/>
  <c r="O119" i="4" s="1"/>
  <c r="I160" i="4" l="1"/>
  <c r="K160" i="4" s="1"/>
  <c r="F160" i="4"/>
  <c r="L159" i="4"/>
  <c r="M119" i="4"/>
  <c r="H119" i="3"/>
  <c r="G160" i="4" l="1"/>
  <c r="H160" i="4" s="1"/>
  <c r="J160" i="4" s="1"/>
  <c r="D161" i="4" s="1"/>
  <c r="L119" i="3"/>
  <c r="J119" i="3"/>
  <c r="D120" i="3" s="1"/>
  <c r="F161" i="4" l="1"/>
  <c r="I161" i="4"/>
  <c r="K161" i="4" s="1"/>
  <c r="L160" i="4"/>
  <c r="I120" i="3"/>
  <c r="F120" i="3"/>
  <c r="G161" i="4" l="1"/>
  <c r="H161" i="4" s="1"/>
  <c r="J161" i="4" s="1"/>
  <c r="D162" i="4" s="1"/>
  <c r="G120" i="3"/>
  <c r="N120" i="4"/>
  <c r="K120" i="3"/>
  <c r="O120" i="4" s="1"/>
  <c r="F162" i="4" l="1"/>
  <c r="I162" i="4"/>
  <c r="K162" i="4" s="1"/>
  <c r="L161" i="4"/>
  <c r="M120" i="4"/>
  <c r="H120" i="3"/>
  <c r="G162" i="4" l="1"/>
  <c r="H162" i="4" s="1"/>
  <c r="J162" i="4" s="1"/>
  <c r="D163" i="4" s="1"/>
  <c r="L120" i="3"/>
  <c r="J120" i="3"/>
  <c r="D121" i="3" s="1"/>
  <c r="I163" i="4" l="1"/>
  <c r="K163" i="4" s="1"/>
  <c r="F163" i="4"/>
  <c r="L162" i="4"/>
  <c r="I121" i="3"/>
  <c r="F121" i="3"/>
  <c r="G163" i="4" l="1"/>
  <c r="H163" i="4" s="1"/>
  <c r="J163" i="4" s="1"/>
  <c r="D164" i="4" s="1"/>
  <c r="G121" i="3"/>
  <c r="N121" i="4"/>
  <c r="K121" i="3"/>
  <c r="O121" i="4" s="1"/>
  <c r="F164" i="4" l="1"/>
  <c r="G164" i="4" s="1"/>
  <c r="I164" i="4"/>
  <c r="K164" i="4" s="1"/>
  <c r="L163" i="4"/>
  <c r="M121" i="4"/>
  <c r="H121" i="3"/>
  <c r="H164" i="4" l="1"/>
  <c r="L121" i="3"/>
  <c r="J13" i="2" s="1" a="1"/>
  <c r="J13" i="2" s="1"/>
  <c r="L13" i="2" s="1"/>
  <c r="J121" i="3"/>
  <c r="N13" i="2" l="1"/>
  <c r="P13" i="2" s="1"/>
  <c r="M13" i="2"/>
  <c r="J164" i="4"/>
  <c r="D165" i="4" s="1"/>
  <c r="L164" i="4"/>
  <c r="E13" i="2"/>
  <c r="F13" i="2" s="1"/>
  <c r="D122" i="3"/>
  <c r="F165" i="4" l="1"/>
  <c r="G165" i="4" s="1"/>
  <c r="I165" i="4"/>
  <c r="K165" i="4" s="1"/>
  <c r="I122" i="3"/>
  <c r="F122" i="3"/>
  <c r="H165" i="4" l="1"/>
  <c r="G122" i="3"/>
  <c r="N122" i="4"/>
  <c r="K122" i="3"/>
  <c r="O122" i="4" s="1"/>
  <c r="J165" i="4" l="1"/>
  <c r="D166" i="4" s="1"/>
  <c r="L165" i="4"/>
  <c r="M122" i="4"/>
  <c r="H122" i="3"/>
  <c r="F166" i="4" l="1"/>
  <c r="G166" i="4" s="1"/>
  <c r="I166" i="4"/>
  <c r="K166" i="4" s="1"/>
  <c r="L122" i="3"/>
  <c r="J122" i="3"/>
  <c r="D123" i="3" s="1"/>
  <c r="H166" i="4" l="1"/>
  <c r="I123" i="3"/>
  <c r="F123" i="3"/>
  <c r="J166" i="4" l="1"/>
  <c r="D167" i="4" s="1"/>
  <c r="L166" i="4"/>
  <c r="G123" i="3"/>
  <c r="N123" i="4"/>
  <c r="K123" i="3"/>
  <c r="O123" i="4" s="1"/>
  <c r="F167" i="4" l="1"/>
  <c r="G167" i="4" s="1"/>
  <c r="I167" i="4"/>
  <c r="K167" i="4" s="1"/>
  <c r="M123" i="4"/>
  <c r="H123" i="3"/>
  <c r="H167" i="4" l="1"/>
  <c r="L123" i="3"/>
  <c r="J123" i="3"/>
  <c r="D124" i="3" s="1"/>
  <c r="J167" i="4" l="1"/>
  <c r="D168" i="4" s="1"/>
  <c r="L167" i="4"/>
  <c r="I124" i="3"/>
  <c r="F124" i="3"/>
  <c r="F168" i="4" l="1"/>
  <c r="G168" i="4" s="1"/>
  <c r="I168" i="4"/>
  <c r="K168" i="4" s="1"/>
  <c r="G124" i="3"/>
  <c r="N124" i="4"/>
  <c r="K124" i="3"/>
  <c r="O124" i="4" s="1"/>
  <c r="H168" i="4" l="1"/>
  <c r="J168" i="4" s="1"/>
  <c r="D169" i="4" s="1"/>
  <c r="M124" i="4"/>
  <c r="H124" i="3"/>
  <c r="L168" i="4" l="1"/>
  <c r="F169" i="4"/>
  <c r="G169" i="4" s="1"/>
  <c r="I169" i="4"/>
  <c r="K169" i="4" s="1"/>
  <c r="L124" i="3"/>
  <c r="J124" i="3"/>
  <c r="D125" i="3" s="1"/>
  <c r="H169" i="4" l="1"/>
  <c r="I125" i="3"/>
  <c r="F125" i="3"/>
  <c r="J169" i="4" l="1"/>
  <c r="D170" i="4" s="1"/>
  <c r="L169" i="4"/>
  <c r="K17" i="2" s="1" a="1"/>
  <c r="K17" i="2" s="1"/>
  <c r="G125" i="3"/>
  <c r="N125" i="4"/>
  <c r="K125" i="3"/>
  <c r="O125" i="4" s="1"/>
  <c r="I170" i="4" l="1"/>
  <c r="K170" i="4" s="1"/>
  <c r="F170" i="4"/>
  <c r="M125" i="4"/>
  <c r="H125" i="3"/>
  <c r="G170" i="4" l="1"/>
  <c r="H170" i="4" s="1"/>
  <c r="J170" i="4" s="1"/>
  <c r="D171" i="4" s="1"/>
  <c r="L125" i="3"/>
  <c r="J125" i="3"/>
  <c r="D126" i="3" s="1"/>
  <c r="F171" i="4" l="1"/>
  <c r="G171" i="4" s="1"/>
  <c r="I171" i="4"/>
  <c r="K171" i="4" s="1"/>
  <c r="L170" i="4"/>
  <c r="I126" i="3"/>
  <c r="F126" i="3"/>
  <c r="H171" i="4" l="1"/>
  <c r="J171" i="4" s="1"/>
  <c r="D172" i="4" s="1"/>
  <c r="G126" i="3"/>
  <c r="N126" i="4"/>
  <c r="K126" i="3"/>
  <c r="O126" i="4" s="1"/>
  <c r="L171" i="4" l="1"/>
  <c r="I172" i="4"/>
  <c r="K172" i="4" s="1"/>
  <c r="F172" i="4"/>
  <c r="M126" i="4"/>
  <c r="H126" i="3"/>
  <c r="G172" i="4" l="1"/>
  <c r="H172" i="4" s="1"/>
  <c r="J172" i="4" s="1"/>
  <c r="D173" i="4" s="1"/>
  <c r="L126" i="3"/>
  <c r="J126" i="3"/>
  <c r="D127" i="3" s="1"/>
  <c r="I173" i="4" l="1"/>
  <c r="K173" i="4" s="1"/>
  <c r="F173" i="4"/>
  <c r="L172" i="4"/>
  <c r="I127" i="3"/>
  <c r="F127" i="3"/>
  <c r="G173" i="4" l="1"/>
  <c r="H173" i="4" s="1"/>
  <c r="J173" i="4" s="1"/>
  <c r="D174" i="4" s="1"/>
  <c r="G127" i="3"/>
  <c r="N127" i="4"/>
  <c r="K127" i="3"/>
  <c r="O127" i="4" s="1"/>
  <c r="F174" i="4" l="1"/>
  <c r="I174" i="4"/>
  <c r="K174" i="4" s="1"/>
  <c r="L173" i="4"/>
  <c r="M127" i="4"/>
  <c r="H127" i="3"/>
  <c r="G174" i="4" l="1"/>
  <c r="H174" i="4" s="1"/>
  <c r="L174" i="4" s="1"/>
  <c r="L127" i="3"/>
  <c r="J127" i="3"/>
  <c r="D128" i="3" s="1"/>
  <c r="J174" i="4" l="1"/>
  <c r="D175" i="4" s="1"/>
  <c r="F175" i="4" s="1"/>
  <c r="I128" i="3"/>
  <c r="F128" i="3"/>
  <c r="I175" i="4" l="1"/>
  <c r="K175" i="4" s="1"/>
  <c r="G175" i="4"/>
  <c r="G128" i="3"/>
  <c r="N128" i="4"/>
  <c r="K128" i="3"/>
  <c r="O128" i="4" s="1"/>
  <c r="H175" i="4" l="1"/>
  <c r="L175" i="4" s="1"/>
  <c r="M128" i="4"/>
  <c r="H128" i="3"/>
  <c r="J175" i="4" l="1"/>
  <c r="D176" i="4" s="1"/>
  <c r="F176" i="4" s="1"/>
  <c r="L128" i="3"/>
  <c r="J128" i="3"/>
  <c r="D129" i="3" s="1"/>
  <c r="I176" i="4" l="1"/>
  <c r="K176" i="4" s="1"/>
  <c r="G176" i="4"/>
  <c r="I129" i="3"/>
  <c r="F129" i="3"/>
  <c r="H176" i="4" l="1"/>
  <c r="L176" i="4" s="1"/>
  <c r="G129" i="3"/>
  <c r="N129" i="4"/>
  <c r="K129" i="3"/>
  <c r="O129" i="4" s="1"/>
  <c r="J176" i="4" l="1"/>
  <c r="D177" i="4" s="1"/>
  <c r="I177" i="4" s="1"/>
  <c r="K177" i="4" s="1"/>
  <c r="M129" i="4"/>
  <c r="H129" i="3"/>
  <c r="F177" i="4" l="1"/>
  <c r="G177" i="4" s="1"/>
  <c r="H177" i="4" s="1"/>
  <c r="L177" i="4" s="1"/>
  <c r="L129" i="3"/>
  <c r="J129" i="3"/>
  <c r="D130" i="3" s="1"/>
  <c r="J177" i="4" l="1"/>
  <c r="D178" i="4" s="1"/>
  <c r="I178" i="4" s="1"/>
  <c r="K178" i="4" s="1"/>
  <c r="I130" i="3"/>
  <c r="F130" i="3"/>
  <c r="F178" i="4" l="1"/>
  <c r="G178" i="4" s="1"/>
  <c r="H178" i="4" s="1"/>
  <c r="L178" i="4" s="1"/>
  <c r="G130" i="3"/>
  <c r="N130" i="4"/>
  <c r="K130" i="3"/>
  <c r="O130" i="4" s="1"/>
  <c r="J178" i="4" l="1"/>
  <c r="D179" i="4" s="1"/>
  <c r="F179" i="4" s="1"/>
  <c r="M130" i="4"/>
  <c r="H130" i="3"/>
  <c r="I179" i="4" l="1"/>
  <c r="K179" i="4" s="1"/>
  <c r="G179" i="4"/>
  <c r="L130" i="3"/>
  <c r="J130" i="3"/>
  <c r="D131" i="3" s="1"/>
  <c r="H179" i="4" l="1"/>
  <c r="L179" i="4" s="1"/>
  <c r="I131" i="3"/>
  <c r="F131" i="3"/>
  <c r="J179" i="4" l="1"/>
  <c r="D180" i="4" s="1"/>
  <c r="F180" i="4" s="1"/>
  <c r="G180" i="4" s="1"/>
  <c r="G131" i="3"/>
  <c r="N131" i="4"/>
  <c r="K131" i="3"/>
  <c r="O131" i="4" s="1"/>
  <c r="I180" i="4" l="1"/>
  <c r="K180" i="4" s="1"/>
  <c r="M131" i="4"/>
  <c r="H131" i="3"/>
  <c r="H180" i="4" l="1"/>
  <c r="L180" i="4" s="1"/>
  <c r="L131" i="3"/>
  <c r="J131" i="3"/>
  <c r="D132" i="3" s="1"/>
  <c r="J180" i="4" l="1"/>
  <c r="D181" i="4" s="1"/>
  <c r="I181" i="4" s="1"/>
  <c r="K181" i="4" s="1"/>
  <c r="I132" i="3"/>
  <c r="F132" i="3"/>
  <c r="F181" i="4" l="1"/>
  <c r="G181" i="4" s="1"/>
  <c r="H181" i="4" s="1"/>
  <c r="L181" i="4" s="1"/>
  <c r="K18" i="2" s="1" a="1"/>
  <c r="K18" i="2" s="1"/>
  <c r="G132" i="3"/>
  <c r="N132" i="4"/>
  <c r="K132" i="3"/>
  <c r="O132" i="4" s="1"/>
  <c r="J181" i="4" l="1"/>
  <c r="D182" i="4" s="1"/>
  <c r="F182" i="4" s="1"/>
  <c r="G182" i="4" s="1"/>
  <c r="H132" i="3"/>
  <c r="M132" i="4"/>
  <c r="I182" i="4" l="1"/>
  <c r="K182" i="4" s="1"/>
  <c r="L132" i="3"/>
  <c r="J132" i="3"/>
  <c r="D133" i="3" s="1"/>
  <c r="H182" i="4" l="1"/>
  <c r="L182" i="4" s="1"/>
  <c r="F133" i="3"/>
  <c r="I133" i="3"/>
  <c r="J182" i="4" l="1"/>
  <c r="D183" i="4" s="1"/>
  <c r="F183" i="4" s="1"/>
  <c r="G183" i="4" s="1"/>
  <c r="N133" i="4"/>
  <c r="K133" i="3"/>
  <c r="O133" i="4" s="1"/>
  <c r="G133" i="3"/>
  <c r="I183" i="4" l="1"/>
  <c r="K183" i="4" s="1"/>
  <c r="M133" i="4"/>
  <c r="H133" i="3"/>
  <c r="H183" i="4" l="1"/>
  <c r="L183" i="4" s="1"/>
  <c r="L133" i="3"/>
  <c r="J14" i="2" s="1" a="1"/>
  <c r="J14" i="2" s="1"/>
  <c r="L14" i="2" s="1"/>
  <c r="J133" i="3"/>
  <c r="J183" i="4" l="1"/>
  <c r="D184" i="4" s="1"/>
  <c r="I184" i="4" s="1"/>
  <c r="K184" i="4" s="1"/>
  <c r="N14" i="2"/>
  <c r="P14" i="2" s="1"/>
  <c r="M14" i="2"/>
  <c r="E14" i="2"/>
  <c r="F14" i="2" s="1"/>
  <c r="D134" i="3"/>
  <c r="F184" i="4" l="1"/>
  <c r="G184" i="4" s="1"/>
  <c r="H184" i="4" s="1"/>
  <c r="L184" i="4" s="1"/>
  <c r="J184" i="4"/>
  <c r="D185" i="4" s="1"/>
  <c r="F185" i="4" s="1"/>
  <c r="I134" i="3"/>
  <c r="F134" i="3"/>
  <c r="I185" i="4" l="1"/>
  <c r="K185" i="4" s="1"/>
  <c r="G185" i="4"/>
  <c r="G134" i="3"/>
  <c r="N134" i="4"/>
  <c r="K134" i="3"/>
  <c r="O134" i="4" s="1"/>
  <c r="H185" i="4" l="1"/>
  <c r="L185" i="4" s="1"/>
  <c r="M134" i="4"/>
  <c r="H134" i="3"/>
  <c r="J185" i="4" l="1"/>
  <c r="D186" i="4" s="1"/>
  <c r="F186" i="4" s="1"/>
  <c r="G186" i="4" s="1"/>
  <c r="L134" i="3"/>
  <c r="J134" i="3"/>
  <c r="D135" i="3" s="1"/>
  <c r="I186" i="4" l="1"/>
  <c r="K186" i="4" s="1"/>
  <c r="F135" i="3"/>
  <c r="I135" i="3"/>
  <c r="H186" i="4" l="1"/>
  <c r="N135" i="4"/>
  <c r="K135" i="3"/>
  <c r="O135" i="4" s="1"/>
  <c r="G135" i="3"/>
  <c r="L186" i="4" l="1"/>
  <c r="J186" i="4"/>
  <c r="D187" i="4" s="1"/>
  <c r="M135" i="4"/>
  <c r="H135" i="3"/>
  <c r="I187" i="4" l="1"/>
  <c r="K187" i="4" s="1"/>
  <c r="F187" i="4"/>
  <c r="L135" i="3"/>
  <c r="J135" i="3"/>
  <c r="D136" i="3" s="1"/>
  <c r="G187" i="4" l="1"/>
  <c r="H187" i="4" s="1"/>
  <c r="L187" i="4" s="1"/>
  <c r="I136" i="3"/>
  <c r="F136" i="3"/>
  <c r="J187" i="4" l="1"/>
  <c r="D188" i="4" s="1"/>
  <c r="I188" i="4" s="1"/>
  <c r="K188" i="4" s="1"/>
  <c r="G136" i="3"/>
  <c r="N136" i="4"/>
  <c r="K136" i="3"/>
  <c r="O136" i="4" s="1"/>
  <c r="F188" i="4" l="1"/>
  <c r="G188" i="4" s="1"/>
  <c r="H188" i="4" s="1"/>
  <c r="L188" i="4" s="1"/>
  <c r="M136" i="4"/>
  <c r="H136" i="3"/>
  <c r="J188" i="4" l="1"/>
  <c r="D189" i="4" s="1"/>
  <c r="L136" i="3"/>
  <c r="J136" i="3"/>
  <c r="D137" i="3" s="1"/>
  <c r="I189" i="4" l="1"/>
  <c r="K189" i="4" s="1"/>
  <c r="F189" i="4"/>
  <c r="F137" i="3"/>
  <c r="I137" i="3"/>
  <c r="G189" i="4" l="1"/>
  <c r="H189" i="4" s="1"/>
  <c r="L189" i="4" s="1"/>
  <c r="N137" i="4"/>
  <c r="K137" i="3"/>
  <c r="O137" i="4" s="1"/>
  <c r="G137" i="3"/>
  <c r="J189" i="4" l="1"/>
  <c r="D190" i="4" s="1"/>
  <c r="H137" i="3"/>
  <c r="M137" i="4"/>
  <c r="I190" i="4" l="1"/>
  <c r="K190" i="4" s="1"/>
  <c r="F190" i="4"/>
  <c r="L137" i="3"/>
  <c r="J137" i="3"/>
  <c r="D138" i="3" s="1"/>
  <c r="G190" i="4" l="1"/>
  <c r="H190" i="4" s="1"/>
  <c r="L190" i="4" s="1"/>
  <c r="I138" i="3"/>
  <c r="F138" i="3"/>
  <c r="J190" i="4" l="1"/>
  <c r="D191" i="4" s="1"/>
  <c r="F191" i="4" s="1"/>
  <c r="G191" i="4" s="1"/>
  <c r="G138" i="3"/>
  <c r="N138" i="4"/>
  <c r="K138" i="3"/>
  <c r="O138" i="4" s="1"/>
  <c r="I191" i="4" l="1"/>
  <c r="K191" i="4" s="1"/>
  <c r="M138" i="4"/>
  <c r="H138" i="3"/>
  <c r="H191" i="4" l="1"/>
  <c r="L138" i="3"/>
  <c r="J138" i="3"/>
  <c r="D139" i="3" s="1"/>
  <c r="J191" i="4" l="1"/>
  <c r="D192" i="4" s="1"/>
  <c r="L191" i="4"/>
  <c r="I139" i="3"/>
  <c r="F139" i="3"/>
  <c r="I192" i="4" l="1"/>
  <c r="K192" i="4" s="1"/>
  <c r="F192" i="4"/>
  <c r="G192" i="4" s="1"/>
  <c r="G139" i="3"/>
  <c r="N139" i="4"/>
  <c r="K139" i="3"/>
  <c r="O139" i="4" s="1"/>
  <c r="H192" i="4" l="1"/>
  <c r="L192" i="4" s="1"/>
  <c r="H139" i="3"/>
  <c r="M139" i="4"/>
  <c r="J192" i="4" l="1"/>
  <c r="D193" i="4" s="1"/>
  <c r="I193" i="4" s="1"/>
  <c r="K193" i="4" s="1"/>
  <c r="L139" i="3"/>
  <c r="J139" i="3"/>
  <c r="D140" i="3" s="1"/>
  <c r="F193" i="4" l="1"/>
  <c r="G193" i="4" s="1"/>
  <c r="H193" i="4" s="1"/>
  <c r="L193" i="4" s="1"/>
  <c r="K19" i="2" s="1" a="1"/>
  <c r="K19" i="2" s="1"/>
  <c r="I140" i="3"/>
  <c r="F140" i="3"/>
  <c r="J193" i="4" l="1"/>
  <c r="D194" i="4" s="1"/>
  <c r="I194" i="4" s="1"/>
  <c r="K194" i="4" s="1"/>
  <c r="G140" i="3"/>
  <c r="N140" i="4"/>
  <c r="K140" i="3"/>
  <c r="O140" i="4" s="1"/>
  <c r="F194" i="4" l="1"/>
  <c r="G194" i="4" s="1"/>
  <c r="H194" i="4" s="1"/>
  <c r="L194" i="4" s="1"/>
  <c r="H140" i="3"/>
  <c r="M140" i="4"/>
  <c r="J194" i="4" l="1"/>
  <c r="D195" i="4" s="1"/>
  <c r="I195" i="4" s="1"/>
  <c r="K195" i="4" s="1"/>
  <c r="L140" i="3"/>
  <c r="J140" i="3"/>
  <c r="D141" i="3" s="1"/>
  <c r="F195" i="4" l="1"/>
  <c r="G195" i="4" s="1"/>
  <c r="H195" i="4" s="1"/>
  <c r="L195" i="4" s="1"/>
  <c r="F141" i="3"/>
  <c r="I141" i="3"/>
  <c r="J195" i="4" l="1"/>
  <c r="D196" i="4" s="1"/>
  <c r="I196" i="4" s="1"/>
  <c r="K196" i="4" s="1"/>
  <c r="N141" i="4"/>
  <c r="K141" i="3"/>
  <c r="O141" i="4" s="1"/>
  <c r="G141" i="3"/>
  <c r="F196" i="4" l="1"/>
  <c r="G196" i="4" s="1"/>
  <c r="H196" i="4" s="1"/>
  <c r="L196" i="4" s="1"/>
  <c r="M141" i="4"/>
  <c r="H141" i="3"/>
  <c r="J196" i="4" l="1"/>
  <c r="D197" i="4" s="1"/>
  <c r="I197" i="4" s="1"/>
  <c r="K197" i="4" s="1"/>
  <c r="L141" i="3"/>
  <c r="J141" i="3"/>
  <c r="D142" i="3" s="1"/>
  <c r="F197" i="4" l="1"/>
  <c r="G197" i="4" s="1"/>
  <c r="H197" i="4" s="1"/>
  <c r="L197" i="4" s="1"/>
  <c r="F142" i="3"/>
  <c r="I142" i="3"/>
  <c r="J197" i="4" l="1"/>
  <c r="D198" i="4" s="1"/>
  <c r="F198" i="4" s="1"/>
  <c r="G198" i="4" s="1"/>
  <c r="N142" i="4"/>
  <c r="K142" i="3"/>
  <c r="O142" i="4" s="1"/>
  <c r="G142" i="3"/>
  <c r="I198" i="4" l="1"/>
  <c r="K198" i="4" s="1"/>
  <c r="M142" i="4"/>
  <c r="H142" i="3"/>
  <c r="H198" i="4" l="1"/>
  <c r="L198" i="4" s="1"/>
  <c r="L142" i="3"/>
  <c r="J142" i="3"/>
  <c r="D143" i="3" s="1"/>
  <c r="J198" i="4" l="1"/>
  <c r="D199" i="4" s="1"/>
  <c r="F199" i="4" s="1"/>
  <c r="G199" i="4" s="1"/>
  <c r="I143" i="3"/>
  <c r="F143" i="3"/>
  <c r="I199" i="4" l="1"/>
  <c r="K199" i="4" s="1"/>
  <c r="G143" i="3"/>
  <c r="N143" i="4"/>
  <c r="K143" i="3"/>
  <c r="O143" i="4" s="1"/>
  <c r="H199" i="4" l="1"/>
  <c r="L199" i="4" s="1"/>
  <c r="M143" i="4"/>
  <c r="H143" i="3"/>
  <c r="J199" i="4" l="1"/>
  <c r="D200" i="4" s="1"/>
  <c r="F200" i="4" s="1"/>
  <c r="G200" i="4" s="1"/>
  <c r="L143" i="3"/>
  <c r="J143" i="3"/>
  <c r="D144" i="3" s="1"/>
  <c r="I200" i="4" l="1"/>
  <c r="K200" i="4" s="1"/>
  <c r="H200" i="4"/>
  <c r="L200" i="4" s="1"/>
  <c r="F144" i="3"/>
  <c r="I144" i="3"/>
  <c r="J200" i="4" l="1"/>
  <c r="D201" i="4" s="1"/>
  <c r="I201" i="4" s="1"/>
  <c r="K201" i="4" s="1"/>
  <c r="N144" i="4"/>
  <c r="K144" i="3"/>
  <c r="O144" i="4" s="1"/>
  <c r="G144" i="3"/>
  <c r="F201" i="4" l="1"/>
  <c r="G201" i="4" s="1"/>
  <c r="H201" i="4" s="1"/>
  <c r="L201" i="4" s="1"/>
  <c r="M144" i="4"/>
  <c r="H144" i="3"/>
  <c r="J201" i="4" l="1"/>
  <c r="D202" i="4" s="1"/>
  <c r="I202" i="4" s="1"/>
  <c r="K202" i="4" s="1"/>
  <c r="L144" i="3"/>
  <c r="J144" i="3"/>
  <c r="D145" i="3" s="1"/>
  <c r="F202" i="4" l="1"/>
  <c r="G202" i="4" s="1"/>
  <c r="H202" i="4" s="1"/>
  <c r="L202" i="4" s="1"/>
  <c r="I145" i="3"/>
  <c r="F145" i="3"/>
  <c r="J202" i="4" l="1"/>
  <c r="D203" i="4" s="1"/>
  <c r="I203" i="4" s="1"/>
  <c r="K203" i="4" s="1"/>
  <c r="G145" i="3"/>
  <c r="N145" i="4"/>
  <c r="K145" i="3"/>
  <c r="O145" i="4" s="1"/>
  <c r="F203" i="4" l="1"/>
  <c r="G203" i="4" s="1"/>
  <c r="H203" i="4" s="1"/>
  <c r="L203" i="4" s="1"/>
  <c r="M145" i="4"/>
  <c r="H145" i="3"/>
  <c r="J203" i="4" l="1"/>
  <c r="D204" i="4" s="1"/>
  <c r="F204" i="4" s="1"/>
  <c r="L145" i="3"/>
  <c r="J15" i="2" s="1" a="1"/>
  <c r="J15" i="2" s="1"/>
  <c r="L15" i="2" s="1"/>
  <c r="J145" i="3"/>
  <c r="I204" i="4" l="1"/>
  <c r="K204" i="4" s="1"/>
  <c r="G204" i="4"/>
  <c r="N15" i="2"/>
  <c r="P15" i="2" s="1"/>
  <c r="M15" i="2"/>
  <c r="D146" i="3"/>
  <c r="E15" i="2"/>
  <c r="F15" i="2" s="1"/>
  <c r="H204" i="4" l="1"/>
  <c r="L204" i="4"/>
  <c r="J204" i="4"/>
  <c r="D205" i="4" s="1"/>
  <c r="I146" i="3"/>
  <c r="F146" i="3"/>
  <c r="I205" i="4" l="1"/>
  <c r="K205" i="4" s="1"/>
  <c r="F205" i="4"/>
  <c r="G205" i="4" s="1"/>
  <c r="G146" i="3"/>
  <c r="N146" i="4"/>
  <c r="K146" i="3"/>
  <c r="O146" i="4" s="1"/>
  <c r="H205" i="4" l="1"/>
  <c r="J205" i="4" s="1"/>
  <c r="D206" i="4" s="1"/>
  <c r="H146" i="3"/>
  <c r="M146" i="4"/>
  <c r="L205" i="4" l="1"/>
  <c r="K20" i="2" s="1" a="1"/>
  <c r="K20" i="2" s="1"/>
  <c r="I206" i="4"/>
  <c r="K206" i="4" s="1"/>
  <c r="F206" i="4"/>
  <c r="G206" i="4" s="1"/>
  <c r="L146" i="3"/>
  <c r="J146" i="3"/>
  <c r="D147" i="3" s="1"/>
  <c r="H206" i="4" l="1"/>
  <c r="J206" i="4" s="1"/>
  <c r="D207" i="4" s="1"/>
  <c r="F147" i="3"/>
  <c r="I147" i="3"/>
  <c r="L206" i="4" l="1"/>
  <c r="F207" i="4"/>
  <c r="G207" i="4" s="1"/>
  <c r="I207" i="4"/>
  <c r="K207" i="4" s="1"/>
  <c r="N147" i="4"/>
  <c r="K147" i="3"/>
  <c r="O147" i="4" s="1"/>
  <c r="G147" i="3"/>
  <c r="H207" i="4" l="1"/>
  <c r="J207" i="4" s="1"/>
  <c r="D208" i="4" s="1"/>
  <c r="M147" i="4"/>
  <c r="H147" i="3"/>
  <c r="L207" i="4" l="1"/>
  <c r="F208" i="4"/>
  <c r="G208" i="4" s="1"/>
  <c r="I208" i="4"/>
  <c r="K208" i="4" s="1"/>
  <c r="L147" i="3"/>
  <c r="J147" i="3"/>
  <c r="D148" i="3" s="1"/>
  <c r="H208" i="4" l="1"/>
  <c r="I148" i="3"/>
  <c r="F148" i="3"/>
  <c r="J208" i="4" l="1"/>
  <c r="D209" i="4" s="1"/>
  <c r="L208" i="4"/>
  <c r="G148" i="3"/>
  <c r="N148" i="4"/>
  <c r="K148" i="3"/>
  <c r="O148" i="4" s="1"/>
  <c r="F209" i="4" l="1"/>
  <c r="G209" i="4" s="1"/>
  <c r="I209" i="4"/>
  <c r="K209" i="4" s="1"/>
  <c r="H148" i="3"/>
  <c r="M148" i="4"/>
  <c r="H209" i="4" l="1"/>
  <c r="L148" i="3"/>
  <c r="J148" i="3"/>
  <c r="D149" i="3" s="1"/>
  <c r="J209" i="4" l="1"/>
  <c r="D210" i="4" s="1"/>
  <c r="L209" i="4"/>
  <c r="I149" i="3"/>
  <c r="F149" i="3"/>
  <c r="I210" i="4" l="1"/>
  <c r="K210" i="4" s="1"/>
  <c r="F210" i="4"/>
  <c r="G210" i="4" s="1"/>
  <c r="G149" i="3"/>
  <c r="N149" i="4"/>
  <c r="K149" i="3"/>
  <c r="O149" i="4" s="1"/>
  <c r="H210" i="4" l="1"/>
  <c r="J210" i="4" s="1"/>
  <c r="D211" i="4" s="1"/>
  <c r="M149" i="4"/>
  <c r="H149" i="3"/>
  <c r="L210" i="4" l="1"/>
  <c r="I211" i="4"/>
  <c r="K211" i="4" s="1"/>
  <c r="F211" i="4"/>
  <c r="L149" i="3"/>
  <c r="J149" i="3"/>
  <c r="D150" i="3" s="1"/>
  <c r="G211" i="4" l="1"/>
  <c r="H211" i="4" s="1"/>
  <c r="J211" i="4" s="1"/>
  <c r="D212" i="4" s="1"/>
  <c r="I150" i="3"/>
  <c r="F150" i="3"/>
  <c r="F212" i="4" l="1"/>
  <c r="G212" i="4" s="1"/>
  <c r="I212" i="4"/>
  <c r="K212" i="4" s="1"/>
  <c r="L211" i="4"/>
  <c r="G150" i="3"/>
  <c r="N150" i="4"/>
  <c r="K150" i="3"/>
  <c r="O150" i="4" s="1"/>
  <c r="H212" i="4" l="1"/>
  <c r="H150" i="3"/>
  <c r="M150" i="4"/>
  <c r="J212" i="4" l="1"/>
  <c r="D213" i="4" s="1"/>
  <c r="L212" i="4"/>
  <c r="L150" i="3"/>
  <c r="J150" i="3"/>
  <c r="D151" i="3" s="1"/>
  <c r="I213" i="4" l="1"/>
  <c r="K213" i="4" s="1"/>
  <c r="F213" i="4"/>
  <c r="G213" i="4" s="1"/>
  <c r="I151" i="3"/>
  <c r="F151" i="3"/>
  <c r="H213" i="4" l="1"/>
  <c r="J213" i="4" s="1"/>
  <c r="D214" i="4" s="1"/>
  <c r="G151" i="3"/>
  <c r="N151" i="4"/>
  <c r="K151" i="3"/>
  <c r="O151" i="4" s="1"/>
  <c r="L213" i="4" l="1"/>
  <c r="I214" i="4"/>
  <c r="K214" i="4" s="1"/>
  <c r="F214" i="4"/>
  <c r="G214" i="4" s="1"/>
  <c r="M151" i="4"/>
  <c r="H151" i="3"/>
  <c r="H214" i="4" l="1"/>
  <c r="J214" i="4" s="1"/>
  <c r="D215" i="4" s="1"/>
  <c r="L151" i="3"/>
  <c r="J151" i="3"/>
  <c r="D152" i="3" s="1"/>
  <c r="L214" i="4" l="1"/>
  <c r="F215" i="4"/>
  <c r="I215" i="4"/>
  <c r="K215" i="4" s="1"/>
  <c r="F152" i="3"/>
  <c r="I152" i="3"/>
  <c r="G215" i="4" l="1"/>
  <c r="H215" i="4" s="1"/>
  <c r="J215" i="4" s="1"/>
  <c r="D216" i="4" s="1"/>
  <c r="N152" i="4"/>
  <c r="K152" i="3"/>
  <c r="O152" i="4" s="1"/>
  <c r="G152" i="3"/>
  <c r="F216" i="4" l="1"/>
  <c r="G216" i="4" s="1"/>
  <c r="I216" i="4"/>
  <c r="K216" i="4" s="1"/>
  <c r="L215" i="4"/>
  <c r="M152" i="4"/>
  <c r="H152" i="3"/>
  <c r="H216" i="4" l="1"/>
  <c r="L152" i="3"/>
  <c r="J152" i="3"/>
  <c r="D153" i="3" s="1"/>
  <c r="J216" i="4" l="1"/>
  <c r="D217" i="4" s="1"/>
  <c r="L216" i="4"/>
  <c r="F153" i="3"/>
  <c r="I153" i="3"/>
  <c r="I217" i="4" l="1"/>
  <c r="K217" i="4" s="1"/>
  <c r="F217" i="4"/>
  <c r="N153" i="4"/>
  <c r="K153" i="3"/>
  <c r="O153" i="4" s="1"/>
  <c r="G153" i="3"/>
  <c r="G217" i="4" l="1"/>
  <c r="H217" i="4" s="1"/>
  <c r="J217" i="4" s="1"/>
  <c r="D218" i="4" s="1"/>
  <c r="M153" i="4"/>
  <c r="H153" i="3"/>
  <c r="F218" i="4" l="1"/>
  <c r="G218" i="4" s="1"/>
  <c r="I218" i="4"/>
  <c r="K218" i="4" s="1"/>
  <c r="L217" i="4"/>
  <c r="K21" i="2" s="1" a="1"/>
  <c r="K21" i="2" s="1"/>
  <c r="L153" i="3"/>
  <c r="J153" i="3"/>
  <c r="D154" i="3" s="1"/>
  <c r="H218" i="4" l="1"/>
  <c r="I154" i="3"/>
  <c r="F154" i="3"/>
  <c r="J218" i="4" l="1"/>
  <c r="D219" i="4" s="1"/>
  <c r="L218" i="4"/>
  <c r="G154" i="3"/>
  <c r="N154" i="4"/>
  <c r="K154" i="3"/>
  <c r="O154" i="4" s="1"/>
  <c r="I219" i="4" l="1"/>
  <c r="K219" i="4" s="1"/>
  <c r="F219" i="4"/>
  <c r="M154" i="4"/>
  <c r="H154" i="3"/>
  <c r="G219" i="4" l="1"/>
  <c r="H219" i="4" s="1"/>
  <c r="J219" i="4" s="1"/>
  <c r="D220" i="4" s="1"/>
  <c r="L154" i="3"/>
  <c r="J154" i="3"/>
  <c r="D155" i="3" s="1"/>
  <c r="F220" i="4" l="1"/>
  <c r="I220" i="4"/>
  <c r="K220" i="4" s="1"/>
  <c r="L219" i="4"/>
  <c r="I155" i="3"/>
  <c r="F155" i="3"/>
  <c r="G220" i="4" l="1"/>
  <c r="H220" i="4" s="1"/>
  <c r="J220" i="4" s="1"/>
  <c r="D221" i="4" s="1"/>
  <c r="G155" i="3"/>
  <c r="N155" i="4"/>
  <c r="K155" i="3"/>
  <c r="O155" i="4" s="1"/>
  <c r="I221" i="4" l="1"/>
  <c r="K221" i="4" s="1"/>
  <c r="F221" i="4"/>
  <c r="G221" i="4" s="1"/>
  <c r="L220" i="4"/>
  <c r="M155" i="4"/>
  <c r="H155" i="3"/>
  <c r="H221" i="4" l="1"/>
  <c r="L155" i="3"/>
  <c r="J155" i="3"/>
  <c r="D156" i="3" s="1"/>
  <c r="J221" i="4" l="1"/>
  <c r="D222" i="4" s="1"/>
  <c r="L221" i="4"/>
  <c r="I156" i="3"/>
  <c r="F156" i="3"/>
  <c r="F222" i="4" l="1"/>
  <c r="I222" i="4"/>
  <c r="K222" i="4" s="1"/>
  <c r="G156" i="3"/>
  <c r="N156" i="4"/>
  <c r="K156" i="3"/>
  <c r="O156" i="4" s="1"/>
  <c r="G222" i="4" l="1"/>
  <c r="H222" i="4" s="1"/>
  <c r="L222" i="4" s="1"/>
  <c r="M156" i="4"/>
  <c r="H156" i="3"/>
  <c r="J222" i="4" l="1"/>
  <c r="D223" i="4" s="1"/>
  <c r="L156" i="3"/>
  <c r="J156" i="3"/>
  <c r="D157" i="3" s="1"/>
  <c r="I223" i="4" l="1"/>
  <c r="K223" i="4" s="1"/>
  <c r="F223" i="4"/>
  <c r="I157" i="3"/>
  <c r="F157" i="3"/>
  <c r="G223" i="4" l="1"/>
  <c r="H223" i="4" s="1"/>
  <c r="L223" i="4" s="1"/>
  <c r="G157" i="3"/>
  <c r="N157" i="4"/>
  <c r="K157" i="3"/>
  <c r="O157" i="4" s="1"/>
  <c r="J223" i="4" l="1"/>
  <c r="D224" i="4" s="1"/>
  <c r="I224" i="4" s="1"/>
  <c r="K224" i="4" s="1"/>
  <c r="M157" i="4"/>
  <c r="H157" i="3"/>
  <c r="F224" i="4" l="1"/>
  <c r="G224" i="4" s="1"/>
  <c r="H224" i="4" s="1"/>
  <c r="L224" i="4" s="1"/>
  <c r="L157" i="3"/>
  <c r="J16" i="2" s="1" a="1"/>
  <c r="J16" i="2" s="1"/>
  <c r="L16" i="2" s="1"/>
  <c r="J157" i="3"/>
  <c r="J224" i="4" l="1"/>
  <c r="D225" i="4" s="1"/>
  <c r="I225" i="4" s="1"/>
  <c r="K225" i="4" s="1"/>
  <c r="N16" i="2"/>
  <c r="P16" i="2" s="1"/>
  <c r="M16" i="2"/>
  <c r="E16" i="2"/>
  <c r="F16" i="2" s="1"/>
  <c r="C13" i="1" s="1"/>
  <c r="C15" i="1" s="1"/>
  <c r="D158" i="3"/>
  <c r="F225" i="4" l="1"/>
  <c r="G225" i="4" s="1"/>
  <c r="H225" i="4" s="1"/>
  <c r="L225" i="4" s="1"/>
  <c r="I158" i="3"/>
  <c r="F158" i="3"/>
  <c r="J225" i="4" l="1"/>
  <c r="D226" i="4" s="1"/>
  <c r="I226" i="4" s="1"/>
  <c r="K226" i="4" s="1"/>
  <c r="G158" i="3"/>
  <c r="N158" i="4"/>
  <c r="K158" i="3"/>
  <c r="O158" i="4" s="1"/>
  <c r="F226" i="4" l="1"/>
  <c r="G226" i="4" s="1"/>
  <c r="H226" i="4" s="1"/>
  <c r="M158" i="4"/>
  <c r="H158" i="3"/>
  <c r="J226" i="4" l="1"/>
  <c r="D227" i="4" s="1"/>
  <c r="F227" i="4" s="1"/>
  <c r="G227" i="4" s="1"/>
  <c r="L226" i="4"/>
  <c r="L158" i="3"/>
  <c r="J158" i="3"/>
  <c r="D159" i="3" s="1"/>
  <c r="I227" i="4" l="1"/>
  <c r="K227" i="4" s="1"/>
  <c r="I159" i="3"/>
  <c r="F159" i="3"/>
  <c r="H227" i="4" l="1"/>
  <c r="J227" i="4" s="1"/>
  <c r="D228" i="4" s="1"/>
  <c r="I228" i="4" s="1"/>
  <c r="K228" i="4" s="1"/>
  <c r="G159" i="3"/>
  <c r="N159" i="4"/>
  <c r="K159" i="3"/>
  <c r="O159" i="4" s="1"/>
  <c r="L227" i="4" l="1"/>
  <c r="F228" i="4"/>
  <c r="G228" i="4" s="1"/>
  <c r="H228" i="4" s="1"/>
  <c r="J228" i="4" s="1"/>
  <c r="D229" i="4" s="1"/>
  <c r="M159" i="4"/>
  <c r="H159" i="3"/>
  <c r="I229" i="4" l="1"/>
  <c r="K229" i="4" s="1"/>
  <c r="F229" i="4"/>
  <c r="G229" i="4" s="1"/>
  <c r="L228" i="4"/>
  <c r="L159" i="3"/>
  <c r="J159" i="3"/>
  <c r="D160" i="3" s="1"/>
  <c r="H229" i="4" l="1"/>
  <c r="L229" i="4" s="1"/>
  <c r="K22" i="2" s="1" a="1"/>
  <c r="K22" i="2" s="1"/>
  <c r="F160" i="3"/>
  <c r="I160" i="3"/>
  <c r="J229" i="4" l="1"/>
  <c r="D230" i="4" s="1"/>
  <c r="I230" i="4" s="1"/>
  <c r="K230" i="4" s="1"/>
  <c r="N160" i="4"/>
  <c r="K160" i="3"/>
  <c r="O160" i="4" s="1"/>
  <c r="G160" i="3"/>
  <c r="F230" i="4" l="1"/>
  <c r="G230" i="4" s="1"/>
  <c r="H230" i="4" s="1"/>
  <c r="J230" i="4" s="1"/>
  <c r="D231" i="4" s="1"/>
  <c r="M160" i="4"/>
  <c r="H160" i="3"/>
  <c r="L230" i="4" l="1"/>
  <c r="F231" i="4"/>
  <c r="G231" i="4" s="1"/>
  <c r="I231" i="4"/>
  <c r="K231" i="4" s="1"/>
  <c r="L160" i="3"/>
  <c r="J160" i="3"/>
  <c r="D161" i="3" s="1"/>
  <c r="H231" i="4" l="1"/>
  <c r="J231" i="4" s="1"/>
  <c r="D232" i="4" s="1"/>
  <c r="F161" i="3"/>
  <c r="I161" i="3"/>
  <c r="L231" i="4" l="1"/>
  <c r="I232" i="4"/>
  <c r="K232" i="4" s="1"/>
  <c r="F232" i="4"/>
  <c r="G232" i="4" s="1"/>
  <c r="N161" i="4"/>
  <c r="K161" i="3"/>
  <c r="O161" i="4" s="1"/>
  <c r="G161" i="3"/>
  <c r="H232" i="4" l="1"/>
  <c r="J232" i="4" s="1"/>
  <c r="D233" i="4" s="1"/>
  <c r="L232" i="4"/>
  <c r="M161" i="4"/>
  <c r="H161" i="3"/>
  <c r="I233" i="4" l="1"/>
  <c r="K233" i="4" s="1"/>
  <c r="F233" i="4"/>
  <c r="L161" i="3"/>
  <c r="J161" i="3"/>
  <c r="D162" i="3" s="1"/>
  <c r="G233" i="4" l="1"/>
  <c r="H233" i="4" s="1"/>
  <c r="J233" i="4" s="1"/>
  <c r="D234" i="4" s="1"/>
  <c r="I162" i="3"/>
  <c r="F162" i="3"/>
  <c r="F234" i="4" l="1"/>
  <c r="G234" i="4" s="1"/>
  <c r="I234" i="4"/>
  <c r="K234" i="4" s="1"/>
  <c r="L233" i="4"/>
  <c r="G162" i="3"/>
  <c r="N162" i="4"/>
  <c r="K162" i="3"/>
  <c r="O162" i="4" s="1"/>
  <c r="H234" i="4" l="1"/>
  <c r="M162" i="4"/>
  <c r="H162" i="3"/>
  <c r="J234" i="4" l="1"/>
  <c r="D235" i="4" s="1"/>
  <c r="L234" i="4"/>
  <c r="L162" i="3"/>
  <c r="J162" i="3"/>
  <c r="D163" i="3" s="1"/>
  <c r="I235" i="4" l="1"/>
  <c r="K235" i="4" s="1"/>
  <c r="F235" i="4"/>
  <c r="G235" i="4" s="1"/>
  <c r="F163" i="3"/>
  <c r="I163" i="3"/>
  <c r="H235" i="4" l="1"/>
  <c r="J235" i="4" s="1"/>
  <c r="D236" i="4" s="1"/>
  <c r="L235" i="4"/>
  <c r="N163" i="4"/>
  <c r="K163" i="3"/>
  <c r="O163" i="4" s="1"/>
  <c r="G163" i="3"/>
  <c r="I236" i="4" l="1"/>
  <c r="K236" i="4" s="1"/>
  <c r="F236" i="4"/>
  <c r="G236" i="4" s="1"/>
  <c r="M163" i="4"/>
  <c r="H163" i="3"/>
  <c r="H236" i="4" l="1"/>
  <c r="J236" i="4" s="1"/>
  <c r="D237" i="4" s="1"/>
  <c r="L163" i="3"/>
  <c r="J163" i="3"/>
  <c r="D164" i="3" s="1"/>
  <c r="L236" i="4" l="1"/>
  <c r="I237" i="4"/>
  <c r="K237" i="4" s="1"/>
  <c r="F237" i="4"/>
  <c r="I164" i="3"/>
  <c r="F164" i="3"/>
  <c r="G237" i="4" l="1"/>
  <c r="H237" i="4" s="1"/>
  <c r="L237" i="4" s="1"/>
  <c r="G164" i="3"/>
  <c r="N164" i="4"/>
  <c r="K164" i="3"/>
  <c r="O164" i="4" s="1"/>
  <c r="J237" i="4" l="1"/>
  <c r="D238" i="4" s="1"/>
  <c r="I238" i="4" s="1"/>
  <c r="K238" i="4" s="1"/>
  <c r="M164" i="4"/>
  <c r="H164" i="3"/>
  <c r="F238" i="4" l="1"/>
  <c r="G238" i="4" s="1"/>
  <c r="H238" i="4" s="1"/>
  <c r="L238" i="4" s="1"/>
  <c r="L164" i="3"/>
  <c r="J164" i="3"/>
  <c r="D165" i="3" s="1"/>
  <c r="J238" i="4" l="1"/>
  <c r="D239" i="4" s="1"/>
  <c r="I239" i="4" s="1"/>
  <c r="K239" i="4" s="1"/>
  <c r="I165" i="3"/>
  <c r="F165" i="3"/>
  <c r="F239" i="4" l="1"/>
  <c r="G239" i="4" s="1"/>
  <c r="H239" i="4" s="1"/>
  <c r="L239" i="4" s="1"/>
  <c r="G165" i="3"/>
  <c r="N165" i="4"/>
  <c r="K165" i="3"/>
  <c r="O165" i="4" s="1"/>
  <c r="J239" i="4" l="1"/>
  <c r="D240" i="4" s="1"/>
  <c r="M165" i="4"/>
  <c r="H165" i="3"/>
  <c r="I240" i="4" l="1"/>
  <c r="K240" i="4" s="1"/>
  <c r="F240" i="4"/>
  <c r="L165" i="3"/>
  <c r="J165" i="3"/>
  <c r="D166" i="3" s="1"/>
  <c r="G240" i="4" l="1"/>
  <c r="H240" i="4" s="1"/>
  <c r="J240" i="4" s="1"/>
  <c r="D241" i="4" s="1"/>
  <c r="I166" i="3"/>
  <c r="F166" i="3"/>
  <c r="I241" i="4" l="1"/>
  <c r="K241" i="4" s="1"/>
  <c r="F241" i="4"/>
  <c r="L240" i="4"/>
  <c r="G166" i="3"/>
  <c r="N166" i="4"/>
  <c r="K166" i="3"/>
  <c r="O166" i="4" s="1"/>
  <c r="G241" i="4" l="1"/>
  <c r="H241" i="4" s="1"/>
  <c r="J241" i="4" s="1"/>
  <c r="D242" i="4" s="1"/>
  <c r="M166" i="4"/>
  <c r="H166" i="3"/>
  <c r="I242" i="4" l="1"/>
  <c r="K242" i="4" s="1"/>
  <c r="F242" i="4"/>
  <c r="L241" i="4"/>
  <c r="K23" i="2" s="1" a="1"/>
  <c r="K23" i="2" s="1"/>
  <c r="L166" i="3"/>
  <c r="J166" i="3"/>
  <c r="D167" i="3" s="1"/>
  <c r="G242" i="4" l="1"/>
  <c r="H242" i="4" s="1"/>
  <c r="L242" i="4" s="1"/>
  <c r="I167" i="3"/>
  <c r="F167" i="3"/>
  <c r="J242" i="4" l="1"/>
  <c r="D243" i="4" s="1"/>
  <c r="F243" i="4" s="1"/>
  <c r="G243" i="4" s="1"/>
  <c r="G167" i="3"/>
  <c r="N167" i="4"/>
  <c r="K167" i="3"/>
  <c r="O167" i="4" s="1"/>
  <c r="I243" i="4" l="1"/>
  <c r="K243" i="4" s="1"/>
  <c r="M167" i="4"/>
  <c r="H167" i="3"/>
  <c r="H243" i="4" l="1"/>
  <c r="L167" i="3"/>
  <c r="J167" i="3"/>
  <c r="D168" i="3" s="1"/>
  <c r="J243" i="4" l="1"/>
  <c r="D244" i="4" s="1"/>
  <c r="L243" i="4"/>
  <c r="F168" i="3"/>
  <c r="I168" i="3"/>
  <c r="I244" i="4" l="1"/>
  <c r="K244" i="4" s="1"/>
  <c r="F244" i="4"/>
  <c r="N168" i="4"/>
  <c r="K168" i="3"/>
  <c r="O168" i="4" s="1"/>
  <c r="G168" i="3"/>
  <c r="G244" i="4" l="1"/>
  <c r="H244" i="4" s="1"/>
  <c r="L244" i="4" s="1"/>
  <c r="M168" i="4"/>
  <c r="H168" i="3"/>
  <c r="J244" i="4" l="1"/>
  <c r="D245" i="4" s="1"/>
  <c r="I245" i="4" s="1"/>
  <c r="K245" i="4" s="1"/>
  <c r="L168" i="3"/>
  <c r="J168" i="3"/>
  <c r="D169" i="3" s="1"/>
  <c r="F245" i="4" l="1"/>
  <c r="G245" i="4" s="1"/>
  <c r="H245" i="4" s="1"/>
  <c r="F169" i="3"/>
  <c r="I169" i="3"/>
  <c r="J245" i="4" l="1"/>
  <c r="D246" i="4" s="1"/>
  <c r="L245" i="4"/>
  <c r="N169" i="4"/>
  <c r="K169" i="3"/>
  <c r="O169" i="4" s="1"/>
  <c r="G169" i="3"/>
  <c r="I246" i="4" l="1"/>
  <c r="K246" i="4" s="1"/>
  <c r="F246" i="4"/>
  <c r="M169" i="4"/>
  <c r="H169" i="3"/>
  <c r="G246" i="4" l="1"/>
  <c r="H246" i="4" s="1"/>
  <c r="L246" i="4" s="1"/>
  <c r="L169" i="3"/>
  <c r="J17" i="2" s="1" a="1"/>
  <c r="J17" i="2" s="1"/>
  <c r="L17" i="2" s="1"/>
  <c r="J169" i="3"/>
  <c r="J246" i="4" l="1"/>
  <c r="D247" i="4" s="1"/>
  <c r="F247" i="4" s="1"/>
  <c r="G247" i="4" s="1"/>
  <c r="N17" i="2"/>
  <c r="P17" i="2" s="1"/>
  <c r="M17" i="2"/>
  <c r="E17" i="2"/>
  <c r="F17" i="2" s="1"/>
  <c r="D170" i="3"/>
  <c r="I247" i="4" l="1"/>
  <c r="K247" i="4" s="1"/>
  <c r="I170" i="3"/>
  <c r="F170" i="3"/>
  <c r="H247" i="4" l="1"/>
  <c r="G170" i="3"/>
  <c r="N170" i="4"/>
  <c r="K170" i="3"/>
  <c r="O170" i="4" s="1"/>
  <c r="L247" i="4" l="1"/>
  <c r="J247" i="4"/>
  <c r="D248" i="4" s="1"/>
  <c r="M170" i="4"/>
  <c r="H170" i="3"/>
  <c r="F248" i="4" l="1"/>
  <c r="I248" i="4"/>
  <c r="K248" i="4" s="1"/>
  <c r="L170" i="3"/>
  <c r="J170" i="3"/>
  <c r="D171" i="3" s="1"/>
  <c r="G248" i="4" l="1"/>
  <c r="H248" i="4" s="1"/>
  <c r="L248" i="4" s="1"/>
  <c r="I171" i="3"/>
  <c r="F171" i="3"/>
  <c r="J248" i="4" l="1"/>
  <c r="D249" i="4" s="1"/>
  <c r="I249" i="4" s="1"/>
  <c r="K249" i="4" s="1"/>
  <c r="G171" i="3"/>
  <c r="N171" i="4"/>
  <c r="K171" i="3"/>
  <c r="O171" i="4" s="1"/>
  <c r="F249" i="4" l="1"/>
  <c r="G249" i="4" s="1"/>
  <c r="H249" i="4" s="1"/>
  <c r="H171" i="3"/>
  <c r="M171" i="4"/>
  <c r="L249" i="4" l="1"/>
  <c r="J249" i="4"/>
  <c r="D250" i="4" s="1"/>
  <c r="L171" i="3"/>
  <c r="J171" i="3"/>
  <c r="D172" i="3" s="1"/>
  <c r="I250" i="4" l="1"/>
  <c r="K250" i="4" s="1"/>
  <c r="F250" i="4"/>
  <c r="I172" i="3"/>
  <c r="F172" i="3"/>
  <c r="G250" i="4" l="1"/>
  <c r="H250" i="4" s="1"/>
  <c r="L250" i="4" s="1"/>
  <c r="G172" i="3"/>
  <c r="N172" i="4"/>
  <c r="K172" i="3"/>
  <c r="O172" i="4" s="1"/>
  <c r="J250" i="4" l="1"/>
  <c r="D251" i="4" s="1"/>
  <c r="M172" i="4"/>
  <c r="H172" i="3"/>
  <c r="I251" i="4" l="1"/>
  <c r="K251" i="4" s="1"/>
  <c r="F251" i="4"/>
  <c r="L172" i="3"/>
  <c r="J172" i="3"/>
  <c r="D173" i="3" s="1"/>
  <c r="G251" i="4" l="1"/>
  <c r="H251" i="4" s="1"/>
  <c r="L251" i="4" s="1"/>
  <c r="F173" i="3"/>
  <c r="I173" i="3"/>
  <c r="J251" i="4" l="1"/>
  <c r="D252" i="4" s="1"/>
  <c r="F252" i="4" s="1"/>
  <c r="G252" i="4" s="1"/>
  <c r="N173" i="4"/>
  <c r="K173" i="3"/>
  <c r="O173" i="4" s="1"/>
  <c r="G173" i="3"/>
  <c r="I252" i="4" l="1"/>
  <c r="K252" i="4" s="1"/>
  <c r="H173" i="3"/>
  <c r="M173" i="4"/>
  <c r="H252" i="4" l="1"/>
  <c r="J252" i="4" s="1"/>
  <c r="D253" i="4" s="1"/>
  <c r="L173" i="3"/>
  <c r="J173" i="3"/>
  <c r="D174" i="3" s="1"/>
  <c r="L252" i="4" l="1"/>
  <c r="I253" i="4"/>
  <c r="K253" i="4" s="1"/>
  <c r="F253" i="4"/>
  <c r="I174" i="3"/>
  <c r="F174" i="3"/>
  <c r="G253" i="4" l="1"/>
  <c r="H253" i="4" s="1"/>
  <c r="L253" i="4" s="1"/>
  <c r="K24" i="2" s="1" a="1"/>
  <c r="K24" i="2" s="1"/>
  <c r="G174" i="3"/>
  <c r="N174" i="4"/>
  <c r="K174" i="3"/>
  <c r="O174" i="4" s="1"/>
  <c r="J253" i="4" l="1"/>
  <c r="D254" i="4" s="1"/>
  <c r="M174" i="4"/>
  <c r="H174" i="3"/>
  <c r="I254" i="4" l="1"/>
  <c r="K254" i="4" s="1"/>
  <c r="F254" i="4"/>
  <c r="L174" i="3"/>
  <c r="J174" i="3"/>
  <c r="D175" i="3" s="1"/>
  <c r="G254" i="4" l="1"/>
  <c r="H254" i="4" s="1"/>
  <c r="L254" i="4" s="1"/>
  <c r="I175" i="3"/>
  <c r="F175" i="3"/>
  <c r="J254" i="4" l="1"/>
  <c r="D255" i="4" s="1"/>
  <c r="F255" i="4" s="1"/>
  <c r="G255" i="4" s="1"/>
  <c r="G175" i="3"/>
  <c r="N175" i="4"/>
  <c r="K175" i="3"/>
  <c r="O175" i="4" s="1"/>
  <c r="I255" i="4" l="1"/>
  <c r="K255" i="4" s="1"/>
  <c r="M175" i="4"/>
  <c r="H175" i="3"/>
  <c r="H255" i="4" l="1"/>
  <c r="J255" i="4" s="1"/>
  <c r="D256" i="4" s="1"/>
  <c r="L255" i="4"/>
  <c r="L175" i="3"/>
  <c r="J175" i="3"/>
  <c r="D176" i="3" s="1"/>
  <c r="I256" i="4" l="1"/>
  <c r="K256" i="4" s="1"/>
  <c r="F256" i="4"/>
  <c r="G256" i="4" s="1"/>
  <c r="F176" i="3"/>
  <c r="I176" i="3"/>
  <c r="H256" i="4" l="1"/>
  <c r="J256" i="4" s="1"/>
  <c r="D257" i="4" s="1"/>
  <c r="L256" i="4"/>
  <c r="N176" i="4"/>
  <c r="K176" i="3"/>
  <c r="O176" i="4" s="1"/>
  <c r="G176" i="3"/>
  <c r="F257" i="4" l="1"/>
  <c r="I257" i="4"/>
  <c r="K257" i="4" s="1"/>
  <c r="M176" i="4"/>
  <c r="H176" i="3"/>
  <c r="G257" i="4" l="1"/>
  <c r="H257" i="4" s="1"/>
  <c r="L257" i="4" s="1"/>
  <c r="L176" i="3"/>
  <c r="J176" i="3"/>
  <c r="D177" i="3" s="1"/>
  <c r="J257" i="4" l="1"/>
  <c r="D258" i="4" s="1"/>
  <c r="F258" i="4" s="1"/>
  <c r="G258" i="4" s="1"/>
  <c r="I177" i="3"/>
  <c r="F177" i="3"/>
  <c r="I258" i="4" l="1"/>
  <c r="K258" i="4" s="1"/>
  <c r="G177" i="3"/>
  <c r="N177" i="4"/>
  <c r="K177" i="3"/>
  <c r="O177" i="4" s="1"/>
  <c r="H258" i="4" l="1"/>
  <c r="J258" i="4" s="1"/>
  <c r="D259" i="4" s="1"/>
  <c r="L258" i="4"/>
  <c r="M177" i="4"/>
  <c r="H177" i="3"/>
  <c r="I259" i="4" l="1"/>
  <c r="K259" i="4" s="1"/>
  <c r="F259" i="4"/>
  <c r="G259" i="4" s="1"/>
  <c r="L177" i="3"/>
  <c r="J177" i="3"/>
  <c r="D178" i="3" s="1"/>
  <c r="H259" i="4" l="1"/>
  <c r="J259" i="4" s="1"/>
  <c r="D260" i="4" s="1"/>
  <c r="F178" i="3"/>
  <c r="I178" i="3"/>
  <c r="L259" i="4" l="1"/>
  <c r="I260" i="4"/>
  <c r="K260" i="4" s="1"/>
  <c r="F260" i="4"/>
  <c r="N178" i="4"/>
  <c r="K178" i="3"/>
  <c r="O178" i="4" s="1"/>
  <c r="G178" i="3"/>
  <c r="G260" i="4" l="1"/>
  <c r="H260" i="4" s="1"/>
  <c r="J260" i="4" s="1"/>
  <c r="D261" i="4" s="1"/>
  <c r="M178" i="4"/>
  <c r="H178" i="3"/>
  <c r="F261" i="4" l="1"/>
  <c r="G261" i="4" s="1"/>
  <c r="I261" i="4"/>
  <c r="K261" i="4" s="1"/>
  <c r="L260" i="4"/>
  <c r="L178" i="3"/>
  <c r="J178" i="3"/>
  <c r="D179" i="3" s="1"/>
  <c r="H261" i="4" l="1"/>
  <c r="F179" i="3"/>
  <c r="I179" i="3"/>
  <c r="J261" i="4" l="1"/>
  <c r="D262" i="4" s="1"/>
  <c r="L261" i="4"/>
  <c r="N179" i="4"/>
  <c r="K179" i="3"/>
  <c r="O179" i="4" s="1"/>
  <c r="G179" i="3"/>
  <c r="I262" i="4" l="1"/>
  <c r="K262" i="4" s="1"/>
  <c r="F262" i="4"/>
  <c r="M179" i="4"/>
  <c r="H179" i="3"/>
  <c r="G262" i="4" l="1"/>
  <c r="H262" i="4" s="1"/>
  <c r="L262" i="4" s="1"/>
  <c r="L179" i="3"/>
  <c r="J179" i="3"/>
  <c r="D180" i="3" s="1"/>
  <c r="J262" i="4" l="1"/>
  <c r="D263" i="4" s="1"/>
  <c r="F263" i="4" s="1"/>
  <c r="I180" i="3"/>
  <c r="F180" i="3"/>
  <c r="I263" i="4" l="1"/>
  <c r="K263" i="4" s="1"/>
  <c r="G263" i="4"/>
  <c r="G180" i="3"/>
  <c r="N180" i="4"/>
  <c r="K180" i="3"/>
  <c r="O180" i="4" s="1"/>
  <c r="H263" i="4" l="1"/>
  <c r="L263" i="4" s="1"/>
  <c r="M180" i="4"/>
  <c r="H180" i="3"/>
  <c r="J263" i="4" l="1"/>
  <c r="D264" i="4" s="1"/>
  <c r="F264" i="4" s="1"/>
  <c r="G264" i="4" s="1"/>
  <c r="L180" i="3"/>
  <c r="J180" i="3"/>
  <c r="D181" i="3" s="1"/>
  <c r="I264" i="4" l="1"/>
  <c r="K264" i="4" s="1"/>
  <c r="F181" i="3"/>
  <c r="I181" i="3"/>
  <c r="H264" i="4" l="1"/>
  <c r="L264" i="4" s="1"/>
  <c r="N181" i="4"/>
  <c r="K181" i="3"/>
  <c r="O181" i="4" s="1"/>
  <c r="G181" i="3"/>
  <c r="J264" i="4" l="1"/>
  <c r="D265" i="4" s="1"/>
  <c r="F265" i="4" s="1"/>
  <c r="G265" i="4" s="1"/>
  <c r="M181" i="4"/>
  <c r="H181" i="3"/>
  <c r="I265" i="4" l="1"/>
  <c r="K265" i="4" s="1"/>
  <c r="L181" i="3"/>
  <c r="J18" i="2" s="1" a="1"/>
  <c r="J18" i="2" s="1"/>
  <c r="L18" i="2" s="1"/>
  <c r="J181" i="3"/>
  <c r="H265" i="4" l="1"/>
  <c r="L265" i="4" s="1"/>
  <c r="K25" i="2" s="1" a="1"/>
  <c r="K25" i="2" s="1"/>
  <c r="N18" i="2"/>
  <c r="P18" i="2" s="1"/>
  <c r="M18" i="2"/>
  <c r="E18" i="2"/>
  <c r="F18" i="2" s="1"/>
  <c r="D182" i="3"/>
  <c r="J265" i="4" l="1"/>
  <c r="D266" i="4" s="1"/>
  <c r="F266" i="4" s="1"/>
  <c r="G266" i="4" s="1"/>
  <c r="I182" i="3"/>
  <c r="F182" i="3"/>
  <c r="I266" i="4" l="1"/>
  <c r="K266" i="4" s="1"/>
  <c r="G182" i="3"/>
  <c r="N182" i="4"/>
  <c r="K182" i="3"/>
  <c r="O182" i="4" s="1"/>
  <c r="H266" i="4" l="1"/>
  <c r="J266" i="4" s="1"/>
  <c r="D267" i="4" s="1"/>
  <c r="M182" i="4"/>
  <c r="H182" i="3"/>
  <c r="L266" i="4" l="1"/>
  <c r="I267" i="4"/>
  <c r="K267" i="4" s="1"/>
  <c r="F267" i="4"/>
  <c r="L182" i="3"/>
  <c r="J182" i="3"/>
  <c r="D183" i="3" s="1"/>
  <c r="G267" i="4" l="1"/>
  <c r="H267" i="4" s="1"/>
  <c r="L267" i="4" s="1"/>
  <c r="I183" i="3"/>
  <c r="F183" i="3"/>
  <c r="J267" i="4" l="1"/>
  <c r="D268" i="4" s="1"/>
  <c r="F268" i="4" s="1"/>
  <c r="G183" i="3"/>
  <c r="N183" i="4"/>
  <c r="K183" i="3"/>
  <c r="O183" i="4" s="1"/>
  <c r="I268" i="4" l="1"/>
  <c r="K268" i="4" s="1"/>
  <c r="G268" i="4"/>
  <c r="M183" i="4"/>
  <c r="H183" i="3"/>
  <c r="H268" i="4" l="1"/>
  <c r="J268" i="4" s="1"/>
  <c r="D269" i="4" s="1"/>
  <c r="I269" i="4" s="1"/>
  <c r="K269" i="4" s="1"/>
  <c r="L183" i="3"/>
  <c r="J183" i="3"/>
  <c r="D184" i="3" s="1"/>
  <c r="L268" i="4" l="1"/>
  <c r="F269" i="4"/>
  <c r="G269" i="4" s="1"/>
  <c r="H269" i="4" s="1"/>
  <c r="I184" i="3"/>
  <c r="F184" i="3"/>
  <c r="J269" i="4" l="1"/>
  <c r="D270" i="4" s="1"/>
  <c r="L269" i="4"/>
  <c r="G184" i="3"/>
  <c r="N184" i="4"/>
  <c r="K184" i="3"/>
  <c r="O184" i="4" s="1"/>
  <c r="I270" i="4" l="1"/>
  <c r="K270" i="4" s="1"/>
  <c r="F270" i="4"/>
  <c r="M184" i="4"/>
  <c r="H184" i="3"/>
  <c r="G270" i="4" l="1"/>
  <c r="H270" i="4" s="1"/>
  <c r="L270" i="4" s="1"/>
  <c r="L184" i="3"/>
  <c r="J184" i="3"/>
  <c r="D185" i="3" s="1"/>
  <c r="J270" i="4" l="1"/>
  <c r="D271" i="4" s="1"/>
  <c r="I185" i="3"/>
  <c r="F185" i="3"/>
  <c r="F271" i="4" l="1"/>
  <c r="I271" i="4"/>
  <c r="K271" i="4" s="1"/>
  <c r="G185" i="3"/>
  <c r="N185" i="4"/>
  <c r="K185" i="3"/>
  <c r="O185" i="4" s="1"/>
  <c r="G271" i="4" l="1"/>
  <c r="H271" i="4" s="1"/>
  <c r="L271" i="4" s="1"/>
  <c r="H185" i="3"/>
  <c r="M185" i="4"/>
  <c r="J271" i="4" l="1"/>
  <c r="D272" i="4" s="1"/>
  <c r="I272" i="4" s="1"/>
  <c r="K272" i="4" s="1"/>
  <c r="L185" i="3"/>
  <c r="J185" i="3"/>
  <c r="D186" i="3" s="1"/>
  <c r="F272" i="4" l="1"/>
  <c r="G272" i="4" s="1"/>
  <c r="H272" i="4" s="1"/>
  <c r="L272" i="4" s="1"/>
  <c r="F186" i="3"/>
  <c r="I186" i="3"/>
  <c r="J272" i="4" l="1"/>
  <c r="D273" i="4" s="1"/>
  <c r="N186" i="4"/>
  <c r="K186" i="3"/>
  <c r="O186" i="4" s="1"/>
  <c r="G186" i="3"/>
  <c r="F273" i="4" l="1"/>
  <c r="I273" i="4"/>
  <c r="K273" i="4" s="1"/>
  <c r="H186" i="3"/>
  <c r="M186" i="4"/>
  <c r="G273" i="4" l="1"/>
  <c r="H273" i="4" s="1"/>
  <c r="L273" i="4" s="1"/>
  <c r="L186" i="3"/>
  <c r="J186" i="3"/>
  <c r="D187" i="3" s="1"/>
  <c r="J273" i="4" l="1"/>
  <c r="D274" i="4" s="1"/>
  <c r="I187" i="3"/>
  <c r="F187" i="3"/>
  <c r="I274" i="4" l="1"/>
  <c r="K274" i="4" s="1"/>
  <c r="F274" i="4"/>
  <c r="G187" i="3"/>
  <c r="N187" i="4"/>
  <c r="K187" i="3"/>
  <c r="O187" i="4" s="1"/>
  <c r="G274" i="4" l="1"/>
  <c r="H274" i="4" s="1"/>
  <c r="J274" i="4" s="1"/>
  <c r="D275" i="4" s="1"/>
  <c r="M187" i="4"/>
  <c r="H187" i="3"/>
  <c r="I275" i="4" l="1"/>
  <c r="K275" i="4" s="1"/>
  <c r="F275" i="4"/>
  <c r="L274" i="4"/>
  <c r="L187" i="3"/>
  <c r="J187" i="3"/>
  <c r="D188" i="3" s="1"/>
  <c r="G275" i="4" l="1"/>
  <c r="H275" i="4" s="1"/>
  <c r="J275" i="4" s="1"/>
  <c r="D276" i="4" s="1"/>
  <c r="F188" i="3"/>
  <c r="I188" i="3"/>
  <c r="F276" i="4" l="1"/>
  <c r="I276" i="4"/>
  <c r="K276" i="4" s="1"/>
  <c r="L275" i="4"/>
  <c r="N188" i="4"/>
  <c r="K188" i="3"/>
  <c r="O188" i="4" s="1"/>
  <c r="G188" i="3"/>
  <c r="G276" i="4" l="1"/>
  <c r="H276" i="4" s="1"/>
  <c r="L276" i="4" s="1"/>
  <c r="M188" i="4"/>
  <c r="H188" i="3"/>
  <c r="J276" i="4" l="1"/>
  <c r="D277" i="4" s="1"/>
  <c r="I277" i="4" s="1"/>
  <c r="K277" i="4" s="1"/>
  <c r="L188" i="3"/>
  <c r="J188" i="3"/>
  <c r="D189" i="3" s="1"/>
  <c r="F277" i="4" l="1"/>
  <c r="G277" i="4" s="1"/>
  <c r="H277" i="4" s="1"/>
  <c r="L277" i="4" s="1"/>
  <c r="K26" i="2" s="1" a="1"/>
  <c r="K26" i="2" s="1"/>
  <c r="I189" i="3"/>
  <c r="F189" i="3"/>
  <c r="J277" i="4" l="1"/>
  <c r="D278" i="4" s="1"/>
  <c r="I278" i="4" s="1"/>
  <c r="K278" i="4" s="1"/>
  <c r="G189" i="3"/>
  <c r="N189" i="4"/>
  <c r="K189" i="3"/>
  <c r="O189" i="4" s="1"/>
  <c r="F278" i="4" l="1"/>
  <c r="G278" i="4" s="1"/>
  <c r="H278" i="4" s="1"/>
  <c r="L278" i="4" s="1"/>
  <c r="H189" i="3"/>
  <c r="M189" i="4"/>
  <c r="J278" i="4" l="1"/>
  <c r="D279" i="4" s="1"/>
  <c r="I279" i="4" s="1"/>
  <c r="K279" i="4" s="1"/>
  <c r="L189" i="3"/>
  <c r="J189" i="3"/>
  <c r="D190" i="3" s="1"/>
  <c r="F279" i="4" l="1"/>
  <c r="F190" i="3"/>
  <c r="I190" i="3"/>
  <c r="G279" i="4" l="1"/>
  <c r="H279" i="4" s="1"/>
  <c r="L279" i="4" s="1"/>
  <c r="N190" i="4"/>
  <c r="K190" i="3"/>
  <c r="O190" i="4" s="1"/>
  <c r="G190" i="3"/>
  <c r="J279" i="4" l="1"/>
  <c r="D280" i="4" s="1"/>
  <c r="M190" i="4"/>
  <c r="H190" i="3"/>
  <c r="I280" i="4" l="1"/>
  <c r="K280" i="4" s="1"/>
  <c r="F280" i="4"/>
  <c r="G280" i="4" s="1"/>
  <c r="L190" i="3"/>
  <c r="J190" i="3"/>
  <c r="D191" i="3" s="1"/>
  <c r="H280" i="4" l="1"/>
  <c r="L280" i="4" s="1"/>
  <c r="I191" i="3"/>
  <c r="F191" i="3"/>
  <c r="J280" i="4" l="1"/>
  <c r="D281" i="4" s="1"/>
  <c r="I281" i="4" s="1"/>
  <c r="K281" i="4" s="1"/>
  <c r="G191" i="3"/>
  <c r="N191" i="4"/>
  <c r="K191" i="3"/>
  <c r="O191" i="4" s="1"/>
  <c r="F281" i="4" l="1"/>
  <c r="G281" i="4" s="1"/>
  <c r="H281" i="4" s="1"/>
  <c r="J281" i="4" s="1"/>
  <c r="D282" i="4" s="1"/>
  <c r="I282" i="4" s="1"/>
  <c r="K282" i="4" s="1"/>
  <c r="H191" i="3"/>
  <c r="M191" i="4"/>
  <c r="L281" i="4" l="1"/>
  <c r="F282" i="4"/>
  <c r="G282" i="4" s="1"/>
  <c r="H282" i="4" s="1"/>
  <c r="J282" i="4" s="1"/>
  <c r="D283" i="4" s="1"/>
  <c r="L191" i="3"/>
  <c r="J191" i="3"/>
  <c r="D192" i="3" s="1"/>
  <c r="F283" i="4" l="1"/>
  <c r="G283" i="4" s="1"/>
  <c r="I283" i="4"/>
  <c r="K283" i="4" s="1"/>
  <c r="L282" i="4"/>
  <c r="I192" i="3"/>
  <c r="F192" i="3"/>
  <c r="H283" i="4" l="1"/>
  <c r="L283" i="4" s="1"/>
  <c r="G192" i="3"/>
  <c r="N192" i="4"/>
  <c r="K192" i="3"/>
  <c r="O192" i="4" s="1"/>
  <c r="J283" i="4" l="1"/>
  <c r="D284" i="4" s="1"/>
  <c r="F284" i="4" s="1"/>
  <c r="G284" i="4" s="1"/>
  <c r="M192" i="4"/>
  <c r="H192" i="3"/>
  <c r="I284" i="4" l="1"/>
  <c r="K284" i="4" s="1"/>
  <c r="L192" i="3"/>
  <c r="J192" i="3"/>
  <c r="D193" i="3" s="1"/>
  <c r="H284" i="4" l="1"/>
  <c r="F193" i="3"/>
  <c r="I193" i="3"/>
  <c r="J284" i="4" l="1"/>
  <c r="D285" i="4" s="1"/>
  <c r="L284" i="4"/>
  <c r="N193" i="4"/>
  <c r="K193" i="3"/>
  <c r="O193" i="4" s="1"/>
  <c r="G193" i="3"/>
  <c r="F285" i="4" l="1"/>
  <c r="G285" i="4" s="1"/>
  <c r="I285" i="4"/>
  <c r="K285" i="4" s="1"/>
  <c r="M193" i="4"/>
  <c r="H193" i="3"/>
  <c r="H285" i="4" l="1"/>
  <c r="L193" i="3"/>
  <c r="J19" i="2" s="1" a="1"/>
  <c r="J19" i="2" s="1"/>
  <c r="L19" i="2" s="1"/>
  <c r="J193" i="3"/>
  <c r="L285" i="4" l="1"/>
  <c r="J285" i="4"/>
  <c r="D286" i="4" s="1"/>
  <c r="N19" i="2"/>
  <c r="P19" i="2" s="1"/>
  <c r="M19" i="2"/>
  <c r="E19" i="2"/>
  <c r="F19" i="2" s="1"/>
  <c r="D194" i="3"/>
  <c r="I286" i="4" l="1"/>
  <c r="K286" i="4" s="1"/>
  <c r="F286" i="4"/>
  <c r="I194" i="3"/>
  <c r="F194" i="3"/>
  <c r="G286" i="4" l="1"/>
  <c r="H286" i="4" s="1"/>
  <c r="L286" i="4" s="1"/>
  <c r="G194" i="3"/>
  <c r="N194" i="4"/>
  <c r="K194" i="3"/>
  <c r="O194" i="4" s="1"/>
  <c r="J286" i="4" l="1"/>
  <c r="D287" i="4" s="1"/>
  <c r="I287" i="4" s="1"/>
  <c r="K287" i="4" s="1"/>
  <c r="H194" i="3"/>
  <c r="M194" i="4"/>
  <c r="F287" i="4" l="1"/>
  <c r="G287" i="4" s="1"/>
  <c r="H287" i="4" s="1"/>
  <c r="L287" i="4" s="1"/>
  <c r="L194" i="3"/>
  <c r="J194" i="3"/>
  <c r="D195" i="3" s="1"/>
  <c r="J287" i="4" l="1"/>
  <c r="D288" i="4" s="1"/>
  <c r="I288" i="4" s="1"/>
  <c r="K288" i="4" s="1"/>
  <c r="I195" i="3"/>
  <c r="F195" i="3"/>
  <c r="F288" i="4" l="1"/>
  <c r="G288" i="4" s="1"/>
  <c r="H288" i="4" s="1"/>
  <c r="L288" i="4" s="1"/>
  <c r="G195" i="3"/>
  <c r="N195" i="4"/>
  <c r="K195" i="3"/>
  <c r="O195" i="4" s="1"/>
  <c r="J288" i="4" l="1"/>
  <c r="D289" i="4" s="1"/>
  <c r="I289" i="4" s="1"/>
  <c r="K289" i="4" s="1"/>
  <c r="M195" i="4"/>
  <c r="H195" i="3"/>
  <c r="F289" i="4" l="1"/>
  <c r="G289" i="4" s="1"/>
  <c r="H289" i="4" s="1"/>
  <c r="L289" i="4" s="1"/>
  <c r="K27" i="2" s="1" a="1"/>
  <c r="K27" i="2" s="1"/>
  <c r="L195" i="3"/>
  <c r="J195" i="3"/>
  <c r="D196" i="3" s="1"/>
  <c r="J289" i="4" l="1"/>
  <c r="D290" i="4" s="1"/>
  <c r="I290" i="4" s="1"/>
  <c r="K290" i="4" s="1"/>
  <c r="F196" i="3"/>
  <c r="I196" i="3"/>
  <c r="F290" i="4" l="1"/>
  <c r="G290" i="4" s="1"/>
  <c r="H290" i="4" s="1"/>
  <c r="L290" i="4" s="1"/>
  <c r="N196" i="4"/>
  <c r="K196" i="3"/>
  <c r="O196" i="4" s="1"/>
  <c r="G196" i="3"/>
  <c r="J290" i="4" l="1"/>
  <c r="D291" i="4" s="1"/>
  <c r="I291" i="4" s="1"/>
  <c r="K291" i="4" s="1"/>
  <c r="M196" i="4"/>
  <c r="H196" i="3"/>
  <c r="F291" i="4" l="1"/>
  <c r="G291" i="4" s="1"/>
  <c r="H291" i="4" s="1"/>
  <c r="L291" i="4" s="1"/>
  <c r="L196" i="3"/>
  <c r="J196" i="3"/>
  <c r="D197" i="3" s="1"/>
  <c r="J291" i="4" l="1"/>
  <c r="D292" i="4" s="1"/>
  <c r="F292" i="4" s="1"/>
  <c r="G292" i="4" s="1"/>
  <c r="I197" i="3"/>
  <c r="F197" i="3"/>
  <c r="I292" i="4" l="1"/>
  <c r="K292" i="4" s="1"/>
  <c r="G197" i="3"/>
  <c r="N197" i="4"/>
  <c r="K197" i="3"/>
  <c r="O197" i="4" s="1"/>
  <c r="H292" i="4" l="1"/>
  <c r="L292" i="4" s="1"/>
  <c r="J292" i="4"/>
  <c r="D293" i="4" s="1"/>
  <c r="F293" i="4" s="1"/>
  <c r="G293" i="4" s="1"/>
  <c r="M197" i="4"/>
  <c r="H197" i="3"/>
  <c r="I293" i="4" l="1"/>
  <c r="K293" i="4" s="1"/>
  <c r="L197" i="3"/>
  <c r="J197" i="3"/>
  <c r="D198" i="3" s="1"/>
  <c r="H293" i="4" l="1"/>
  <c r="I198" i="3"/>
  <c r="F198" i="3"/>
  <c r="J293" i="4" l="1"/>
  <c r="D294" i="4" s="1"/>
  <c r="L293" i="4"/>
  <c r="G198" i="3"/>
  <c r="N198" i="4"/>
  <c r="K198" i="3"/>
  <c r="O198" i="4" s="1"/>
  <c r="I294" i="4" l="1"/>
  <c r="K294" i="4" s="1"/>
  <c r="F294" i="4"/>
  <c r="G294" i="4" s="1"/>
  <c r="H198" i="3"/>
  <c r="M198" i="4"/>
  <c r="H294" i="4" l="1"/>
  <c r="L294" i="4" s="1"/>
  <c r="J294" i="4"/>
  <c r="D295" i="4" s="1"/>
  <c r="L198" i="3"/>
  <c r="J198" i="3"/>
  <c r="D199" i="3" s="1"/>
  <c r="I295" i="4" l="1"/>
  <c r="K295" i="4" s="1"/>
  <c r="F295" i="4"/>
  <c r="I199" i="3"/>
  <c r="F199" i="3"/>
  <c r="G295" i="4" l="1"/>
  <c r="H295" i="4" s="1"/>
  <c r="L295" i="4" s="1"/>
  <c r="G199" i="3"/>
  <c r="N199" i="4"/>
  <c r="K199" i="3"/>
  <c r="O199" i="4" s="1"/>
  <c r="J295" i="4" l="1"/>
  <c r="D296" i="4" s="1"/>
  <c r="I296" i="4" s="1"/>
  <c r="K296" i="4" s="1"/>
  <c r="M199" i="4"/>
  <c r="H199" i="3"/>
  <c r="F296" i="4" l="1"/>
  <c r="G296" i="4" s="1"/>
  <c r="H296" i="4" s="1"/>
  <c r="L296" i="4" s="1"/>
  <c r="L199" i="3"/>
  <c r="J199" i="3"/>
  <c r="D200" i="3" s="1"/>
  <c r="J296" i="4" l="1"/>
  <c r="D297" i="4" s="1"/>
  <c r="F200" i="3"/>
  <c r="I200" i="3"/>
  <c r="F297" i="4" l="1"/>
  <c r="I297" i="4"/>
  <c r="K297" i="4" s="1"/>
  <c r="N200" i="4"/>
  <c r="K200" i="3"/>
  <c r="O200" i="4" s="1"/>
  <c r="G200" i="3"/>
  <c r="G297" i="4" l="1"/>
  <c r="H297" i="4" s="1"/>
  <c r="L297" i="4" s="1"/>
  <c r="H200" i="3"/>
  <c r="M200" i="4"/>
  <c r="J297" i="4" l="1"/>
  <c r="D298" i="4" s="1"/>
  <c r="F298" i="4" s="1"/>
  <c r="L200" i="3"/>
  <c r="J200" i="3"/>
  <c r="D201" i="3" s="1"/>
  <c r="I298" i="4" l="1"/>
  <c r="K298" i="4" s="1"/>
  <c r="G298" i="4"/>
  <c r="F201" i="3"/>
  <c r="I201" i="3"/>
  <c r="H298" i="4" l="1"/>
  <c r="L298" i="4" s="1"/>
  <c r="J298" i="4"/>
  <c r="D299" i="4" s="1"/>
  <c r="I299" i="4" s="1"/>
  <c r="K299" i="4" s="1"/>
  <c r="N201" i="4"/>
  <c r="K201" i="3"/>
  <c r="O201" i="4" s="1"/>
  <c r="G201" i="3"/>
  <c r="F299" i="4" l="1"/>
  <c r="G299" i="4" s="1"/>
  <c r="H299" i="4" s="1"/>
  <c r="L299" i="4" s="1"/>
  <c r="H201" i="3"/>
  <c r="M201" i="4"/>
  <c r="J299" i="4" l="1"/>
  <c r="D300" i="4" s="1"/>
  <c r="L201" i="3"/>
  <c r="J201" i="3"/>
  <c r="D202" i="3" s="1"/>
  <c r="I300" i="4" l="1"/>
  <c r="K300" i="4" s="1"/>
  <c r="F300" i="4"/>
  <c r="I202" i="3"/>
  <c r="F202" i="3"/>
  <c r="G300" i="4" l="1"/>
  <c r="H300" i="4" s="1"/>
  <c r="L300" i="4" s="1"/>
  <c r="G202" i="3"/>
  <c r="N202" i="4"/>
  <c r="K202" i="3"/>
  <c r="O202" i="4" s="1"/>
  <c r="J300" i="4" l="1"/>
  <c r="D301" i="4" s="1"/>
  <c r="I301" i="4" s="1"/>
  <c r="K301" i="4" s="1"/>
  <c r="M202" i="4"/>
  <c r="H202" i="3"/>
  <c r="F301" i="4" l="1"/>
  <c r="G301" i="4" s="1"/>
  <c r="H301" i="4" s="1"/>
  <c r="J301" i="4" s="1"/>
  <c r="D302" i="4" s="1"/>
  <c r="F302" i="4" s="1"/>
  <c r="G302" i="4" s="1"/>
  <c r="L202" i="3"/>
  <c r="J202" i="3"/>
  <c r="D203" i="3" s="1"/>
  <c r="I302" i="4" l="1"/>
  <c r="K302" i="4" s="1"/>
  <c r="L301" i="4"/>
  <c r="K28" i="2" s="1" a="1"/>
  <c r="K28" i="2" s="1"/>
  <c r="F203" i="3"/>
  <c r="I203" i="3"/>
  <c r="H302" i="4" l="1"/>
  <c r="N203" i="4"/>
  <c r="K203" i="3"/>
  <c r="O203" i="4" s="1"/>
  <c r="G203" i="3"/>
  <c r="L302" i="4" l="1"/>
  <c r="J302" i="4"/>
  <c r="D303" i="4" s="1"/>
  <c r="M203" i="4"/>
  <c r="H203" i="3"/>
  <c r="I303" i="4" l="1"/>
  <c r="K303" i="4" s="1"/>
  <c r="F303" i="4"/>
  <c r="L203" i="3"/>
  <c r="J203" i="3"/>
  <c r="D204" i="3" s="1"/>
  <c r="G303" i="4" l="1"/>
  <c r="H303" i="4" s="1"/>
  <c r="L303" i="4" s="1"/>
  <c r="F204" i="3"/>
  <c r="I204" i="3"/>
  <c r="J303" i="4" l="1"/>
  <c r="D304" i="4" s="1"/>
  <c r="F304" i="4" s="1"/>
  <c r="G304" i="4" s="1"/>
  <c r="N204" i="4"/>
  <c r="K204" i="3"/>
  <c r="O204" i="4" s="1"/>
  <c r="G204" i="3"/>
  <c r="I304" i="4" l="1"/>
  <c r="K304" i="4" s="1"/>
  <c r="H204" i="3"/>
  <c r="M204" i="4"/>
  <c r="H304" i="4" l="1"/>
  <c r="L204" i="3"/>
  <c r="J204" i="3"/>
  <c r="D205" i="3" s="1"/>
  <c r="L304" i="4" l="1"/>
  <c r="J304" i="4"/>
  <c r="D305" i="4" s="1"/>
  <c r="F205" i="3"/>
  <c r="I205" i="3"/>
  <c r="F305" i="4" l="1"/>
  <c r="G305" i="4" s="1"/>
  <c r="I305" i="4"/>
  <c r="K305" i="4" s="1"/>
  <c r="N205" i="4"/>
  <c r="K205" i="3"/>
  <c r="O205" i="4" s="1"/>
  <c r="G205" i="3"/>
  <c r="H305" i="4" l="1"/>
  <c r="M205" i="4"/>
  <c r="H205" i="3"/>
  <c r="J305" i="4" l="1"/>
  <c r="D306" i="4" s="1"/>
  <c r="L305" i="4"/>
  <c r="L205" i="3"/>
  <c r="J20" i="2" s="1" a="1"/>
  <c r="J20" i="2" s="1"/>
  <c r="L20" i="2" s="1"/>
  <c r="J205" i="3"/>
  <c r="F306" i="4" l="1"/>
  <c r="G306" i="4" s="1"/>
  <c r="I306" i="4"/>
  <c r="K306" i="4" s="1"/>
  <c r="N20" i="2"/>
  <c r="P20" i="2" s="1"/>
  <c r="M20" i="2"/>
  <c r="E20" i="2"/>
  <c r="F20" i="2" s="1"/>
  <c r="D206" i="3"/>
  <c r="H306" i="4" l="1"/>
  <c r="F206" i="3"/>
  <c r="I206" i="3"/>
  <c r="J306" i="4" l="1"/>
  <c r="D307" i="4" s="1"/>
  <c r="L306" i="4"/>
  <c r="N206" i="4"/>
  <c r="K206" i="3"/>
  <c r="O206" i="4" s="1"/>
  <c r="G206" i="3"/>
  <c r="F307" i="4" l="1"/>
  <c r="G307" i="4" s="1"/>
  <c r="I307" i="4"/>
  <c r="K307" i="4" s="1"/>
  <c r="M206" i="4"/>
  <c r="H206" i="3"/>
  <c r="H307" i="4" l="1"/>
  <c r="L307" i="4" s="1"/>
  <c r="L206" i="3"/>
  <c r="J206" i="3"/>
  <c r="D207" i="3" s="1"/>
  <c r="J307" i="4" l="1"/>
  <c r="D308" i="4" s="1"/>
  <c r="I308" i="4" s="1"/>
  <c r="K308" i="4" s="1"/>
  <c r="I207" i="3"/>
  <c r="F207" i="3"/>
  <c r="F308" i="4" l="1"/>
  <c r="G308" i="4" s="1"/>
  <c r="H308" i="4" s="1"/>
  <c r="L308" i="4" s="1"/>
  <c r="J308" i="4"/>
  <c r="D309" i="4" s="1"/>
  <c r="F309" i="4" s="1"/>
  <c r="G207" i="3"/>
  <c r="N207" i="4"/>
  <c r="K207" i="3"/>
  <c r="O207" i="4" s="1"/>
  <c r="I309" i="4" l="1"/>
  <c r="K309" i="4" s="1"/>
  <c r="G309" i="4"/>
  <c r="H309" i="4" s="1"/>
  <c r="L309" i="4" s="1"/>
  <c r="H207" i="3"/>
  <c r="M207" i="4"/>
  <c r="J309" i="4" l="1"/>
  <c r="D310" i="4" s="1"/>
  <c r="L207" i="3"/>
  <c r="J207" i="3"/>
  <c r="D208" i="3" s="1"/>
  <c r="I310" i="4" l="1"/>
  <c r="K310" i="4" s="1"/>
  <c r="F310" i="4"/>
  <c r="F208" i="3"/>
  <c r="I208" i="3"/>
  <c r="G310" i="4" l="1"/>
  <c r="H310" i="4" s="1"/>
  <c r="L310" i="4" s="1"/>
  <c r="N208" i="4"/>
  <c r="K208" i="3"/>
  <c r="O208" i="4" s="1"/>
  <c r="G208" i="3"/>
  <c r="J310" i="4" l="1"/>
  <c r="D311" i="4" s="1"/>
  <c r="M208" i="4"/>
  <c r="H208" i="3"/>
  <c r="F311" i="4" l="1"/>
  <c r="I311" i="4"/>
  <c r="K311" i="4" s="1"/>
  <c r="L208" i="3"/>
  <c r="J208" i="3"/>
  <c r="D209" i="3" s="1"/>
  <c r="G311" i="4" l="1"/>
  <c r="H311" i="4" s="1"/>
  <c r="L311" i="4" s="1"/>
  <c r="I209" i="3"/>
  <c r="F209" i="3"/>
  <c r="J311" i="4" l="1"/>
  <c r="D312" i="4" s="1"/>
  <c r="F312" i="4" s="1"/>
  <c r="G312" i="4" s="1"/>
  <c r="G209" i="3"/>
  <c r="N209" i="4"/>
  <c r="K209" i="3"/>
  <c r="O209" i="4" s="1"/>
  <c r="I312" i="4" l="1"/>
  <c r="K312" i="4" s="1"/>
  <c r="M209" i="4"/>
  <c r="H209" i="3"/>
  <c r="H312" i="4" l="1"/>
  <c r="L312" i="4" s="1"/>
  <c r="J312" i="4"/>
  <c r="D313" i="4" s="1"/>
  <c r="I313" i="4" s="1"/>
  <c r="K313" i="4" s="1"/>
  <c r="L209" i="3"/>
  <c r="J209" i="3"/>
  <c r="D210" i="3" s="1"/>
  <c r="F313" i="4" l="1"/>
  <c r="G313" i="4" s="1"/>
  <c r="H313" i="4" s="1"/>
  <c r="L313" i="4" s="1"/>
  <c r="K29" i="2" s="1" a="1"/>
  <c r="K29" i="2" s="1"/>
  <c r="I210" i="3"/>
  <c r="F210" i="3"/>
  <c r="J313" i="4" l="1"/>
  <c r="D314" i="4" s="1"/>
  <c r="I314" i="4" s="1"/>
  <c r="K314" i="4" s="1"/>
  <c r="G210" i="3"/>
  <c r="N210" i="4"/>
  <c r="K210" i="3"/>
  <c r="O210" i="4" s="1"/>
  <c r="F314" i="4" l="1"/>
  <c r="G314" i="4" s="1"/>
  <c r="H314" i="4" s="1"/>
  <c r="L314" i="4" s="1"/>
  <c r="M210" i="4"/>
  <c r="H210" i="3"/>
  <c r="J314" i="4" l="1"/>
  <c r="D315" i="4" s="1"/>
  <c r="I315" i="4" s="1"/>
  <c r="K315" i="4" s="1"/>
  <c r="L210" i="3"/>
  <c r="J210" i="3"/>
  <c r="D211" i="3" s="1"/>
  <c r="F315" i="4" l="1"/>
  <c r="G315" i="4" s="1"/>
  <c r="H315" i="4" s="1"/>
  <c r="J315" i="4" s="1"/>
  <c r="D316" i="4" s="1"/>
  <c r="I316" i="4" s="1"/>
  <c r="K316" i="4" s="1"/>
  <c r="L315" i="4"/>
  <c r="F211" i="3"/>
  <c r="I211" i="3"/>
  <c r="F316" i="4" l="1"/>
  <c r="G316" i="4" s="1"/>
  <c r="H316" i="4" s="1"/>
  <c r="L316" i="4" s="1"/>
  <c r="N211" i="4"/>
  <c r="K211" i="3"/>
  <c r="O211" i="4" s="1"/>
  <c r="G211" i="3"/>
  <c r="J316" i="4" l="1"/>
  <c r="D317" i="4" s="1"/>
  <c r="F317" i="4" s="1"/>
  <c r="G317" i="4" s="1"/>
  <c r="M211" i="4"/>
  <c r="H211" i="3"/>
  <c r="I317" i="4" l="1"/>
  <c r="K317" i="4" s="1"/>
  <c r="L211" i="3"/>
  <c r="J211" i="3"/>
  <c r="D212" i="3" s="1"/>
  <c r="H317" i="4" l="1"/>
  <c r="J317" i="4"/>
  <c r="D318" i="4" s="1"/>
  <c r="L317" i="4"/>
  <c r="F212" i="3"/>
  <c r="I212" i="3"/>
  <c r="I318" i="4" l="1"/>
  <c r="K318" i="4" s="1"/>
  <c r="F318" i="4"/>
  <c r="G318" i="4" s="1"/>
  <c r="N212" i="4"/>
  <c r="K212" i="3"/>
  <c r="O212" i="4" s="1"/>
  <c r="G212" i="3"/>
  <c r="H318" i="4" l="1"/>
  <c r="J318" i="4" s="1"/>
  <c r="D319" i="4" s="1"/>
  <c r="L318" i="4"/>
  <c r="H212" i="3"/>
  <c r="M212" i="4"/>
  <c r="I319" i="4" l="1"/>
  <c r="K319" i="4" s="1"/>
  <c r="F319" i="4"/>
  <c r="L212" i="3"/>
  <c r="J212" i="3"/>
  <c r="D213" i="3" s="1"/>
  <c r="G319" i="4" l="1"/>
  <c r="H319" i="4" s="1"/>
  <c r="L319" i="4" s="1"/>
  <c r="I213" i="3"/>
  <c r="F213" i="3"/>
  <c r="J319" i="4" l="1"/>
  <c r="D320" i="4" s="1"/>
  <c r="I320" i="4" s="1"/>
  <c r="K320" i="4" s="1"/>
  <c r="G213" i="3"/>
  <c r="N213" i="4"/>
  <c r="K213" i="3"/>
  <c r="O213" i="4" s="1"/>
  <c r="F320" i="4" l="1"/>
  <c r="G320" i="4" s="1"/>
  <c r="H320" i="4" s="1"/>
  <c r="J320" i="4" s="1"/>
  <c r="D321" i="4" s="1"/>
  <c r="H213" i="3"/>
  <c r="M213" i="4"/>
  <c r="F321" i="4" l="1"/>
  <c r="I321" i="4"/>
  <c r="K321" i="4" s="1"/>
  <c r="L320" i="4"/>
  <c r="L213" i="3"/>
  <c r="J213" i="3"/>
  <c r="D214" i="3" s="1"/>
  <c r="G321" i="4" l="1"/>
  <c r="H321" i="4" s="1"/>
  <c r="L321" i="4" s="1"/>
  <c r="I214" i="3"/>
  <c r="F214" i="3"/>
  <c r="J321" i="4" l="1"/>
  <c r="D322" i="4" s="1"/>
  <c r="F322" i="4" s="1"/>
  <c r="G214" i="3"/>
  <c r="N214" i="4"/>
  <c r="K214" i="3"/>
  <c r="O214" i="4" s="1"/>
  <c r="I322" i="4" l="1"/>
  <c r="K322" i="4" s="1"/>
  <c r="G322" i="4"/>
  <c r="M214" i="4"/>
  <c r="H214" i="3"/>
  <c r="H322" i="4" l="1"/>
  <c r="L322" i="4" s="1"/>
  <c r="L214" i="3"/>
  <c r="J214" i="3"/>
  <c r="D215" i="3" s="1"/>
  <c r="J322" i="4" l="1"/>
  <c r="D323" i="4" s="1"/>
  <c r="F323" i="4" s="1"/>
  <c r="G323" i="4" s="1"/>
  <c r="I215" i="3"/>
  <c r="F215" i="3"/>
  <c r="I323" i="4" l="1"/>
  <c r="K323" i="4" s="1"/>
  <c r="H323" i="4"/>
  <c r="L323" i="4" s="1"/>
  <c r="G215" i="3"/>
  <c r="N215" i="4"/>
  <c r="K215" i="3"/>
  <c r="O215" i="4" s="1"/>
  <c r="J323" i="4" l="1"/>
  <c r="D324" i="4" s="1"/>
  <c r="F324" i="4" s="1"/>
  <c r="G324" i="4" s="1"/>
  <c r="H215" i="3"/>
  <c r="M215" i="4"/>
  <c r="I324" i="4" l="1"/>
  <c r="K324" i="4" s="1"/>
  <c r="H324" i="4"/>
  <c r="L215" i="3"/>
  <c r="J215" i="3"/>
  <c r="D216" i="3" s="1"/>
  <c r="J324" i="4" l="1"/>
  <c r="D325" i="4" s="1"/>
  <c r="L324" i="4"/>
  <c r="I216" i="3"/>
  <c r="F216" i="3"/>
  <c r="F325" i="4" l="1"/>
  <c r="I325" i="4"/>
  <c r="K325" i="4" s="1"/>
  <c r="G216" i="3"/>
  <c r="N216" i="4"/>
  <c r="K216" i="3"/>
  <c r="O216" i="4" s="1"/>
  <c r="G325" i="4" l="1"/>
  <c r="H325" i="4" s="1"/>
  <c r="L325" i="4" s="1"/>
  <c r="K30" i="2" s="1" a="1"/>
  <c r="K30" i="2" s="1"/>
  <c r="H216" i="3"/>
  <c r="M216" i="4"/>
  <c r="J325" i="4" l="1"/>
  <c r="D326" i="4" s="1"/>
  <c r="L216" i="3"/>
  <c r="J216" i="3"/>
  <c r="D217" i="3" s="1"/>
  <c r="F326" i="4" l="1"/>
  <c r="I326" i="4"/>
  <c r="K326" i="4" s="1"/>
  <c r="I217" i="3"/>
  <c r="F217" i="3"/>
  <c r="G326" i="4" l="1"/>
  <c r="H326" i="4" s="1"/>
  <c r="J326" i="4" s="1"/>
  <c r="D327" i="4" s="1"/>
  <c r="G217" i="3"/>
  <c r="N217" i="4"/>
  <c r="K217" i="3"/>
  <c r="O217" i="4" s="1"/>
  <c r="I327" i="4" l="1"/>
  <c r="K327" i="4" s="1"/>
  <c r="F327" i="4"/>
  <c r="L326" i="4"/>
  <c r="M217" i="4"/>
  <c r="H217" i="3"/>
  <c r="G327" i="4" l="1"/>
  <c r="H327" i="4" s="1"/>
  <c r="L327" i="4" s="1"/>
  <c r="L217" i="3"/>
  <c r="J21" i="2" s="1" a="1"/>
  <c r="J21" i="2" s="1"/>
  <c r="L21" i="2" s="1"/>
  <c r="J217" i="3"/>
  <c r="J327" i="4" l="1"/>
  <c r="D328" i="4" s="1"/>
  <c r="F328" i="4" s="1"/>
  <c r="N21" i="2"/>
  <c r="P21" i="2" s="1"/>
  <c r="M21" i="2"/>
  <c r="E21" i="2"/>
  <c r="F21" i="2" s="1"/>
  <c r="D218" i="3"/>
  <c r="I328" i="4" l="1"/>
  <c r="K328" i="4" s="1"/>
  <c r="G328" i="4"/>
  <c r="F218" i="3"/>
  <c r="I218" i="3"/>
  <c r="H328" i="4" l="1"/>
  <c r="L328" i="4" s="1"/>
  <c r="N218" i="4"/>
  <c r="K218" i="3"/>
  <c r="O218" i="4" s="1"/>
  <c r="G218" i="3"/>
  <c r="J328" i="4" l="1"/>
  <c r="D329" i="4" s="1"/>
  <c r="F329" i="4" s="1"/>
  <c r="G329" i="4" s="1"/>
  <c r="M218" i="4"/>
  <c r="H218" i="3"/>
  <c r="I329" i="4" l="1"/>
  <c r="K329" i="4" s="1"/>
  <c r="L218" i="3"/>
  <c r="J218" i="3"/>
  <c r="D219" i="3" s="1"/>
  <c r="H329" i="4" l="1"/>
  <c r="I219" i="3"/>
  <c r="F219" i="3"/>
  <c r="J329" i="4" l="1"/>
  <c r="D330" i="4" s="1"/>
  <c r="L329" i="4"/>
  <c r="G219" i="3"/>
  <c r="N219" i="4"/>
  <c r="K219" i="3"/>
  <c r="O219" i="4" s="1"/>
  <c r="I330" i="4" l="1"/>
  <c r="K330" i="4" s="1"/>
  <c r="F330" i="4"/>
  <c r="M219" i="4"/>
  <c r="H219" i="3"/>
  <c r="G330" i="4" l="1"/>
  <c r="H330" i="4" s="1"/>
  <c r="L330" i="4" s="1"/>
  <c r="L219" i="3"/>
  <c r="J219" i="3"/>
  <c r="D220" i="3" s="1"/>
  <c r="J330" i="4" l="1"/>
  <c r="D331" i="4" s="1"/>
  <c r="I331" i="4" s="1"/>
  <c r="K331" i="4" s="1"/>
  <c r="I220" i="3"/>
  <c r="F220" i="3"/>
  <c r="F331" i="4" l="1"/>
  <c r="G331" i="4" s="1"/>
  <c r="H331" i="4" s="1"/>
  <c r="J331" i="4" s="1"/>
  <c r="D332" i="4" s="1"/>
  <c r="G220" i="3"/>
  <c r="N220" i="4"/>
  <c r="K220" i="3"/>
  <c r="O220" i="4" s="1"/>
  <c r="I332" i="4" l="1"/>
  <c r="K332" i="4" s="1"/>
  <c r="F332" i="4"/>
  <c r="L331" i="4"/>
  <c r="M220" i="4"/>
  <c r="H220" i="3"/>
  <c r="G332" i="4" l="1"/>
  <c r="H332" i="4" s="1"/>
  <c r="L332" i="4" s="1"/>
  <c r="L220" i="3"/>
  <c r="J220" i="3"/>
  <c r="D221" i="3" s="1"/>
  <c r="J332" i="4" l="1"/>
  <c r="D333" i="4" s="1"/>
  <c r="I221" i="3"/>
  <c r="F221" i="3"/>
  <c r="F333" i="4" l="1"/>
  <c r="I333" i="4"/>
  <c r="K333" i="4" s="1"/>
  <c r="G221" i="3"/>
  <c r="N221" i="4"/>
  <c r="K221" i="3"/>
  <c r="O221" i="4" s="1"/>
  <c r="G333" i="4" l="1"/>
  <c r="H333" i="4" s="1"/>
  <c r="L333" i="4" s="1"/>
  <c r="M221" i="4"/>
  <c r="H221" i="3"/>
  <c r="J333" i="4" l="1"/>
  <c r="D334" i="4" s="1"/>
  <c r="L221" i="3"/>
  <c r="J221" i="3"/>
  <c r="D222" i="3" s="1"/>
  <c r="F334" i="4" l="1"/>
  <c r="G334" i="4" s="1"/>
  <c r="I334" i="4"/>
  <c r="K334" i="4" s="1"/>
  <c r="I222" i="3"/>
  <c r="F222" i="3"/>
  <c r="H334" i="4" l="1"/>
  <c r="G222" i="3"/>
  <c r="N222" i="4"/>
  <c r="K222" i="3"/>
  <c r="O222" i="4" s="1"/>
  <c r="J334" i="4" l="1"/>
  <c r="D335" i="4" s="1"/>
  <c r="L334" i="4"/>
  <c r="M222" i="4"/>
  <c r="H222" i="3"/>
  <c r="I335" i="4" l="1"/>
  <c r="K335" i="4" s="1"/>
  <c r="F335" i="4"/>
  <c r="G335" i="4" s="1"/>
  <c r="H335" i="4" s="1"/>
  <c r="L222" i="3"/>
  <c r="J222" i="3"/>
  <c r="D223" i="3" s="1"/>
  <c r="J335" i="4" l="1"/>
  <c r="D336" i="4" s="1"/>
  <c r="L335" i="4"/>
  <c r="I223" i="3"/>
  <c r="F223" i="3"/>
  <c r="I336" i="4" l="1"/>
  <c r="K336" i="4" s="1"/>
  <c r="F336" i="4"/>
  <c r="G223" i="3"/>
  <c r="N223" i="4"/>
  <c r="K223" i="3"/>
  <c r="O223" i="4" s="1"/>
  <c r="G336" i="4" l="1"/>
  <c r="H336" i="4" s="1"/>
  <c r="J336" i="4" s="1"/>
  <c r="D337" i="4" s="1"/>
  <c r="M223" i="4"/>
  <c r="H223" i="3"/>
  <c r="F337" i="4" l="1"/>
  <c r="G337" i="4" s="1"/>
  <c r="I337" i="4"/>
  <c r="K337" i="4" s="1"/>
  <c r="L336" i="4"/>
  <c r="L223" i="3"/>
  <c r="J223" i="3"/>
  <c r="D224" i="3" s="1"/>
  <c r="H337" i="4" l="1"/>
  <c r="F224" i="3"/>
  <c r="I224" i="3"/>
  <c r="J337" i="4" l="1"/>
  <c r="D338" i="4" s="1"/>
  <c r="L337" i="4"/>
  <c r="K31" i="2" s="1" a="1"/>
  <c r="K31" i="2" s="1"/>
  <c r="N224" i="4"/>
  <c r="K224" i="3"/>
  <c r="O224" i="4" s="1"/>
  <c r="G224" i="3"/>
  <c r="I338" i="4" l="1"/>
  <c r="K338" i="4" s="1"/>
  <c r="F338" i="4"/>
  <c r="H224" i="3"/>
  <c r="M224" i="4"/>
  <c r="G338" i="4" l="1"/>
  <c r="H338" i="4" s="1"/>
  <c r="J338" i="4" s="1"/>
  <c r="D339" i="4" s="1"/>
  <c r="L224" i="3"/>
  <c r="J224" i="3"/>
  <c r="D225" i="3" s="1"/>
  <c r="F339" i="4" l="1"/>
  <c r="G339" i="4" s="1"/>
  <c r="I339" i="4"/>
  <c r="K339" i="4" s="1"/>
  <c r="L338" i="4"/>
  <c r="I225" i="3"/>
  <c r="F225" i="3"/>
  <c r="H339" i="4" l="1"/>
  <c r="G225" i="3"/>
  <c r="N225" i="4"/>
  <c r="K225" i="3"/>
  <c r="O225" i="4" s="1"/>
  <c r="J339" i="4" l="1"/>
  <c r="D340" i="4" s="1"/>
  <c r="L339" i="4"/>
  <c r="M225" i="4"/>
  <c r="H225" i="3"/>
  <c r="F340" i="4" l="1"/>
  <c r="G340" i="4" s="1"/>
  <c r="I340" i="4"/>
  <c r="K340" i="4" s="1"/>
  <c r="L225" i="3"/>
  <c r="J225" i="3"/>
  <c r="D226" i="3" s="1"/>
  <c r="H340" i="4" l="1"/>
  <c r="F226" i="3"/>
  <c r="I226" i="3"/>
  <c r="J340" i="4" l="1"/>
  <c r="D341" i="4" s="1"/>
  <c r="L340" i="4"/>
  <c r="N226" i="4"/>
  <c r="K226" i="3"/>
  <c r="O226" i="4" s="1"/>
  <c r="G226" i="3"/>
  <c r="I341" i="4" l="1"/>
  <c r="K341" i="4" s="1"/>
  <c r="F341" i="4"/>
  <c r="G341" i="4" s="1"/>
  <c r="M226" i="4"/>
  <c r="H226" i="3"/>
  <c r="H341" i="4" l="1"/>
  <c r="L226" i="3"/>
  <c r="J226" i="3"/>
  <c r="D227" i="3" s="1"/>
  <c r="J341" i="4" l="1"/>
  <c r="D342" i="4" s="1"/>
  <c r="L341" i="4"/>
  <c r="F227" i="3"/>
  <c r="I227" i="3"/>
  <c r="I342" i="4" l="1"/>
  <c r="K342" i="4" s="1"/>
  <c r="F342" i="4"/>
  <c r="N227" i="4"/>
  <c r="K227" i="3"/>
  <c r="O227" i="4" s="1"/>
  <c r="G227" i="3"/>
  <c r="G342" i="4" l="1"/>
  <c r="H342" i="4" s="1"/>
  <c r="J342" i="4" s="1"/>
  <c r="D343" i="4" s="1"/>
  <c r="M227" i="4"/>
  <c r="H227" i="3"/>
  <c r="F343" i="4" l="1"/>
  <c r="G343" i="4" s="1"/>
  <c r="I343" i="4"/>
  <c r="K343" i="4" s="1"/>
  <c r="L342" i="4"/>
  <c r="L227" i="3"/>
  <c r="J227" i="3"/>
  <c r="D228" i="3" s="1"/>
  <c r="H343" i="4" l="1"/>
  <c r="L343" i="4" s="1"/>
  <c r="F228" i="3"/>
  <c r="I228" i="3"/>
  <c r="J343" i="4" l="1"/>
  <c r="D344" i="4" s="1"/>
  <c r="I344" i="4" s="1"/>
  <c r="K344" i="4" s="1"/>
  <c r="N228" i="4"/>
  <c r="K228" i="3"/>
  <c r="O228" i="4" s="1"/>
  <c r="G228" i="3"/>
  <c r="F344" i="4" l="1"/>
  <c r="G344" i="4" s="1"/>
  <c r="H344" i="4" s="1"/>
  <c r="J344" i="4" s="1"/>
  <c r="D345" i="4" s="1"/>
  <c r="H228" i="3"/>
  <c r="M228" i="4"/>
  <c r="I345" i="4" l="1"/>
  <c r="K345" i="4" s="1"/>
  <c r="F345" i="4"/>
  <c r="L344" i="4"/>
  <c r="L228" i="3"/>
  <c r="J228" i="3"/>
  <c r="D229" i="3" s="1"/>
  <c r="G345" i="4" l="1"/>
  <c r="H345" i="4" s="1"/>
  <c r="J345" i="4" s="1"/>
  <c r="D346" i="4" s="1"/>
  <c r="I229" i="3"/>
  <c r="F229" i="3"/>
  <c r="F346" i="4" l="1"/>
  <c r="G346" i="4" s="1"/>
  <c r="I346" i="4"/>
  <c r="K346" i="4" s="1"/>
  <c r="L345" i="4"/>
  <c r="G229" i="3"/>
  <c r="N229" i="4"/>
  <c r="K229" i="3"/>
  <c r="O229" i="4" s="1"/>
  <c r="H346" i="4" l="1"/>
  <c r="M229" i="4"/>
  <c r="H229" i="3"/>
  <c r="J346" i="4" l="1"/>
  <c r="D347" i="4" s="1"/>
  <c r="L346" i="4"/>
  <c r="L229" i="3"/>
  <c r="J22" i="2" s="1" a="1"/>
  <c r="J22" i="2" s="1"/>
  <c r="L22" i="2" s="1"/>
  <c r="J229" i="3"/>
  <c r="I347" i="4" l="1"/>
  <c r="K347" i="4" s="1"/>
  <c r="F347" i="4"/>
  <c r="N22" i="2"/>
  <c r="P22" i="2" s="1"/>
  <c r="M22" i="2"/>
  <c r="D230" i="3"/>
  <c r="E22" i="2"/>
  <c r="F22" i="2" s="1"/>
  <c r="G347" i="4" l="1"/>
  <c r="H347" i="4" s="1"/>
  <c r="L347" i="4" s="1"/>
  <c r="I230" i="3"/>
  <c r="F230" i="3"/>
  <c r="J347" i="4" l="1"/>
  <c r="D348" i="4" s="1"/>
  <c r="F348" i="4" s="1"/>
  <c r="G230" i="3"/>
  <c r="N230" i="4"/>
  <c r="K230" i="3"/>
  <c r="O230" i="4" s="1"/>
  <c r="I348" i="4" l="1"/>
  <c r="K348" i="4" s="1"/>
  <c r="G348" i="4"/>
  <c r="H348" i="4" s="1"/>
  <c r="J348" i="4" s="1"/>
  <c r="D349" i="4" s="1"/>
  <c r="H230" i="3"/>
  <c r="M230" i="4"/>
  <c r="I349" i="4" l="1"/>
  <c r="K349" i="4" s="1"/>
  <c r="F349" i="4"/>
  <c r="L348" i="4"/>
  <c r="L230" i="3"/>
  <c r="J230" i="3"/>
  <c r="D231" i="3" s="1"/>
  <c r="G349" i="4" l="1"/>
  <c r="H349" i="4" s="1"/>
  <c r="L349" i="4" s="1"/>
  <c r="K32" i="2" s="1" a="1"/>
  <c r="K32" i="2" s="1"/>
  <c r="F231" i="3"/>
  <c r="I231" i="3"/>
  <c r="J349" i="4" l="1"/>
  <c r="D350" i="4" s="1"/>
  <c r="I350" i="4" s="1"/>
  <c r="K350" i="4" s="1"/>
  <c r="N231" i="4"/>
  <c r="K231" i="3"/>
  <c r="O231" i="4" s="1"/>
  <c r="G231" i="3"/>
  <c r="F350" i="4" l="1"/>
  <c r="G350" i="4" s="1"/>
  <c r="H350" i="4" s="1"/>
  <c r="L350" i="4" s="1"/>
  <c r="M231" i="4"/>
  <c r="H231" i="3"/>
  <c r="J350" i="4" l="1"/>
  <c r="D351" i="4" s="1"/>
  <c r="F351" i="4" s="1"/>
  <c r="G351" i="4" s="1"/>
  <c r="L231" i="3"/>
  <c r="J231" i="3"/>
  <c r="D232" i="3" s="1"/>
  <c r="I351" i="4" l="1"/>
  <c r="K351" i="4" s="1"/>
  <c r="H351" i="4"/>
  <c r="L351" i="4" s="1"/>
  <c r="I232" i="3"/>
  <c r="F232" i="3"/>
  <c r="J351" i="4" l="1"/>
  <c r="D352" i="4" s="1"/>
  <c r="F352" i="4" s="1"/>
  <c r="G352" i="4" s="1"/>
  <c r="G232" i="3"/>
  <c r="N232" i="4"/>
  <c r="K232" i="3"/>
  <c r="O232" i="4" s="1"/>
  <c r="I352" i="4" l="1"/>
  <c r="K352" i="4" s="1"/>
  <c r="H232" i="3"/>
  <c r="M232" i="4"/>
  <c r="H352" i="4" l="1"/>
  <c r="L232" i="3"/>
  <c r="J232" i="3"/>
  <c r="D233" i="3" s="1"/>
  <c r="J352" i="4" l="1"/>
  <c r="D353" i="4" s="1"/>
  <c r="L352" i="4"/>
  <c r="F233" i="3"/>
  <c r="I233" i="3"/>
  <c r="I353" i="4" l="1"/>
  <c r="K353" i="4" s="1"/>
  <c r="F353" i="4"/>
  <c r="G353" i="4" s="1"/>
  <c r="N233" i="4"/>
  <c r="K233" i="3"/>
  <c r="O233" i="4" s="1"/>
  <c r="G233" i="3"/>
  <c r="H353" i="4" l="1"/>
  <c r="J353" i="4"/>
  <c r="D354" i="4" s="1"/>
  <c r="L353" i="4"/>
  <c r="M233" i="4"/>
  <c r="H233" i="3"/>
  <c r="I354" i="4" l="1"/>
  <c r="K354" i="4" s="1"/>
  <c r="F354" i="4"/>
  <c r="G354" i="4" s="1"/>
  <c r="H354" i="4" s="1"/>
  <c r="L233" i="3"/>
  <c r="J233" i="3"/>
  <c r="D234" i="3" s="1"/>
  <c r="J354" i="4" l="1"/>
  <c r="D355" i="4" s="1"/>
  <c r="L354" i="4"/>
  <c r="F234" i="3"/>
  <c r="I234" i="3"/>
  <c r="I355" i="4" l="1"/>
  <c r="K355" i="4" s="1"/>
  <c r="F355" i="4"/>
  <c r="N234" i="4"/>
  <c r="K234" i="3"/>
  <c r="O234" i="4" s="1"/>
  <c r="G234" i="3"/>
  <c r="G355" i="4" l="1"/>
  <c r="H355" i="4" s="1"/>
  <c r="L355" i="4" s="1"/>
  <c r="H234" i="3"/>
  <c r="M234" i="4"/>
  <c r="J355" i="4" l="1"/>
  <c r="D356" i="4" s="1"/>
  <c r="F356" i="4" s="1"/>
  <c r="L234" i="3"/>
  <c r="J234" i="3"/>
  <c r="D235" i="3" s="1"/>
  <c r="I356" i="4" l="1"/>
  <c r="K356" i="4" s="1"/>
  <c r="G356" i="4"/>
  <c r="I235" i="3"/>
  <c r="F235" i="3"/>
  <c r="H356" i="4" l="1"/>
  <c r="L356" i="4" s="1"/>
  <c r="J356" i="4"/>
  <c r="D357" i="4" s="1"/>
  <c r="F357" i="4" s="1"/>
  <c r="G235" i="3"/>
  <c r="N235" i="4"/>
  <c r="K235" i="3"/>
  <c r="O235" i="4" s="1"/>
  <c r="I357" i="4" l="1"/>
  <c r="K357" i="4" s="1"/>
  <c r="G357" i="4"/>
  <c r="H357" i="4" s="1"/>
  <c r="L357" i="4" s="1"/>
  <c r="H235" i="3"/>
  <c r="M235" i="4"/>
  <c r="J357" i="4" l="1"/>
  <c r="D358" i="4" s="1"/>
  <c r="F358" i="4" s="1"/>
  <c r="G358" i="4" s="1"/>
  <c r="L235" i="3"/>
  <c r="J235" i="3"/>
  <c r="D236" i="3" s="1"/>
  <c r="I358" i="4" l="1"/>
  <c r="K358" i="4" s="1"/>
  <c r="H358" i="4"/>
  <c r="F236" i="3"/>
  <c r="I236" i="3"/>
  <c r="L358" i="4" l="1"/>
  <c r="J358" i="4"/>
  <c r="D359" i="4" s="1"/>
  <c r="N236" i="4"/>
  <c r="K236" i="3"/>
  <c r="O236" i="4" s="1"/>
  <c r="G236" i="3"/>
  <c r="I359" i="4" l="1"/>
  <c r="K359" i="4" s="1"/>
  <c r="F359" i="4"/>
  <c r="G359" i="4" s="1"/>
  <c r="H359" i="4" s="1"/>
  <c r="L359" i="4" s="1"/>
  <c r="M236" i="4"/>
  <c r="H236" i="3"/>
  <c r="J359" i="4" l="1"/>
  <c r="D360" i="4" s="1"/>
  <c r="F360" i="4" s="1"/>
  <c r="G360" i="4" s="1"/>
  <c r="L236" i="3"/>
  <c r="J236" i="3"/>
  <c r="D237" i="3" s="1"/>
  <c r="I360" i="4" l="1"/>
  <c r="K360" i="4" s="1"/>
  <c r="I237" i="3"/>
  <c r="F237" i="3"/>
  <c r="H360" i="4" l="1"/>
  <c r="G237" i="3"/>
  <c r="N237" i="4"/>
  <c r="K237" i="3"/>
  <c r="O237" i="4" s="1"/>
  <c r="J360" i="4" l="1"/>
  <c r="D361" i="4" s="1"/>
  <c r="L360" i="4"/>
  <c r="H237" i="3"/>
  <c r="M237" i="4"/>
  <c r="F361" i="4" l="1"/>
  <c r="G361" i="4" s="1"/>
  <c r="I361" i="4"/>
  <c r="K361" i="4" s="1"/>
  <c r="L237" i="3"/>
  <c r="J237" i="3"/>
  <c r="D238" i="3" s="1"/>
  <c r="H361" i="4" l="1"/>
  <c r="F238" i="3"/>
  <c r="I238" i="3"/>
  <c r="L361" i="4" l="1"/>
  <c r="K33" i="2" s="1" a="1"/>
  <c r="K33" i="2" s="1"/>
  <c r="J361" i="4"/>
  <c r="D362" i="4" s="1"/>
  <c r="N238" i="4"/>
  <c r="K238" i="3"/>
  <c r="O238" i="4" s="1"/>
  <c r="G238" i="3"/>
  <c r="I362" i="4" l="1"/>
  <c r="K362" i="4" s="1"/>
  <c r="F362" i="4"/>
  <c r="M238" i="4"/>
  <c r="H238" i="3"/>
  <c r="G362" i="4" l="1"/>
  <c r="H362" i="4" s="1"/>
  <c r="L362" i="4" s="1"/>
  <c r="L238" i="3"/>
  <c r="J238" i="3"/>
  <c r="D239" i="3" s="1"/>
  <c r="J362" i="4" l="1"/>
  <c r="D363" i="4" s="1"/>
  <c r="I363" i="4" s="1"/>
  <c r="K363" i="4" s="1"/>
  <c r="I239" i="3"/>
  <c r="F239" i="3"/>
  <c r="F363" i="4" l="1"/>
  <c r="G363" i="4"/>
  <c r="H363" i="4" s="1"/>
  <c r="L363" i="4" s="1"/>
  <c r="G239" i="3"/>
  <c r="N239" i="4"/>
  <c r="K239" i="3"/>
  <c r="O239" i="4" s="1"/>
  <c r="J363" i="4" l="1"/>
  <c r="D364" i="4" s="1"/>
  <c r="F364" i="4" s="1"/>
  <c r="H239" i="3"/>
  <c r="M239" i="4"/>
  <c r="I364" i="4" l="1"/>
  <c r="K364" i="4" s="1"/>
  <c r="G364" i="4"/>
  <c r="H364" i="4" s="1"/>
  <c r="L364" i="4" s="1"/>
  <c r="L239" i="3"/>
  <c r="J239" i="3"/>
  <c r="D240" i="3" s="1"/>
  <c r="J364" i="4" l="1"/>
  <c r="D365" i="4" s="1"/>
  <c r="I365" i="4" s="1"/>
  <c r="K365" i="4" s="1"/>
  <c r="I240" i="3"/>
  <c r="F240" i="3"/>
  <c r="F365" i="4" l="1"/>
  <c r="G365" i="4" s="1"/>
  <c r="H365" i="4" s="1"/>
  <c r="G240" i="3"/>
  <c r="N240" i="4"/>
  <c r="K240" i="3"/>
  <c r="O240" i="4" s="1"/>
  <c r="L365" i="4" l="1"/>
  <c r="J365" i="4"/>
  <c r="D366" i="4" s="1"/>
  <c r="I366" i="4" s="1"/>
  <c r="K366" i="4" s="1"/>
  <c r="M240" i="4"/>
  <c r="H240" i="3"/>
  <c r="F366" i="4" l="1"/>
  <c r="G366" i="4" s="1"/>
  <c r="H366" i="4" s="1"/>
  <c r="L366" i="4" s="1"/>
  <c r="L240" i="3"/>
  <c r="J240" i="3"/>
  <c r="D241" i="3" s="1"/>
  <c r="J366" i="4" l="1"/>
  <c r="D367" i="4" s="1"/>
  <c r="I367" i="4" s="1"/>
  <c r="K367" i="4" s="1"/>
  <c r="I241" i="3"/>
  <c r="F241" i="3"/>
  <c r="F367" i="4" l="1"/>
  <c r="G367" i="4" s="1"/>
  <c r="H367" i="4" s="1"/>
  <c r="L367" i="4" s="1"/>
  <c r="G241" i="3"/>
  <c r="N241" i="4"/>
  <c r="K241" i="3"/>
  <c r="O241" i="4" s="1"/>
  <c r="J367" i="4" l="1"/>
  <c r="D368" i="4" s="1"/>
  <c r="I368" i="4" s="1"/>
  <c r="K368" i="4" s="1"/>
  <c r="H241" i="3"/>
  <c r="M241" i="4"/>
  <c r="F368" i="4" l="1"/>
  <c r="G368" i="4" s="1"/>
  <c r="H368" i="4" s="1"/>
  <c r="L241" i="3"/>
  <c r="J23" i="2" s="1" a="1"/>
  <c r="J23" i="2" s="1"/>
  <c r="L23" i="2" s="1"/>
  <c r="J241" i="3"/>
  <c r="J368" i="4" l="1"/>
  <c r="D369" i="4" s="1"/>
  <c r="L368" i="4"/>
  <c r="N23" i="2"/>
  <c r="P23" i="2" s="1"/>
  <c r="M23" i="2"/>
  <c r="D242" i="3"/>
  <c r="E23" i="2"/>
  <c r="F23" i="2" s="1"/>
  <c r="I369" i="4" l="1"/>
  <c r="K369" i="4" s="1"/>
  <c r="F369" i="4"/>
  <c r="G369" i="4" s="1"/>
  <c r="H369" i="4" s="1"/>
  <c r="I242" i="3"/>
  <c r="F242" i="3"/>
  <c r="J369" i="4" l="1"/>
  <c r="D370" i="4" s="1"/>
  <c r="L369" i="4"/>
  <c r="G242" i="3"/>
  <c r="N242" i="4"/>
  <c r="K242" i="3"/>
  <c r="O242" i="4" s="1"/>
  <c r="F370" i="4" l="1"/>
  <c r="I370" i="4"/>
  <c r="K370" i="4" s="1"/>
  <c r="H242" i="3"/>
  <c r="M242" i="4"/>
  <c r="G370" i="4" l="1"/>
  <c r="H370" i="4" s="1"/>
  <c r="L370" i="4" s="1"/>
  <c r="L242" i="3"/>
  <c r="J242" i="3"/>
  <c r="D243" i="3" s="1"/>
  <c r="J370" i="4" l="1"/>
  <c r="D371" i="4" s="1"/>
  <c r="I371" i="4" s="1"/>
  <c r="K371" i="4" s="1"/>
  <c r="I243" i="3"/>
  <c r="F243" i="3"/>
  <c r="F371" i="4" l="1"/>
  <c r="G371" i="4"/>
  <c r="H371" i="4" s="1"/>
  <c r="L371" i="4" s="1"/>
  <c r="G243" i="3"/>
  <c r="N243" i="4"/>
  <c r="K243" i="3"/>
  <c r="O243" i="4" s="1"/>
  <c r="J371" i="4" l="1"/>
  <c r="D372" i="4" s="1"/>
  <c r="M243" i="4"/>
  <c r="H243" i="3"/>
  <c r="I372" i="4" l="1"/>
  <c r="F372" i="4"/>
  <c r="L243" i="3"/>
  <c r="J243" i="3"/>
  <c r="D244" i="3" s="1"/>
  <c r="G372" i="4" l="1"/>
  <c r="H372" i="4" s="1"/>
  <c r="L372" i="4" s="1"/>
  <c r="K372" i="4"/>
  <c r="I244" i="3"/>
  <c r="F244" i="3"/>
  <c r="J372" i="4" l="1"/>
  <c r="D373" i="4" s="1"/>
  <c r="F373" i="4" s="1"/>
  <c r="G244" i="3"/>
  <c r="N244" i="4"/>
  <c r="K244" i="3"/>
  <c r="O244" i="4" s="1"/>
  <c r="I373" i="4" l="1"/>
  <c r="K373" i="4"/>
  <c r="I9" i="4"/>
  <c r="J373" i="4"/>
  <c r="G373" i="4"/>
  <c r="H373" i="4" s="1"/>
  <c r="L373" i="4" s="1"/>
  <c r="K34" i="2" s="1" a="1"/>
  <c r="K34" i="2" s="1"/>
  <c r="I8" i="4"/>
  <c r="M244" i="4"/>
  <c r="H244" i="3"/>
  <c r="K39" i="2" l="1"/>
  <c r="K36" i="2"/>
  <c r="K37" i="2"/>
  <c r="K38" i="2"/>
  <c r="K35" i="2"/>
  <c r="L244" i="3"/>
  <c r="J244" i="3"/>
  <c r="D245" i="3" s="1"/>
  <c r="F245" i="3" l="1"/>
  <c r="I245" i="3"/>
  <c r="N245" i="4" l="1"/>
  <c r="K245" i="3"/>
  <c r="O245" i="4" s="1"/>
  <c r="G245" i="3"/>
  <c r="H245" i="3" l="1"/>
  <c r="M245" i="4"/>
  <c r="L245" i="3" l="1"/>
  <c r="J245" i="3"/>
  <c r="D246" i="3" s="1"/>
  <c r="I246" i="3" l="1"/>
  <c r="F246" i="3"/>
  <c r="G246" i="3" l="1"/>
  <c r="N246" i="4"/>
  <c r="K246" i="3"/>
  <c r="O246" i="4" s="1"/>
  <c r="M246" i="4" l="1"/>
  <c r="H246" i="3"/>
  <c r="L246" i="3" l="1"/>
  <c r="J246" i="3"/>
  <c r="D247" i="3" s="1"/>
  <c r="I247" i="3" l="1"/>
  <c r="F247" i="3"/>
  <c r="G247" i="3" l="1"/>
  <c r="N247" i="4"/>
  <c r="K247" i="3"/>
  <c r="O247" i="4" s="1"/>
  <c r="M247" i="4" l="1"/>
  <c r="H247" i="3"/>
  <c r="L247" i="3" l="1"/>
  <c r="J247" i="3"/>
  <c r="D248" i="3" s="1"/>
  <c r="I248" i="3" l="1"/>
  <c r="F248" i="3"/>
  <c r="G248" i="3" l="1"/>
  <c r="N248" i="4"/>
  <c r="K248" i="3"/>
  <c r="O248" i="4" s="1"/>
  <c r="H248" i="3" l="1"/>
  <c r="M248" i="4"/>
  <c r="L248" i="3" l="1"/>
  <c r="J248" i="3"/>
  <c r="D249" i="3" s="1"/>
  <c r="F249" i="3" l="1"/>
  <c r="I249" i="3"/>
  <c r="N249" i="4" l="1"/>
  <c r="K249" i="3"/>
  <c r="O249" i="4" s="1"/>
  <c r="G249" i="3"/>
  <c r="H249" i="3" l="1"/>
  <c r="M249" i="4"/>
  <c r="L249" i="3" l="1"/>
  <c r="J249" i="3"/>
  <c r="D250" i="3" s="1"/>
  <c r="F250" i="3" l="1"/>
  <c r="I250" i="3"/>
  <c r="N250" i="4" l="1"/>
  <c r="K250" i="3"/>
  <c r="O250" i="4" s="1"/>
  <c r="G250" i="3"/>
  <c r="M250" i="4" l="1"/>
  <c r="H250" i="3"/>
  <c r="L250" i="3" l="1"/>
  <c r="J250" i="3"/>
  <c r="D251" i="3" s="1"/>
  <c r="I251" i="3" l="1"/>
  <c r="F251" i="3"/>
  <c r="G251" i="3" l="1"/>
  <c r="N251" i="4"/>
  <c r="K251" i="3"/>
  <c r="O251" i="4" s="1"/>
  <c r="M251" i="4" l="1"/>
  <c r="H251" i="3"/>
  <c r="L251" i="3" l="1"/>
  <c r="J251" i="3"/>
  <c r="D252" i="3" s="1"/>
  <c r="I252" i="3" l="1"/>
  <c r="F252" i="3"/>
  <c r="G252" i="3" l="1"/>
  <c r="N252" i="4"/>
  <c r="K252" i="3"/>
  <c r="O252" i="4" s="1"/>
  <c r="M252" i="4" l="1"/>
  <c r="H252" i="3"/>
  <c r="L252" i="3" l="1"/>
  <c r="J252" i="3"/>
  <c r="D253" i="3" s="1"/>
  <c r="I253" i="3" l="1"/>
  <c r="F253" i="3"/>
  <c r="G253" i="3" l="1"/>
  <c r="N253" i="4"/>
  <c r="K253" i="3"/>
  <c r="O253" i="4" s="1"/>
  <c r="M253" i="4" l="1"/>
  <c r="H253" i="3"/>
  <c r="L253" i="3" l="1"/>
  <c r="J24" i="2" s="1" a="1"/>
  <c r="J24" i="2" s="1"/>
  <c r="L24" i="2" s="1"/>
  <c r="J253" i="3"/>
  <c r="N24" i="2" l="1"/>
  <c r="P24" i="2" s="1"/>
  <c r="M24" i="2"/>
  <c r="D254" i="3"/>
  <c r="E24" i="2"/>
  <c r="F24" i="2" s="1"/>
  <c r="F254" i="3" l="1"/>
  <c r="I254" i="3"/>
  <c r="N254" i="4" l="1"/>
  <c r="K254" i="3"/>
  <c r="O254" i="4" s="1"/>
  <c r="G254" i="3"/>
  <c r="M254" i="4" l="1"/>
  <c r="H254" i="3"/>
  <c r="L254" i="3" l="1"/>
  <c r="J254" i="3"/>
  <c r="D255" i="3" s="1"/>
  <c r="F255" i="3" l="1"/>
  <c r="I255" i="3"/>
  <c r="N255" i="4" l="1"/>
  <c r="K255" i="3"/>
  <c r="O255" i="4" s="1"/>
  <c r="G255" i="3"/>
  <c r="M255" i="4" l="1"/>
  <c r="H255" i="3"/>
  <c r="L255" i="3" l="1"/>
  <c r="J255" i="3"/>
  <c r="D256" i="3" s="1"/>
  <c r="F256" i="3" l="1"/>
  <c r="I256" i="3"/>
  <c r="N256" i="4" l="1"/>
  <c r="K256" i="3"/>
  <c r="O256" i="4" s="1"/>
  <c r="G256" i="3"/>
  <c r="M256" i="4" l="1"/>
  <c r="H256" i="3"/>
  <c r="L256" i="3" l="1"/>
  <c r="J256" i="3"/>
  <c r="D257" i="3" s="1"/>
  <c r="I257" i="3" l="1"/>
  <c r="F257" i="3"/>
  <c r="G257" i="3" l="1"/>
  <c r="N257" i="4"/>
  <c r="K257" i="3"/>
  <c r="O257" i="4" s="1"/>
  <c r="M257" i="4" l="1"/>
  <c r="H257" i="3"/>
  <c r="L257" i="3" l="1"/>
  <c r="J257" i="3"/>
  <c r="D258" i="3" s="1"/>
  <c r="I258" i="3" l="1"/>
  <c r="F258" i="3"/>
  <c r="G258" i="3" l="1"/>
  <c r="N258" i="4"/>
  <c r="K258" i="3"/>
  <c r="O258" i="4" s="1"/>
  <c r="H258" i="3" l="1"/>
  <c r="M258" i="4"/>
  <c r="L258" i="3" l="1"/>
  <c r="J258" i="3"/>
  <c r="D259" i="3" s="1"/>
  <c r="F259" i="3" l="1"/>
  <c r="I259" i="3"/>
  <c r="N259" i="4" l="1"/>
  <c r="K259" i="3"/>
  <c r="O259" i="4" s="1"/>
  <c r="G259" i="3"/>
  <c r="M259" i="4" l="1"/>
  <c r="H259" i="3"/>
  <c r="L259" i="3" l="1"/>
  <c r="J259" i="3"/>
  <c r="D260" i="3" s="1"/>
  <c r="F260" i="3" l="1"/>
  <c r="I260" i="3"/>
  <c r="N260" i="4" l="1"/>
  <c r="K260" i="3"/>
  <c r="O260" i="4" s="1"/>
  <c r="G260" i="3"/>
  <c r="M260" i="4" l="1"/>
  <c r="H260" i="3"/>
  <c r="L260" i="3" l="1"/>
  <c r="J260" i="3"/>
  <c r="D261" i="3" s="1"/>
  <c r="I261" i="3" l="1"/>
  <c r="F261" i="3"/>
  <c r="G261" i="3" l="1"/>
  <c r="N261" i="4"/>
  <c r="K261" i="3"/>
  <c r="O261" i="4" s="1"/>
  <c r="H261" i="3" l="1"/>
  <c r="M261" i="4"/>
  <c r="L261" i="3" l="1"/>
  <c r="J261" i="3"/>
  <c r="D262" i="3" s="1"/>
  <c r="I262" i="3" l="1"/>
  <c r="F262" i="3"/>
  <c r="G262" i="3" l="1"/>
  <c r="N262" i="4"/>
  <c r="K262" i="3"/>
  <c r="O262" i="4" s="1"/>
  <c r="M262" i="4" l="1"/>
  <c r="H262" i="3"/>
  <c r="L262" i="3" l="1"/>
  <c r="J262" i="3"/>
  <c r="D263" i="3" s="1"/>
  <c r="I263" i="3" l="1"/>
  <c r="F263" i="3"/>
  <c r="G263" i="3" l="1"/>
  <c r="N263" i="4"/>
  <c r="K263" i="3"/>
  <c r="O263" i="4" s="1"/>
  <c r="H263" i="3" l="1"/>
  <c r="M263" i="4"/>
  <c r="L263" i="3" l="1"/>
  <c r="J263" i="3"/>
  <c r="D264" i="3" s="1"/>
  <c r="F264" i="3" l="1"/>
  <c r="I264" i="3"/>
  <c r="N264" i="4" l="1"/>
  <c r="K264" i="3"/>
  <c r="O264" i="4" s="1"/>
  <c r="G264" i="3"/>
  <c r="H264" i="3" l="1"/>
  <c r="M264" i="4"/>
  <c r="L264" i="3" l="1"/>
  <c r="J264" i="3"/>
  <c r="D265" i="3" s="1"/>
  <c r="I265" i="3" l="1"/>
  <c r="F265" i="3"/>
  <c r="G265" i="3" l="1"/>
  <c r="N265" i="4"/>
  <c r="K265" i="3"/>
  <c r="O265" i="4" s="1"/>
  <c r="M265" i="4" l="1"/>
  <c r="H265" i="3"/>
  <c r="L265" i="3" l="1"/>
  <c r="J25" i="2" s="1" a="1"/>
  <c r="J25" i="2" s="1"/>
  <c r="L25" i="2" s="1"/>
  <c r="J265" i="3"/>
  <c r="N25" i="2" l="1"/>
  <c r="P25" i="2" s="1"/>
  <c r="M25" i="2"/>
  <c r="E25" i="2"/>
  <c r="F25" i="2" s="1"/>
  <c r="D266" i="3"/>
  <c r="I266" i="3" l="1"/>
  <c r="F266" i="3"/>
  <c r="G266" i="3" l="1"/>
  <c r="N266" i="4"/>
  <c r="K266" i="3"/>
  <c r="O266" i="4" s="1"/>
  <c r="M266" i="4" l="1"/>
  <c r="H266" i="3"/>
  <c r="L266" i="3" l="1"/>
  <c r="J266" i="3"/>
  <c r="D267" i="3" s="1"/>
  <c r="I267" i="3" l="1"/>
  <c r="F267" i="3"/>
  <c r="G267" i="3" l="1"/>
  <c r="N267" i="4"/>
  <c r="K267" i="3"/>
  <c r="O267" i="4" s="1"/>
  <c r="M267" i="4" l="1"/>
  <c r="H267" i="3"/>
  <c r="L267" i="3" l="1"/>
  <c r="J267" i="3"/>
  <c r="D268" i="3" s="1"/>
  <c r="F268" i="3" l="1"/>
  <c r="I268" i="3"/>
  <c r="N268" i="4" l="1"/>
  <c r="K268" i="3"/>
  <c r="O268" i="4" s="1"/>
  <c r="G268" i="3"/>
  <c r="H268" i="3" l="1"/>
  <c r="M268" i="4"/>
  <c r="L268" i="3" l="1"/>
  <c r="J268" i="3"/>
  <c r="D269" i="3" s="1"/>
  <c r="I269" i="3" l="1"/>
  <c r="F269" i="3"/>
  <c r="G269" i="3" l="1"/>
  <c r="N269" i="4"/>
  <c r="K269" i="3"/>
  <c r="O269" i="4" s="1"/>
  <c r="M269" i="4" l="1"/>
  <c r="H269" i="3"/>
  <c r="L269" i="3" l="1"/>
  <c r="J269" i="3"/>
  <c r="D270" i="3" s="1"/>
  <c r="F270" i="3" l="1"/>
  <c r="I270" i="3"/>
  <c r="N270" i="4" l="1"/>
  <c r="K270" i="3"/>
  <c r="O270" i="4" s="1"/>
  <c r="G270" i="3"/>
  <c r="H270" i="3" l="1"/>
  <c r="M270" i="4"/>
  <c r="L270" i="3" l="1"/>
  <c r="J270" i="3"/>
  <c r="D271" i="3" s="1"/>
  <c r="I271" i="3" l="1"/>
  <c r="F271" i="3"/>
  <c r="G271" i="3" l="1"/>
  <c r="N271" i="4"/>
  <c r="K271" i="3"/>
  <c r="O271" i="4" s="1"/>
  <c r="M271" i="4" l="1"/>
  <c r="H271" i="3"/>
  <c r="L271" i="3" l="1"/>
  <c r="J271" i="3"/>
  <c r="D272" i="3" s="1"/>
  <c r="I272" i="3" l="1"/>
  <c r="F272" i="3"/>
  <c r="G272" i="3" l="1"/>
  <c r="N272" i="4"/>
  <c r="K272" i="3"/>
  <c r="O272" i="4" s="1"/>
  <c r="M272" i="4" l="1"/>
  <c r="H272" i="3"/>
  <c r="L272" i="3" l="1"/>
  <c r="J272" i="3"/>
  <c r="D273" i="3" s="1"/>
  <c r="I273" i="3" l="1"/>
  <c r="F273" i="3"/>
  <c r="G273" i="3" l="1"/>
  <c r="N273" i="4"/>
  <c r="K273" i="3"/>
  <c r="O273" i="4" s="1"/>
  <c r="H273" i="3" l="1"/>
  <c r="M273" i="4"/>
  <c r="L273" i="3" l="1"/>
  <c r="J273" i="3"/>
  <c r="D274" i="3" s="1"/>
  <c r="F274" i="3" l="1"/>
  <c r="I274" i="3"/>
  <c r="N274" i="4" l="1"/>
  <c r="K274" i="3"/>
  <c r="O274" i="4" s="1"/>
  <c r="G274" i="3"/>
  <c r="M274" i="4" l="1"/>
  <c r="H274" i="3"/>
  <c r="L274" i="3" l="1"/>
  <c r="J274" i="3"/>
  <c r="D275" i="3" s="1"/>
  <c r="F275" i="3" l="1"/>
  <c r="I275" i="3"/>
  <c r="N275" i="4" l="1"/>
  <c r="K275" i="3"/>
  <c r="O275" i="4" s="1"/>
  <c r="G275" i="3"/>
  <c r="M275" i="4" l="1"/>
  <c r="H275" i="3"/>
  <c r="L275" i="3" l="1"/>
  <c r="J275" i="3"/>
  <c r="D276" i="3" s="1"/>
  <c r="F276" i="3" l="1"/>
  <c r="I276" i="3"/>
  <c r="N276" i="4" l="1"/>
  <c r="K276" i="3"/>
  <c r="O276" i="4" s="1"/>
  <c r="G276" i="3"/>
  <c r="H276" i="3" l="1"/>
  <c r="M276" i="4"/>
  <c r="L276" i="3" l="1"/>
  <c r="J276" i="3"/>
  <c r="D277" i="3" s="1"/>
  <c r="I277" i="3" l="1"/>
  <c r="F277" i="3"/>
  <c r="G277" i="3" l="1"/>
  <c r="N277" i="4"/>
  <c r="K277" i="3"/>
  <c r="O277" i="4" s="1"/>
  <c r="H277" i="3" l="1"/>
  <c r="M277" i="4"/>
  <c r="L277" i="3" l="1"/>
  <c r="J26" i="2" s="1" a="1"/>
  <c r="J26" i="2" s="1"/>
  <c r="L26" i="2" s="1"/>
  <c r="J277" i="3"/>
  <c r="N26" i="2" l="1"/>
  <c r="P26" i="2" s="1"/>
  <c r="M26" i="2"/>
  <c r="D278" i="3"/>
  <c r="E26" i="2"/>
  <c r="F26" i="2" s="1"/>
  <c r="F278" i="3" l="1"/>
  <c r="I278" i="3"/>
  <c r="N278" i="4" l="1"/>
  <c r="K278" i="3"/>
  <c r="O278" i="4" s="1"/>
  <c r="G278" i="3"/>
  <c r="M278" i="4" l="1"/>
  <c r="H278" i="3"/>
  <c r="L278" i="3" l="1"/>
  <c r="J278" i="3"/>
  <c r="D279" i="3" s="1"/>
  <c r="F279" i="3" l="1"/>
  <c r="I279" i="3"/>
  <c r="N279" i="4" l="1"/>
  <c r="K279" i="3"/>
  <c r="O279" i="4" s="1"/>
  <c r="G279" i="3"/>
  <c r="H279" i="3" l="1"/>
  <c r="M279" i="4"/>
  <c r="L279" i="3" l="1"/>
  <c r="J279" i="3"/>
  <c r="D280" i="3" s="1"/>
  <c r="F280" i="3" l="1"/>
  <c r="I280" i="3"/>
  <c r="N280" i="4" l="1"/>
  <c r="K280" i="3"/>
  <c r="O280" i="4" s="1"/>
  <c r="G280" i="3"/>
  <c r="H280" i="3" l="1"/>
  <c r="M280" i="4"/>
  <c r="L280" i="3" l="1"/>
  <c r="J280" i="3"/>
  <c r="D281" i="3" s="1"/>
  <c r="I281" i="3" l="1"/>
  <c r="F281" i="3"/>
  <c r="G281" i="3" l="1"/>
  <c r="N281" i="4"/>
  <c r="K281" i="3"/>
  <c r="O281" i="4" s="1"/>
  <c r="H281" i="3" l="1"/>
  <c r="M281" i="4"/>
  <c r="L281" i="3" l="1"/>
  <c r="J281" i="3"/>
  <c r="D282" i="3" s="1"/>
  <c r="I282" i="3" l="1"/>
  <c r="F282" i="3"/>
  <c r="G282" i="3" l="1"/>
  <c r="N282" i="4"/>
  <c r="K282" i="3"/>
  <c r="O282" i="4" s="1"/>
  <c r="M282" i="4" l="1"/>
  <c r="H282" i="3"/>
  <c r="L282" i="3" l="1"/>
  <c r="J282" i="3"/>
  <c r="D283" i="3" s="1"/>
  <c r="F283" i="3" l="1"/>
  <c r="I283" i="3"/>
  <c r="N283" i="4" l="1"/>
  <c r="K283" i="3"/>
  <c r="O283" i="4" s="1"/>
  <c r="G283" i="3"/>
  <c r="H283" i="3" l="1"/>
  <c r="M283" i="4"/>
  <c r="L283" i="3" l="1"/>
  <c r="J283" i="3"/>
  <c r="D284" i="3" s="1"/>
  <c r="F284" i="3" l="1"/>
  <c r="I284" i="3"/>
  <c r="N284" i="4" l="1"/>
  <c r="K284" i="3"/>
  <c r="O284" i="4" s="1"/>
  <c r="G284" i="3"/>
  <c r="H284" i="3" l="1"/>
  <c r="M284" i="4"/>
  <c r="L284" i="3" l="1"/>
  <c r="J284" i="3"/>
  <c r="D285" i="3" s="1"/>
  <c r="F285" i="3" l="1"/>
  <c r="I285" i="3"/>
  <c r="N285" i="4" l="1"/>
  <c r="K285" i="3"/>
  <c r="O285" i="4" s="1"/>
  <c r="G285" i="3"/>
  <c r="M285" i="4" l="1"/>
  <c r="H285" i="3"/>
  <c r="L285" i="3" l="1"/>
  <c r="J285" i="3"/>
  <c r="D286" i="3" s="1"/>
  <c r="I286" i="3" l="1"/>
  <c r="F286" i="3"/>
  <c r="G286" i="3" l="1"/>
  <c r="N286" i="4"/>
  <c r="K286" i="3"/>
  <c r="O286" i="4" s="1"/>
  <c r="M286" i="4" l="1"/>
  <c r="H286" i="3"/>
  <c r="L286" i="3" l="1"/>
  <c r="J286" i="3"/>
  <c r="D287" i="3" s="1"/>
  <c r="F287" i="3" l="1"/>
  <c r="I287" i="3"/>
  <c r="N287" i="4" l="1"/>
  <c r="K287" i="3"/>
  <c r="O287" i="4" s="1"/>
  <c r="G287" i="3"/>
  <c r="M287" i="4" l="1"/>
  <c r="H287" i="3"/>
  <c r="L287" i="3" l="1"/>
  <c r="J287" i="3"/>
  <c r="D288" i="3" s="1"/>
  <c r="I288" i="3" l="1"/>
  <c r="F288" i="3"/>
  <c r="G288" i="3" l="1"/>
  <c r="N288" i="4"/>
  <c r="K288" i="3"/>
  <c r="O288" i="4" s="1"/>
  <c r="M288" i="4" l="1"/>
  <c r="H288" i="3"/>
  <c r="L288" i="3" l="1"/>
  <c r="J288" i="3"/>
  <c r="D289" i="3" s="1"/>
  <c r="F289" i="3" l="1"/>
  <c r="I289" i="3"/>
  <c r="N289" i="4" l="1"/>
  <c r="K289" i="3"/>
  <c r="O289" i="4" s="1"/>
  <c r="G289" i="3"/>
  <c r="H289" i="3" l="1"/>
  <c r="M289" i="4"/>
  <c r="L289" i="3" l="1"/>
  <c r="J27" i="2" s="1" a="1"/>
  <c r="J27" i="2" s="1"/>
  <c r="L27" i="2" s="1"/>
  <c r="J289" i="3"/>
  <c r="N27" i="2" l="1"/>
  <c r="P27" i="2" s="1"/>
  <c r="M27" i="2"/>
  <c r="D290" i="3"/>
  <c r="E27" i="2"/>
  <c r="F27" i="2" s="1"/>
  <c r="F290" i="3" l="1"/>
  <c r="I290" i="3"/>
  <c r="N290" i="4" l="1"/>
  <c r="K290" i="3"/>
  <c r="O290" i="4" s="1"/>
  <c r="G290" i="3"/>
  <c r="M290" i="4" l="1"/>
  <c r="H290" i="3"/>
  <c r="L290" i="3" l="1"/>
  <c r="J290" i="3"/>
  <c r="D291" i="3" s="1"/>
  <c r="F291" i="3" l="1"/>
  <c r="I291" i="3"/>
  <c r="N291" i="4" l="1"/>
  <c r="K291" i="3"/>
  <c r="O291" i="4" s="1"/>
  <c r="G291" i="3"/>
  <c r="M291" i="4" l="1"/>
  <c r="H291" i="3"/>
  <c r="L291" i="3" l="1"/>
  <c r="J291" i="3"/>
  <c r="D292" i="3" s="1"/>
  <c r="F292" i="3" l="1"/>
  <c r="I292" i="3"/>
  <c r="N292" i="4" l="1"/>
  <c r="K292" i="3"/>
  <c r="O292" i="4" s="1"/>
  <c r="G292" i="3"/>
  <c r="M292" i="4" l="1"/>
  <c r="H292" i="3"/>
  <c r="L292" i="3" l="1"/>
  <c r="J292" i="3"/>
  <c r="D293" i="3" s="1"/>
  <c r="F293" i="3" l="1"/>
  <c r="I293" i="3"/>
  <c r="N293" i="4" l="1"/>
  <c r="K293" i="3"/>
  <c r="O293" i="4" s="1"/>
  <c r="G293" i="3"/>
  <c r="M293" i="4" l="1"/>
  <c r="H293" i="3"/>
  <c r="L293" i="3" l="1"/>
  <c r="J293" i="3"/>
  <c r="D294" i="3" s="1"/>
  <c r="I294" i="3" l="1"/>
  <c r="F294" i="3"/>
  <c r="G294" i="3" l="1"/>
  <c r="N294" i="4"/>
  <c r="K294" i="3"/>
  <c r="O294" i="4" s="1"/>
  <c r="M294" i="4" l="1"/>
  <c r="H294" i="3"/>
  <c r="L294" i="3" l="1"/>
  <c r="J294" i="3"/>
  <c r="D295" i="3" s="1"/>
  <c r="I295" i="3" l="1"/>
  <c r="F295" i="3"/>
  <c r="G295" i="3" l="1"/>
  <c r="N295" i="4"/>
  <c r="K295" i="3"/>
  <c r="O295" i="4" s="1"/>
  <c r="M295" i="4" l="1"/>
  <c r="H295" i="3"/>
  <c r="L295" i="3" l="1"/>
  <c r="J295" i="3"/>
  <c r="D296" i="3" s="1"/>
  <c r="I296" i="3" l="1"/>
  <c r="F296" i="3"/>
  <c r="G296" i="3" l="1"/>
  <c r="N296" i="4"/>
  <c r="K296" i="3"/>
  <c r="O296" i="4" s="1"/>
  <c r="H296" i="3" l="1"/>
  <c r="M296" i="4"/>
  <c r="L296" i="3" l="1"/>
  <c r="J296" i="3"/>
  <c r="D297" i="3" s="1"/>
  <c r="I297" i="3" l="1"/>
  <c r="F297" i="3"/>
  <c r="G297" i="3" l="1"/>
  <c r="N297" i="4"/>
  <c r="K297" i="3"/>
  <c r="O297" i="4" s="1"/>
  <c r="M297" i="4" l="1"/>
  <c r="H297" i="3"/>
  <c r="L297" i="3" l="1"/>
  <c r="J297" i="3"/>
  <c r="D298" i="3" s="1"/>
  <c r="I298" i="3" l="1"/>
  <c r="F298" i="3"/>
  <c r="G298" i="3" l="1"/>
  <c r="N298" i="4"/>
  <c r="K298" i="3"/>
  <c r="O298" i="4" s="1"/>
  <c r="M298" i="4" l="1"/>
  <c r="H298" i="3"/>
  <c r="L298" i="3" l="1"/>
  <c r="J298" i="3"/>
  <c r="D299" i="3" s="1"/>
  <c r="I299" i="3" l="1"/>
  <c r="F299" i="3"/>
  <c r="G299" i="3" l="1"/>
  <c r="N299" i="4"/>
  <c r="K299" i="3"/>
  <c r="O299" i="4" s="1"/>
  <c r="H299" i="3" l="1"/>
  <c r="M299" i="4"/>
  <c r="L299" i="3" l="1"/>
  <c r="J299" i="3"/>
  <c r="D300" i="3" s="1"/>
  <c r="I300" i="3" l="1"/>
  <c r="F300" i="3"/>
  <c r="G300" i="3" l="1"/>
  <c r="N300" i="4"/>
  <c r="K300" i="3"/>
  <c r="O300" i="4" s="1"/>
  <c r="M300" i="4" l="1"/>
  <c r="H300" i="3"/>
  <c r="L300" i="3" l="1"/>
  <c r="J300" i="3"/>
  <c r="D301" i="3" s="1"/>
  <c r="I301" i="3" l="1"/>
  <c r="F301" i="3"/>
  <c r="G301" i="3" l="1"/>
  <c r="N301" i="4"/>
  <c r="K301" i="3"/>
  <c r="O301" i="4" s="1"/>
  <c r="M301" i="4" l="1"/>
  <c r="H301" i="3"/>
  <c r="L301" i="3" l="1"/>
  <c r="J28" i="2" s="1" a="1"/>
  <c r="J28" i="2" s="1"/>
  <c r="L28" i="2" s="1"/>
  <c r="J301" i="3"/>
  <c r="N28" i="2" l="1"/>
  <c r="P28" i="2" s="1"/>
  <c r="M28" i="2"/>
  <c r="E28" i="2"/>
  <c r="F28" i="2" s="1"/>
  <c r="D302" i="3"/>
  <c r="I302" i="3" l="1"/>
  <c r="F302" i="3"/>
  <c r="G302" i="3" l="1"/>
  <c r="N302" i="4"/>
  <c r="K302" i="3"/>
  <c r="O302" i="4" s="1"/>
  <c r="M302" i="4" l="1"/>
  <c r="H302" i="3"/>
  <c r="L302" i="3" l="1"/>
  <c r="J302" i="3"/>
  <c r="D303" i="3" s="1"/>
  <c r="F303" i="3" l="1"/>
  <c r="I303" i="3"/>
  <c r="N303" i="4" l="1"/>
  <c r="K303" i="3"/>
  <c r="O303" i="4" s="1"/>
  <c r="G303" i="3"/>
  <c r="M303" i="4" l="1"/>
  <c r="H303" i="3"/>
  <c r="L303" i="3" l="1"/>
  <c r="J303" i="3"/>
  <c r="D304" i="3" s="1"/>
  <c r="F304" i="3" l="1"/>
  <c r="I304" i="3"/>
  <c r="N304" i="4" l="1"/>
  <c r="K304" i="3"/>
  <c r="O304" i="4" s="1"/>
  <c r="G304" i="3"/>
  <c r="M304" i="4" l="1"/>
  <c r="H304" i="3"/>
  <c r="L304" i="3" l="1"/>
  <c r="J304" i="3"/>
  <c r="D305" i="3" s="1"/>
  <c r="F305" i="3" l="1"/>
  <c r="I305" i="3"/>
  <c r="N305" i="4" l="1"/>
  <c r="K305" i="3"/>
  <c r="O305" i="4" s="1"/>
  <c r="G305" i="3"/>
  <c r="H305" i="3" l="1"/>
  <c r="M305" i="4"/>
  <c r="L305" i="3" l="1"/>
  <c r="J305" i="3"/>
  <c r="D306" i="3" s="1"/>
  <c r="F306" i="3" l="1"/>
  <c r="I306" i="3"/>
  <c r="N306" i="4" l="1"/>
  <c r="K306" i="3"/>
  <c r="O306" i="4" s="1"/>
  <c r="G306" i="3"/>
  <c r="M306" i="4" l="1"/>
  <c r="H306" i="3"/>
  <c r="L306" i="3" l="1"/>
  <c r="J306" i="3"/>
  <c r="D307" i="3" s="1"/>
  <c r="I307" i="3" l="1"/>
  <c r="F307" i="3"/>
  <c r="G307" i="3" l="1"/>
  <c r="N307" i="4"/>
  <c r="K307" i="3"/>
  <c r="O307" i="4" s="1"/>
  <c r="M307" i="4" l="1"/>
  <c r="H307" i="3"/>
  <c r="L307" i="3" l="1"/>
  <c r="J307" i="3"/>
  <c r="D308" i="3" s="1"/>
  <c r="I308" i="3" l="1"/>
  <c r="F308" i="3"/>
  <c r="G308" i="3" l="1"/>
  <c r="N308" i="4"/>
  <c r="K308" i="3"/>
  <c r="O308" i="4" s="1"/>
  <c r="H308" i="3" l="1"/>
  <c r="M308" i="4"/>
  <c r="L308" i="3" l="1"/>
  <c r="J308" i="3"/>
  <c r="D309" i="3" s="1"/>
  <c r="I309" i="3" l="1"/>
  <c r="F309" i="3"/>
  <c r="G309" i="3" l="1"/>
  <c r="N309" i="4"/>
  <c r="K309" i="3"/>
  <c r="O309" i="4" s="1"/>
  <c r="M309" i="4" l="1"/>
  <c r="H309" i="3"/>
  <c r="L309" i="3" l="1"/>
  <c r="J309" i="3"/>
  <c r="D310" i="3" s="1"/>
  <c r="I310" i="3" l="1"/>
  <c r="F310" i="3"/>
  <c r="G310" i="3" l="1"/>
  <c r="N310" i="4"/>
  <c r="K310" i="3"/>
  <c r="O310" i="4" s="1"/>
  <c r="M310" i="4" l="1"/>
  <c r="H310" i="3"/>
  <c r="L310" i="3" l="1"/>
  <c r="J310" i="3"/>
  <c r="D311" i="3" s="1"/>
  <c r="I311" i="3" l="1"/>
  <c r="F311" i="3"/>
  <c r="G311" i="3" l="1"/>
  <c r="N311" i="4"/>
  <c r="K311" i="3"/>
  <c r="O311" i="4" s="1"/>
  <c r="M311" i="4" l="1"/>
  <c r="H311" i="3"/>
  <c r="L311" i="3" l="1"/>
  <c r="J311" i="3"/>
  <c r="D312" i="3" s="1"/>
  <c r="I312" i="3" l="1"/>
  <c r="F312" i="3"/>
  <c r="G312" i="3" l="1"/>
  <c r="N312" i="4"/>
  <c r="K312" i="3"/>
  <c r="O312" i="4" s="1"/>
  <c r="M312" i="4" l="1"/>
  <c r="H312" i="3"/>
  <c r="L312" i="3" l="1"/>
  <c r="J312" i="3"/>
  <c r="D313" i="3" s="1"/>
  <c r="F313" i="3" l="1"/>
  <c r="I313" i="3"/>
  <c r="N313" i="4" l="1"/>
  <c r="K313" i="3"/>
  <c r="O313" i="4" s="1"/>
  <c r="G313" i="3"/>
  <c r="H313" i="3" l="1"/>
  <c r="M313" i="4"/>
  <c r="L313" i="3" l="1"/>
  <c r="J29" i="2" s="1" a="1"/>
  <c r="J29" i="2" s="1"/>
  <c r="L29" i="2" s="1"/>
  <c r="J313" i="3"/>
  <c r="N29" i="2" l="1"/>
  <c r="P29" i="2" s="1"/>
  <c r="M29" i="2"/>
  <c r="D314" i="3"/>
  <c r="E29" i="2"/>
  <c r="F29" i="2" s="1"/>
  <c r="F314" i="3" l="1"/>
  <c r="I314" i="3"/>
  <c r="N314" i="4" l="1"/>
  <c r="K314" i="3"/>
  <c r="O314" i="4" s="1"/>
  <c r="G314" i="3"/>
  <c r="M314" i="4" l="1"/>
  <c r="H314" i="3"/>
  <c r="L314" i="3" l="1"/>
  <c r="J314" i="3"/>
  <c r="D315" i="3" s="1"/>
  <c r="I315" i="3" l="1"/>
  <c r="F315" i="3"/>
  <c r="G315" i="3" l="1"/>
  <c r="N315" i="4"/>
  <c r="K315" i="3"/>
  <c r="O315" i="4" s="1"/>
  <c r="M315" i="4" l="1"/>
  <c r="H315" i="3"/>
  <c r="L315" i="3" l="1"/>
  <c r="J315" i="3"/>
  <c r="D316" i="3" s="1"/>
  <c r="I316" i="3" l="1"/>
  <c r="F316" i="3"/>
  <c r="G316" i="3" l="1"/>
  <c r="N316" i="4"/>
  <c r="K316" i="3"/>
  <c r="O316" i="4" s="1"/>
  <c r="M316" i="4" l="1"/>
  <c r="H316" i="3"/>
  <c r="L316" i="3" l="1"/>
  <c r="J316" i="3"/>
  <c r="D317" i="3" s="1"/>
  <c r="I317" i="3" l="1"/>
  <c r="F317" i="3"/>
  <c r="G317" i="3" l="1"/>
  <c r="N317" i="4"/>
  <c r="K317" i="3"/>
  <c r="O317" i="4" s="1"/>
  <c r="M317" i="4" l="1"/>
  <c r="H317" i="3"/>
  <c r="L317" i="3" l="1"/>
  <c r="J317" i="3"/>
  <c r="D318" i="3" s="1"/>
  <c r="I318" i="3" l="1"/>
  <c r="F318" i="3"/>
  <c r="G318" i="3" l="1"/>
  <c r="N318" i="4"/>
  <c r="K318" i="3"/>
  <c r="O318" i="4" s="1"/>
  <c r="M318" i="4" l="1"/>
  <c r="H318" i="3"/>
  <c r="L318" i="3" l="1"/>
  <c r="J318" i="3"/>
  <c r="D319" i="3" s="1"/>
  <c r="I319" i="3" l="1"/>
  <c r="F319" i="3"/>
  <c r="G319" i="3" l="1"/>
  <c r="N319" i="4"/>
  <c r="K319" i="3"/>
  <c r="O319" i="4" s="1"/>
  <c r="M319" i="4" l="1"/>
  <c r="H319" i="3"/>
  <c r="L319" i="3" l="1"/>
  <c r="J319" i="3"/>
  <c r="D320" i="3" s="1"/>
  <c r="F320" i="3" l="1"/>
  <c r="I320" i="3"/>
  <c r="N320" i="4" l="1"/>
  <c r="K320" i="3"/>
  <c r="O320" i="4" s="1"/>
  <c r="G320" i="3"/>
  <c r="H320" i="3" l="1"/>
  <c r="M320" i="4"/>
  <c r="L320" i="3" l="1"/>
  <c r="J320" i="3"/>
  <c r="D321" i="3" s="1"/>
  <c r="F321" i="3" l="1"/>
  <c r="I321" i="3"/>
  <c r="N321" i="4" l="1"/>
  <c r="K321" i="3"/>
  <c r="O321" i="4" s="1"/>
  <c r="G321" i="3"/>
  <c r="H321" i="3" l="1"/>
  <c r="M321" i="4"/>
  <c r="L321" i="3" l="1"/>
  <c r="J321" i="3"/>
  <c r="D322" i="3" s="1"/>
  <c r="I322" i="3" l="1"/>
  <c r="F322" i="3"/>
  <c r="G322" i="3" l="1"/>
  <c r="N322" i="4"/>
  <c r="K322" i="3"/>
  <c r="O322" i="4" s="1"/>
  <c r="M322" i="4" l="1"/>
  <c r="H322" i="3"/>
  <c r="L322" i="3" l="1"/>
  <c r="J322" i="3"/>
  <c r="D323" i="3" s="1"/>
  <c r="I323" i="3" l="1"/>
  <c r="F323" i="3"/>
  <c r="G323" i="3" l="1"/>
  <c r="N323" i="4"/>
  <c r="K323" i="3"/>
  <c r="O323" i="4" s="1"/>
  <c r="M323" i="4" l="1"/>
  <c r="H323" i="3"/>
  <c r="L323" i="3" l="1"/>
  <c r="J323" i="3"/>
  <c r="D324" i="3" s="1"/>
  <c r="I324" i="3" l="1"/>
  <c r="F324" i="3"/>
  <c r="G324" i="3" l="1"/>
  <c r="N324" i="4"/>
  <c r="K324" i="3"/>
  <c r="O324" i="4" s="1"/>
  <c r="H324" i="3" l="1"/>
  <c r="M324" i="4"/>
  <c r="L324" i="3" l="1"/>
  <c r="J324" i="3"/>
  <c r="D325" i="3" s="1"/>
  <c r="I325" i="3" l="1"/>
  <c r="F325" i="3"/>
  <c r="G325" i="3" l="1"/>
  <c r="N325" i="4"/>
  <c r="K325" i="3"/>
  <c r="O325" i="4" s="1"/>
  <c r="M325" i="4" l="1"/>
  <c r="H325" i="3"/>
  <c r="L325" i="3" l="1"/>
  <c r="J30" i="2" s="1" a="1"/>
  <c r="J30" i="2" s="1"/>
  <c r="L30" i="2" s="1"/>
  <c r="J325" i="3"/>
  <c r="N30" i="2" l="1"/>
  <c r="P30" i="2" s="1"/>
  <c r="M30" i="2"/>
  <c r="E30" i="2"/>
  <c r="F30" i="2" s="1"/>
  <c r="D326" i="3"/>
  <c r="F326" i="3" l="1"/>
  <c r="I326" i="3"/>
  <c r="N326" i="4" l="1"/>
  <c r="K326" i="3"/>
  <c r="O326" i="4" s="1"/>
  <c r="G326" i="3"/>
  <c r="H326" i="3" l="1"/>
  <c r="M326" i="4"/>
  <c r="L326" i="3" l="1"/>
  <c r="J326" i="3"/>
  <c r="D327" i="3" s="1"/>
  <c r="F327" i="3" l="1"/>
  <c r="I327" i="3"/>
  <c r="N327" i="4" l="1"/>
  <c r="K327" i="3"/>
  <c r="O327" i="4" s="1"/>
  <c r="G327" i="3"/>
  <c r="M327" i="4" l="1"/>
  <c r="H327" i="3"/>
  <c r="L327" i="3" l="1"/>
  <c r="J327" i="3"/>
  <c r="D328" i="3" s="1"/>
  <c r="F328" i="3" l="1"/>
  <c r="I328" i="3"/>
  <c r="N328" i="4" l="1"/>
  <c r="K328" i="3"/>
  <c r="O328" i="4" s="1"/>
  <c r="G328" i="3"/>
  <c r="M328" i="4" l="1"/>
  <c r="H328" i="3"/>
  <c r="L328" i="3" l="1"/>
  <c r="J328" i="3"/>
  <c r="D329" i="3" s="1"/>
  <c r="F329" i="3" l="1"/>
  <c r="I329" i="3"/>
  <c r="N329" i="4" l="1"/>
  <c r="K329" i="3"/>
  <c r="O329" i="4" s="1"/>
  <c r="G329" i="3"/>
  <c r="H329" i="3" l="1"/>
  <c r="M329" i="4"/>
  <c r="L329" i="3" l="1"/>
  <c r="J329" i="3"/>
  <c r="D330" i="3" s="1"/>
  <c r="I330" i="3" l="1"/>
  <c r="F330" i="3"/>
  <c r="G330" i="3" l="1"/>
  <c r="N330" i="4"/>
  <c r="K330" i="3"/>
  <c r="O330" i="4" s="1"/>
  <c r="M330" i="4" l="1"/>
  <c r="H330" i="3"/>
  <c r="L330" i="3" l="1"/>
  <c r="J330" i="3"/>
  <c r="D331" i="3" s="1"/>
  <c r="I331" i="3" l="1"/>
  <c r="F331" i="3"/>
  <c r="G331" i="3" l="1"/>
  <c r="N331" i="4"/>
  <c r="K331" i="3"/>
  <c r="O331" i="4" s="1"/>
  <c r="M331" i="4" l="1"/>
  <c r="H331" i="3"/>
  <c r="L331" i="3" l="1"/>
  <c r="J331" i="3"/>
  <c r="D332" i="3" s="1"/>
  <c r="F332" i="3" l="1"/>
  <c r="I332" i="3"/>
  <c r="N332" i="4" l="1"/>
  <c r="K332" i="3"/>
  <c r="O332" i="4" s="1"/>
  <c r="G332" i="3"/>
  <c r="H332" i="3" l="1"/>
  <c r="M332" i="4"/>
  <c r="L332" i="3" l="1"/>
  <c r="J332" i="3"/>
  <c r="D333" i="3" s="1"/>
  <c r="I333" i="3" l="1"/>
  <c r="F333" i="3"/>
  <c r="G333" i="3" l="1"/>
  <c r="N333" i="4"/>
  <c r="K333" i="3"/>
  <c r="O333" i="4" s="1"/>
  <c r="H333" i="3" l="1"/>
  <c r="M333" i="4"/>
  <c r="L333" i="3" l="1"/>
  <c r="J333" i="3"/>
  <c r="D334" i="3" s="1"/>
  <c r="F334" i="3" l="1"/>
  <c r="I334" i="3"/>
  <c r="N334" i="4" l="1"/>
  <c r="K334" i="3"/>
  <c r="O334" i="4" s="1"/>
  <c r="G334" i="3"/>
  <c r="H334" i="3" l="1"/>
  <c r="M334" i="4"/>
  <c r="L334" i="3" l="1"/>
  <c r="J334" i="3"/>
  <c r="D335" i="3" s="1"/>
  <c r="F335" i="3" l="1"/>
  <c r="I335" i="3"/>
  <c r="N335" i="4" l="1"/>
  <c r="K335" i="3"/>
  <c r="O335" i="4" s="1"/>
  <c r="G335" i="3"/>
  <c r="M335" i="4" l="1"/>
  <c r="H335" i="3"/>
  <c r="L335" i="3" l="1"/>
  <c r="J335" i="3"/>
  <c r="D336" i="3" s="1"/>
  <c r="I336" i="3" l="1"/>
  <c r="F336" i="3"/>
  <c r="G336" i="3" l="1"/>
  <c r="N336" i="4"/>
  <c r="K336" i="3"/>
  <c r="O336" i="4" s="1"/>
  <c r="H336" i="3" l="1"/>
  <c r="M336" i="4"/>
  <c r="L336" i="3" l="1"/>
  <c r="J336" i="3"/>
  <c r="D337" i="3" s="1"/>
  <c r="I337" i="3" l="1"/>
  <c r="F337" i="3"/>
  <c r="G337" i="3" l="1"/>
  <c r="N337" i="4"/>
  <c r="K337" i="3"/>
  <c r="O337" i="4" s="1"/>
  <c r="H337" i="3" l="1"/>
  <c r="M337" i="4"/>
  <c r="L337" i="3" l="1"/>
  <c r="J31" i="2" s="1" a="1"/>
  <c r="J31" i="2" s="1"/>
  <c r="L31" i="2" s="1"/>
  <c r="J337" i="3"/>
  <c r="N31" i="2" l="1"/>
  <c r="P31" i="2" s="1"/>
  <c r="M31" i="2"/>
  <c r="E31" i="2"/>
  <c r="F31" i="2" s="1"/>
  <c r="D338" i="3"/>
  <c r="I338" i="3" l="1"/>
  <c r="F338" i="3"/>
  <c r="G338" i="3" l="1"/>
  <c r="N338" i="4"/>
  <c r="K338" i="3"/>
  <c r="O338" i="4" s="1"/>
  <c r="H338" i="3" l="1"/>
  <c r="M338" i="4"/>
  <c r="L338" i="3" l="1"/>
  <c r="J338" i="3"/>
  <c r="D339" i="3" s="1"/>
  <c r="I339" i="3" l="1"/>
  <c r="F339" i="3"/>
  <c r="G339" i="3" l="1"/>
  <c r="N339" i="4"/>
  <c r="K339" i="3"/>
  <c r="O339" i="4" s="1"/>
  <c r="M339" i="4" l="1"/>
  <c r="H339" i="3"/>
  <c r="L339" i="3" l="1"/>
  <c r="J339" i="3"/>
  <c r="D340" i="3" s="1"/>
  <c r="F340" i="3" l="1"/>
  <c r="I340" i="3"/>
  <c r="N340" i="4" l="1"/>
  <c r="K340" i="3"/>
  <c r="O340" i="4" s="1"/>
  <c r="G340" i="3"/>
  <c r="H340" i="3" l="1"/>
  <c r="M340" i="4"/>
  <c r="L340" i="3" l="1"/>
  <c r="J340" i="3"/>
  <c r="D341" i="3" s="1"/>
  <c r="I341" i="3" l="1"/>
  <c r="F341" i="3"/>
  <c r="G341" i="3" l="1"/>
  <c r="N341" i="4"/>
  <c r="K341" i="3"/>
  <c r="O341" i="4" s="1"/>
  <c r="M341" i="4" l="1"/>
  <c r="H341" i="3"/>
  <c r="L341" i="3" l="1"/>
  <c r="J341" i="3"/>
  <c r="D342" i="3" s="1"/>
  <c r="I342" i="3" l="1"/>
  <c r="F342" i="3"/>
  <c r="G342" i="3" l="1"/>
  <c r="N342" i="4"/>
  <c r="K342" i="3"/>
  <c r="O342" i="4" s="1"/>
  <c r="M342" i="4" l="1"/>
  <c r="H342" i="3"/>
  <c r="L342" i="3" l="1"/>
  <c r="J342" i="3"/>
  <c r="D343" i="3" s="1"/>
  <c r="F343" i="3" l="1"/>
  <c r="I343" i="3"/>
  <c r="N343" i="4" l="1"/>
  <c r="K343" i="3"/>
  <c r="O343" i="4" s="1"/>
  <c r="G343" i="3"/>
  <c r="H343" i="3" l="1"/>
  <c r="M343" i="4"/>
  <c r="L343" i="3" l="1"/>
  <c r="J343" i="3"/>
  <c r="D344" i="3" s="1"/>
  <c r="I344" i="3" l="1"/>
  <c r="F344" i="3"/>
  <c r="G344" i="3" l="1"/>
  <c r="N344" i="4"/>
  <c r="K344" i="3"/>
  <c r="O344" i="4" s="1"/>
  <c r="H344" i="3" l="1"/>
  <c r="M344" i="4"/>
  <c r="L344" i="3" l="1"/>
  <c r="J344" i="3"/>
  <c r="D345" i="3" s="1"/>
  <c r="F345" i="3" l="1"/>
  <c r="I345" i="3"/>
  <c r="N345" i="4" l="1"/>
  <c r="K345" i="3"/>
  <c r="O345" i="4" s="1"/>
  <c r="G345" i="3"/>
  <c r="H345" i="3" l="1"/>
  <c r="M345" i="4"/>
  <c r="L345" i="3" l="1"/>
  <c r="J345" i="3"/>
  <c r="D346" i="3" s="1"/>
  <c r="I346" i="3" l="1"/>
  <c r="F346" i="3"/>
  <c r="G346" i="3" l="1"/>
  <c r="N346" i="4"/>
  <c r="K346" i="3"/>
  <c r="O346" i="4" s="1"/>
  <c r="H346" i="3" l="1"/>
  <c r="M346" i="4"/>
  <c r="L346" i="3" l="1"/>
  <c r="J346" i="3"/>
  <c r="D347" i="3" s="1"/>
  <c r="I347" i="3" l="1"/>
  <c r="F347" i="3"/>
  <c r="G347" i="3" l="1"/>
  <c r="N347" i="4"/>
  <c r="K347" i="3"/>
  <c r="O347" i="4" s="1"/>
  <c r="H347" i="3" l="1"/>
  <c r="M347" i="4"/>
  <c r="L347" i="3" l="1"/>
  <c r="J347" i="3"/>
  <c r="D348" i="3" s="1"/>
  <c r="F348" i="3" l="1"/>
  <c r="I348" i="3"/>
  <c r="N348" i="4" l="1"/>
  <c r="K348" i="3"/>
  <c r="O348" i="4" s="1"/>
  <c r="G348" i="3"/>
  <c r="H348" i="3" l="1"/>
  <c r="M348" i="4"/>
  <c r="L348" i="3" l="1"/>
  <c r="J348" i="3"/>
  <c r="D349" i="3" s="1"/>
  <c r="I349" i="3" l="1"/>
  <c r="F349" i="3"/>
  <c r="G349" i="3" l="1"/>
  <c r="N349" i="4"/>
  <c r="K349" i="3"/>
  <c r="O349" i="4" s="1"/>
  <c r="H349" i="3" l="1"/>
  <c r="M349" i="4"/>
  <c r="L349" i="3" l="1"/>
  <c r="J32" i="2" s="1" a="1"/>
  <c r="J32" i="2" s="1"/>
  <c r="L32" i="2" s="1"/>
  <c r="J349" i="3"/>
  <c r="N32" i="2" l="1"/>
  <c r="P32" i="2" s="1"/>
  <c r="M32" i="2"/>
  <c r="E32" i="2"/>
  <c r="F32" i="2" s="1"/>
  <c r="D350" i="3"/>
  <c r="I350" i="3" l="1"/>
  <c r="F350" i="3"/>
  <c r="G350" i="3" l="1"/>
  <c r="N350" i="4"/>
  <c r="K350" i="3"/>
  <c r="O350" i="4" s="1"/>
  <c r="H350" i="3" l="1"/>
  <c r="M350" i="4"/>
  <c r="L350" i="3" l="1"/>
  <c r="J350" i="3"/>
  <c r="D351" i="3" s="1"/>
  <c r="I351" i="3" l="1"/>
  <c r="F351" i="3"/>
  <c r="G351" i="3" l="1"/>
  <c r="N351" i="4"/>
  <c r="K351" i="3"/>
  <c r="O351" i="4" s="1"/>
  <c r="H351" i="3" l="1"/>
  <c r="M351" i="4"/>
  <c r="L351" i="3" l="1"/>
  <c r="J351" i="3"/>
  <c r="D352" i="3" s="1"/>
  <c r="I352" i="3" l="1"/>
  <c r="F352" i="3"/>
  <c r="G352" i="3" l="1"/>
  <c r="N352" i="4"/>
  <c r="K352" i="3"/>
  <c r="O352" i="4" s="1"/>
  <c r="H352" i="3" l="1"/>
  <c r="M352" i="4"/>
  <c r="L352" i="3" l="1"/>
  <c r="J352" i="3"/>
  <c r="D353" i="3" s="1"/>
  <c r="F353" i="3" l="1"/>
  <c r="I353" i="3"/>
  <c r="N353" i="4" l="1"/>
  <c r="K353" i="3"/>
  <c r="O353" i="4" s="1"/>
  <c r="G353" i="3"/>
  <c r="H353" i="3" l="1"/>
  <c r="M353" i="4"/>
  <c r="L353" i="3" l="1"/>
  <c r="J353" i="3"/>
  <c r="D354" i="3" s="1"/>
  <c r="I354" i="3" l="1"/>
  <c r="F354" i="3"/>
  <c r="G354" i="3" l="1"/>
  <c r="N354" i="4"/>
  <c r="K354" i="3"/>
  <c r="O354" i="4" s="1"/>
  <c r="H354" i="3" l="1"/>
  <c r="M354" i="4"/>
  <c r="L354" i="3" l="1"/>
  <c r="J354" i="3"/>
  <c r="D355" i="3" s="1"/>
  <c r="I355" i="3" l="1"/>
  <c r="F355" i="3"/>
  <c r="G355" i="3" l="1"/>
  <c r="N355" i="4"/>
  <c r="K355" i="3"/>
  <c r="O355" i="4" s="1"/>
  <c r="H355" i="3" l="1"/>
  <c r="M355" i="4"/>
  <c r="L355" i="3" l="1"/>
  <c r="J355" i="3"/>
  <c r="D356" i="3" s="1"/>
  <c r="I356" i="3" l="1"/>
  <c r="F356" i="3"/>
  <c r="G356" i="3" l="1"/>
  <c r="N356" i="4"/>
  <c r="K356" i="3"/>
  <c r="O356" i="4" s="1"/>
  <c r="H356" i="3" l="1"/>
  <c r="M356" i="4"/>
  <c r="L356" i="3" l="1"/>
  <c r="J356" i="3"/>
  <c r="D357" i="3" s="1"/>
  <c r="F357" i="3" l="1"/>
  <c r="I357" i="3"/>
  <c r="N357" i="4" l="1"/>
  <c r="K357" i="3"/>
  <c r="O357" i="4" s="1"/>
  <c r="G357" i="3"/>
  <c r="H357" i="3" l="1"/>
  <c r="M357" i="4"/>
  <c r="L357" i="3" l="1"/>
  <c r="J357" i="3"/>
  <c r="D358" i="3" s="1"/>
  <c r="I358" i="3" l="1"/>
  <c r="F358" i="3"/>
  <c r="G358" i="3" l="1"/>
  <c r="N358" i="4"/>
  <c r="K358" i="3"/>
  <c r="O358" i="4" s="1"/>
  <c r="H358" i="3" l="1"/>
  <c r="M358" i="4"/>
  <c r="L358" i="3" l="1"/>
  <c r="J358" i="3"/>
  <c r="D359" i="3" s="1"/>
  <c r="I359" i="3" l="1"/>
  <c r="F359" i="3"/>
  <c r="G359" i="3" l="1"/>
  <c r="N359" i="4"/>
  <c r="K359" i="3"/>
  <c r="O359" i="4" s="1"/>
  <c r="H359" i="3" l="1"/>
  <c r="M359" i="4"/>
  <c r="L359" i="3" l="1"/>
  <c r="J359" i="3"/>
  <c r="D360" i="3" s="1"/>
  <c r="I360" i="3" l="1"/>
  <c r="F360" i="3"/>
  <c r="G360" i="3" l="1"/>
  <c r="N360" i="4"/>
  <c r="K360" i="3"/>
  <c r="O360" i="4" s="1"/>
  <c r="M360" i="4" l="1"/>
  <c r="H360" i="3"/>
  <c r="L360" i="3" l="1"/>
  <c r="J360" i="3"/>
  <c r="D361" i="3" s="1"/>
  <c r="I361" i="3" l="1"/>
  <c r="F361" i="3"/>
  <c r="G361" i="3" l="1"/>
  <c r="N361" i="4"/>
  <c r="K361" i="3"/>
  <c r="O361" i="4" s="1"/>
  <c r="M361" i="4" l="1"/>
  <c r="H361" i="3"/>
  <c r="L361" i="3" l="1"/>
  <c r="J33" i="2" s="1" a="1"/>
  <c r="J33" i="2" s="1"/>
  <c r="L33" i="2" s="1"/>
  <c r="J361" i="3"/>
  <c r="N33" i="2" l="1"/>
  <c r="P33" i="2" s="1"/>
  <c r="M33" i="2"/>
  <c r="D362" i="3"/>
  <c r="E33" i="2"/>
  <c r="F33" i="2" s="1"/>
  <c r="F362" i="3" l="1"/>
  <c r="I362" i="3"/>
  <c r="N362" i="4" l="1"/>
  <c r="K362" i="3"/>
  <c r="O362" i="4" s="1"/>
  <c r="G362" i="3"/>
  <c r="H362" i="3" l="1"/>
  <c r="M362" i="4"/>
  <c r="L362" i="3" l="1"/>
  <c r="J362" i="3"/>
  <c r="D363" i="3" s="1"/>
  <c r="F363" i="3" l="1"/>
  <c r="I363" i="3"/>
  <c r="N363" i="4" l="1"/>
  <c r="K363" i="3"/>
  <c r="O363" i="4" s="1"/>
  <c r="G363" i="3"/>
  <c r="M363" i="4" l="1"/>
  <c r="H363" i="3"/>
  <c r="L363" i="3" l="1"/>
  <c r="J363" i="3"/>
  <c r="D364" i="3" s="1"/>
  <c r="F364" i="3" l="1"/>
  <c r="I364" i="3"/>
  <c r="N364" i="4" l="1"/>
  <c r="K364" i="3"/>
  <c r="O364" i="4" s="1"/>
  <c r="G364" i="3"/>
  <c r="H364" i="3" l="1"/>
  <c r="M364" i="4"/>
  <c r="L364" i="3" l="1"/>
  <c r="J364" i="3"/>
  <c r="D365" i="3" s="1"/>
  <c r="I365" i="3" l="1"/>
  <c r="F365" i="3"/>
  <c r="G365" i="3" l="1"/>
  <c r="N365" i="4"/>
  <c r="K365" i="3"/>
  <c r="O365" i="4" s="1"/>
  <c r="H365" i="3" l="1"/>
  <c r="M365" i="4"/>
  <c r="L365" i="3" l="1"/>
  <c r="J365" i="3"/>
  <c r="D366" i="3" s="1"/>
  <c r="F366" i="3" l="1"/>
  <c r="I366" i="3"/>
  <c r="N366" i="4" l="1"/>
  <c r="K366" i="3"/>
  <c r="O366" i="4" s="1"/>
  <c r="G366" i="3"/>
  <c r="H366" i="3" l="1"/>
  <c r="M366" i="4"/>
  <c r="L366" i="3" l="1"/>
  <c r="J366" i="3"/>
  <c r="D367" i="3" s="1"/>
  <c r="I367" i="3" l="1"/>
  <c r="F367" i="3"/>
  <c r="G367" i="3" l="1"/>
  <c r="N367" i="4"/>
  <c r="K367" i="3"/>
  <c r="O367" i="4" s="1"/>
  <c r="M367" i="4" l="1"/>
  <c r="H367" i="3"/>
  <c r="L367" i="3" l="1"/>
  <c r="J367" i="3"/>
  <c r="D368" i="3" s="1"/>
  <c r="F368" i="3" l="1"/>
  <c r="I368" i="3"/>
  <c r="N368" i="4" l="1"/>
  <c r="K368" i="3"/>
  <c r="O368" i="4" s="1"/>
  <c r="G368" i="3"/>
  <c r="H368" i="3" l="1"/>
  <c r="M368" i="4"/>
  <c r="L368" i="3" l="1"/>
  <c r="J368" i="3"/>
  <c r="D369" i="3" s="1"/>
  <c r="I369" i="3" l="1"/>
  <c r="F369" i="3"/>
  <c r="G369" i="3" l="1"/>
  <c r="N369" i="4"/>
  <c r="K369" i="3"/>
  <c r="O369" i="4" s="1"/>
  <c r="H369" i="3" l="1"/>
  <c r="M369" i="4"/>
  <c r="L369" i="3" l="1"/>
  <c r="J369" i="3"/>
  <c r="D370" i="3" s="1"/>
  <c r="F370" i="3" l="1"/>
  <c r="I370" i="3"/>
  <c r="N370" i="4" l="1"/>
  <c r="K370" i="3"/>
  <c r="O370" i="4" s="1"/>
  <c r="G370" i="3"/>
  <c r="H370" i="3" l="1"/>
  <c r="M370" i="4"/>
  <c r="L370" i="3" l="1"/>
  <c r="J370" i="3"/>
  <c r="D371" i="3" s="1"/>
  <c r="I371" i="3" l="1"/>
  <c r="F371" i="3"/>
  <c r="G371" i="3" l="1"/>
  <c r="N371" i="4"/>
  <c r="K371" i="3"/>
  <c r="O371" i="4" s="1"/>
  <c r="M371" i="4" l="1"/>
  <c r="H371" i="3"/>
  <c r="L371" i="3" l="1"/>
  <c r="J371" i="3"/>
  <c r="D372" i="3" s="1"/>
  <c r="I372" i="3" l="1"/>
  <c r="F372" i="3"/>
  <c r="G372" i="3" l="1"/>
  <c r="N372" i="4"/>
  <c r="K372" i="3"/>
  <c r="O372" i="4" s="1"/>
  <c r="H372" i="3" l="1"/>
  <c r="M372" i="4"/>
  <c r="L372" i="3" l="1"/>
  <c r="J372" i="3"/>
  <c r="D373" i="3" s="1"/>
  <c r="I373" i="3" l="1"/>
  <c r="F373" i="3"/>
  <c r="G373" i="3" l="1"/>
  <c r="J373" i="3"/>
  <c r="E34" i="2" s="1"/>
  <c r="F34" i="2" s="1"/>
  <c r="I8" i="3"/>
  <c r="N373" i="4"/>
  <c r="K373" i="3"/>
  <c r="O373" i="4" s="1"/>
  <c r="I9" i="3"/>
  <c r="M373" i="4" l="1"/>
  <c r="H373" i="3"/>
  <c r="L373" i="3" s="1"/>
  <c r="J34" i="2" s="1" a="1"/>
  <c r="J34" i="2" s="1"/>
  <c r="J39" i="2" l="1"/>
  <c r="J38" i="2"/>
  <c r="J37" i="2"/>
  <c r="J36" i="2"/>
  <c r="L34" i="2"/>
  <c r="M34" i="2" s="1"/>
  <c r="J35" i="2"/>
  <c r="L39" i="2" l="1"/>
  <c r="L38" i="2"/>
  <c r="L37" i="2"/>
  <c r="L36" i="2"/>
  <c r="N34" i="2"/>
  <c r="P34" i="2" s="1"/>
  <c r="L35" i="2"/>
  <c r="N35" i="2" l="1"/>
  <c r="P35" i="2" s="1"/>
  <c r="M35" i="2"/>
  <c r="N36" i="2"/>
  <c r="P36" i="2" s="1"/>
  <c r="M36" i="2"/>
  <c r="N37" i="2"/>
  <c r="P37" i="2" s="1"/>
  <c r="M37" i="2"/>
  <c r="N38" i="2"/>
  <c r="P38" i="2" s="1"/>
  <c r="M38" i="2"/>
  <c r="N39" i="2"/>
  <c r="P39" i="2" s="1"/>
  <c r="M3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<sst xmlns="http://schemas.openxmlformats.org/spreadsheetml/2006/main" count="198" uniqueCount="128">
  <si>
    <t>Home Price</t>
  </si>
  <si>
    <t>Down Payment %</t>
  </si>
  <si>
    <t>Loan Term</t>
  </si>
  <si>
    <t>Appreciation Rate %</t>
  </si>
  <si>
    <t>Cumulative
Interest</t>
  </si>
  <si>
    <t>Ending
Balance</t>
  </si>
  <si>
    <t>Interest</t>
  </si>
  <si>
    <t>Principal</t>
  </si>
  <si>
    <t>Total
Payment</t>
  </si>
  <si>
    <t>Extra
Payment</t>
  </si>
  <si>
    <t>Scheduled Payment</t>
  </si>
  <si>
    <t>Beginning
Balance</t>
  </si>
  <si>
    <t>Payment
Date</t>
  </si>
  <si>
    <t>Payment Number</t>
  </si>
  <si>
    <t>Optional extra payments</t>
  </si>
  <si>
    <t>Total interest</t>
  </si>
  <si>
    <t>Start date of loan</t>
  </si>
  <si>
    <t>Total early payments</t>
  </si>
  <si>
    <t>Number of payments per year</t>
  </si>
  <si>
    <t>Actual number of payments</t>
  </si>
  <si>
    <t>Loan period in years</t>
  </si>
  <si>
    <t>Scheduled number of payments</t>
  </si>
  <si>
    <t>Annual interest rate</t>
  </si>
  <si>
    <t>Scheduled payment</t>
  </si>
  <si>
    <t>Loan amount</t>
  </si>
  <si>
    <t>Loan Summary</t>
  </si>
  <si>
    <t>Enter Values</t>
  </si>
  <si>
    <t>Down Payment $</t>
  </si>
  <si>
    <t>Loan Amount</t>
  </si>
  <si>
    <t>Loan Balance</t>
  </si>
  <si>
    <t>Owner's Equity</t>
  </si>
  <si>
    <t>Months</t>
  </si>
  <si>
    <t>Target Year</t>
  </si>
  <si>
    <t>Target Year Equity</t>
  </si>
  <si>
    <t>Questions? Email me at:</t>
  </si>
  <si>
    <t>TheCPAMortgageGuy@gmail.com</t>
  </si>
  <si>
    <t>(801) 865-1867</t>
  </si>
  <si>
    <t>Monthly Payment Difference</t>
  </si>
  <si>
    <t>Monthly Interest Difference</t>
  </si>
  <si>
    <t>Cumulative Interest Difference</t>
  </si>
  <si>
    <t>Loan Amortization Schedule Low</t>
  </si>
  <si>
    <t>Loan Amortization Schedule High</t>
  </si>
  <si>
    <t>Property Info</t>
  </si>
  <si>
    <t>Mortgage Rate %</t>
  </si>
  <si>
    <t>Yearly Rent</t>
  </si>
  <si>
    <t>Cumulative</t>
  </si>
  <si>
    <t>Rent Paid</t>
  </si>
  <si>
    <t>Cumulative Principal</t>
  </si>
  <si>
    <t>1 year of difference</t>
  </si>
  <si>
    <t>How much did you spend in rent</t>
  </si>
  <si>
    <t>If their answer is "I'm waiting for rates to come down", and they mean it, then they:</t>
  </si>
  <si>
    <t>1) Believe rates will come down</t>
  </si>
  <si>
    <t>2) Will buy when they do</t>
  </si>
  <si>
    <t>Don't they really mean "when doing so becomes more affordable"?</t>
  </si>
  <si>
    <t>Do we believe that properties will become more affordable?</t>
  </si>
  <si>
    <t>I don't</t>
  </si>
  <si>
    <t>Unless more inventory:</t>
  </si>
  <si>
    <t>1) More new builds (that's really slow still)</t>
  </si>
  <si>
    <t>2) Economic crisis (bigger implications)</t>
  </si>
  <si>
    <t>3) Regulation (might be the most likely and it's pretty unlikely with the NIMBYs)</t>
  </si>
  <si>
    <t>What do they believe they will lose</t>
  </si>
  <si>
    <t>-higher payments</t>
  </si>
  <si>
    <t>What they believe they will gain</t>
  </si>
  <si>
    <t>-lower payments</t>
  </si>
  <si>
    <t>What they actually lose</t>
  </si>
  <si>
    <t>-cumulative rent payments</t>
  </si>
  <si>
    <t>What they actually gain</t>
  </si>
  <si>
    <t>-difference between higher and lower payments</t>
  </si>
  <si>
    <t>-likely increase in purchase price</t>
  </si>
  <si>
    <t>-normal appreciation</t>
  </si>
  <si>
    <t>-buying power increase driving up purchase price (we'll leave this blank for the benefit of the doubt)</t>
  </si>
  <si>
    <t>-will your saving money outpace leveraged appreciation?</t>
  </si>
  <si>
    <t>Renting allows you to save for a larger down payment</t>
  </si>
  <si>
    <t>-extra savings to get to the break even loan amount</t>
  </si>
  <si>
    <t>-if the smartest strategy were minimizing your loan amount, everyone would rent until they could buy with cash</t>
  </si>
  <si>
    <t>Loan P&amp;I</t>
  </si>
  <si>
    <t>Monthly Rent</t>
  </si>
  <si>
    <t>Rent paid while waiting</t>
  </si>
  <si>
    <t>Home price</t>
  </si>
  <si>
    <t>Down payment %</t>
  </si>
  <si>
    <t>Down payment $</t>
  </si>
  <si>
    <t>Proj. appreciation %</t>
  </si>
  <si>
    <t>Current monthly rent</t>
  </si>
  <si>
    <t>Current yearly rent</t>
  </si>
  <si>
    <t>Est. rent increase</t>
  </si>
  <si>
    <t>Rate you're waiting for</t>
  </si>
  <si>
    <t xml:space="preserve">Total P&amp;I savings from waiting </t>
  </si>
  <si>
    <t>Loan term (years)</t>
  </si>
  <si>
    <t>Monthly principal &amp; interest (P&amp;I)</t>
  </si>
  <si>
    <t>Yearly P&amp;I</t>
  </si>
  <si>
    <t>Monthly P&amp;I</t>
  </si>
  <si>
    <t>Monthly high vs. low P&amp;I difference</t>
  </si>
  <si>
    <t>Yearly high vs. low P&amp;I difference</t>
  </si>
  <si>
    <t>Monthly P&amp;I savings at lower rate</t>
  </si>
  <si>
    <t>Cash cost of waiting</t>
  </si>
  <si>
    <t>Equtiy cost of waiting</t>
  </si>
  <si>
    <t>Total wealth cost of waiting</t>
  </si>
  <si>
    <t>Common Loan Terms</t>
  </si>
  <si>
    <t>Rent Details</t>
  </si>
  <si>
    <t>Time it takes for rates to go down to what you're waiting for</t>
  </si>
  <si>
    <t>High vs. Low Rate Comparison</t>
  </si>
  <si>
    <t>Equity cost of waiting</t>
  </si>
  <si>
    <t>Total cost of waiting</t>
  </si>
  <si>
    <t>6 months</t>
  </si>
  <si>
    <t>1 year</t>
  </si>
  <si>
    <t>2 years</t>
  </si>
  <si>
    <t>3 years</t>
  </si>
  <si>
    <t>4 years</t>
  </si>
  <si>
    <t>5 years</t>
  </si>
  <si>
    <t>Total P&amp;I savings</t>
  </si>
  <si>
    <t>P&amp;I High</t>
  </si>
  <si>
    <t>P&amp;I Low</t>
  </si>
  <si>
    <t>Difference</t>
  </si>
  <si>
    <t>P&amp;I Hi vs Lo</t>
  </si>
  <si>
    <t>of Waiting</t>
  </si>
  <si>
    <t>Total Cost</t>
  </si>
  <si>
    <t>Cost of Waiting for Rates to Go Down</t>
  </si>
  <si>
    <t>Difference (Positive)</t>
  </si>
  <si>
    <t>Cash Cost (rent minus 
interest rate savings)</t>
  </si>
  <si>
    <t>Years Waiting for
Target Rate:</t>
  </si>
  <si>
    <t>Missed Equity</t>
  </si>
  <si>
    <t>-the math doesn't favor that outcome</t>
  </si>
  <si>
    <t>Agent Information</t>
  </si>
  <si>
    <t>(123) 456-7890</t>
  </si>
  <si>
    <t>Agent Name</t>
  </si>
  <si>
    <t>sample@agentemail.com</t>
  </si>
  <si>
    <t>Today's mortgage rate %*</t>
  </si>
  <si>
    <t>*"Today's Mortgage Rate" is not an offer or promise to lend. You are free to input whatever rate you wish here to only demonstrate scenarios. Actual interest rate quotes require full application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</si>
</sst>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0.000%"/>
    <numFmt numFmtId="166" formatCode="_(* #,##0_);_(* \(#,##0\);_(* &quot;-&quot;??_);_(@_)"/>
    <numFmt numFmtId="167" formatCode="&quot;$&quot;#,##0.00"/>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1"/>
      <color theme="1"/>
      <name val="Garamond"/>
      <family val="1"/>
    </font>
    <font>
      <b/>
      <sz val="11"/>
      <color theme="0"/>
      <name val="Garamond"/>
      <family val="1"/>
    </font>
    <font>
      <b/>
      <sz val="11"/>
      <color theme="1"/>
      <name val="Garamond"/>
      <family val="1"/>
    </font>
    <font>
      <sz val="11"/>
      <name val="Calibri"/>
      <family val="2"/>
      <scheme val="minor"/>
    </font>
    <font>
      <sz val="11"/>
      <color theme="1" tint="0.24994659260841701"/>
      <name val="Calibri"/>
      <family val="2"/>
      <scheme val="minor"/>
    </font>
    <font>
      <b/>
      <sz val="12"/>
      <color theme="1" tint="0.249977111117893"/>
      <name val="Calibri"/>
      <family val="2"/>
    </font>
    <font>
      <i/>
      <sz val="11"/>
      <color theme="1" tint="0.34998626667073579"/>
      <name val="Calibri"/>
      <family val="2"/>
      <scheme val="minor"/>
    </font>
    <font>
      <b/>
      <sz val="14"/>
      <color theme="1" tint="0.24994659260841701"/>
      <name val="Calibri"/>
      <family val="2"/>
    </font>
    <font>
      <b/>
      <sz val="16"/>
      <color rgb="FF0070C0"/>
      <name val="Calibri"/>
      <family val="2"/>
    </font>
    <font>
      <b/>
      <sz val="40"/>
      <color rgb="FF376B36"/>
      <name val="Garamond"/>
      <family val="1"/>
    </font>
    <font>
      <sz val="11"/>
      <name val="Garamond"/>
      <family val="1"/>
    </font>
    <font>
      <b/>
      <sz val="20"/>
      <color theme="4" tint="-0.499984740745262"/>
      <name val="Garamond"/>
      <family val="1"/>
    </font>
    <font>
      <b/>
      <sz val="14"/>
      <color theme="1" tint="0.24994659260841701"/>
      <name val="Garamond"/>
      <family val="1"/>
    </font>
    <font>
      <sz val="12"/>
      <color theme="1"/>
      <name val="Garamond"/>
      <family val="1"/>
    </font>
    <font>
      <sz val="12"/>
      <color theme="1" tint="0.24994659260841701"/>
      <name val="Garamond"/>
      <family val="1"/>
    </font>
    <font>
      <i/>
      <sz val="11"/>
      <color theme="1"/>
      <name val="Garamond"/>
      <family val="1"/>
    </font>
    <font>
      <sz val="11"/>
      <color theme="1" tint="0.24994659260841701"/>
      <name val="Garamond"/>
      <family val="1"/>
    </font>
    <font>
      <sz val="12"/>
      <name val="Garamond"/>
      <family val="1"/>
    </font>
    <font>
      <b/>
      <sz val="40"/>
      <color rgb="FF0070C0"/>
      <name val="Garamond"/>
      <family val="1"/>
    </font>
    <font>
      <b/>
      <sz val="14"/>
      <color rgb="FF0070C0"/>
      <name val="Garamond"/>
      <family val="1"/>
    </font>
    <font>
      <b/>
      <sz val="16"/>
      <color theme="1"/>
      <name val="Garamond"/>
      <family val="1"/>
    </font>
    <font>
      <u/>
      <sz val="11"/>
      <color theme="10"/>
      <name val="Calibri"/>
      <family val="2"/>
      <scheme val="minor"/>
    </font>
    <font>
      <b/>
      <sz val="12"/>
      <color theme="1"/>
      <name val="Garamond"/>
      <family val="1"/>
    </font>
    <font>
      <b/>
      <u/>
      <sz val="12"/>
      <color theme="10"/>
      <name val="Garamond"/>
      <family val="1"/>
    </font>
    <font>
      <b/>
      <sz val="14"/>
      <color theme="1"/>
      <name val="Garamond"/>
      <family val="1"/>
    </font>
    <font>
      <b/>
      <sz val="22"/>
      <color theme="1"/>
      <name val="Garamond"/>
      <family val="1"/>
    </font>
    <font>
      <u/>
      <sz val="12"/>
      <color theme="10"/>
      <name val="Garamond"/>
      <family val="1"/>
    </font>
  </fonts>
  <fills count="10">
    <fill>
      <patternFill patternType="none"/>
    </fill>
    <fill>
      <patternFill patternType="gray125"/>
    </fill>
    <fill>
      <patternFill patternType="solid">
        <fgColor theme="4" tint="0.79998168889431442"/>
        <bgColor indexed="65"/>
      </patternFill>
    </fill>
    <fill>
      <patternFill patternType="solid">
        <fgColor rgb="FF00B0F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
      <patternFill patternType="solid">
        <fgColor rgb="FF0070C0"/>
        <bgColor indexed="64"/>
      </patternFill>
    </fill>
    <fill>
      <patternFill patternType="solid">
        <fgColor rgb="FFFFC000"/>
        <bgColor indexed="64"/>
      </patternFill>
    </fill>
  </fills>
  <borders count="27">
    <border>
      <left/>
      <right/>
      <top/>
      <bottom/>
      <diagonal/>
    </border>
    <border>
      <left/>
      <right/>
      <top/>
      <bottom style="thin">
        <color theme="4" tint="-0.499984740745262"/>
      </bottom>
      <diagonal/>
    </border>
    <border>
      <left/>
      <right style="thin">
        <color theme="0"/>
      </right>
      <top/>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0" tint="-0.14999847407452621"/>
      </bottom>
      <diagonal/>
    </border>
    <border>
      <left/>
      <right style="thin">
        <color theme="0" tint="-0.14999847407452621"/>
      </right>
      <top style="thin">
        <color theme="2" tint="-9.9978637043366805E-2"/>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top style="thin">
        <color theme="4" tint="-0.499984740745262"/>
      </top>
      <bottom style="thin">
        <color theme="2" tint="-9.9978637043366805E-2"/>
      </bottom>
      <diagonal/>
    </border>
    <border>
      <left/>
      <right style="thin">
        <color theme="0" tint="-0.14999847407452621"/>
      </right>
      <top style="thin">
        <color rgb="FF376B36"/>
      </top>
      <bottom style="thin">
        <color theme="2" tint="-9.9978637043366805E-2"/>
      </bottom>
      <diagonal/>
    </border>
    <border>
      <left/>
      <right/>
      <top style="thin">
        <color rgb="FF376B36"/>
      </top>
      <bottom style="thin">
        <color theme="2" tint="-9.9978637043366805E-2"/>
      </bottom>
      <diagonal/>
    </border>
    <border>
      <left/>
      <right/>
      <top/>
      <bottom style="medium">
        <color theme="4" tint="-0.499984740745262"/>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7" fontId="7" fillId="6" borderId="0" applyFont="0" applyFill="0" applyBorder="0" applyProtection="0">
      <alignment horizontal="right" indent="2"/>
    </xf>
    <xf numFmtId="14" fontId="7" fillId="0" borderId="0" applyFont="0" applyFill="0" applyBorder="0" applyAlignment="0"/>
    <xf numFmtId="1" fontId="7" fillId="2" borderId="0" applyFont="0" applyFill="0" applyBorder="0" applyAlignment="0"/>
    <xf numFmtId="0" fontId="8" fillId="7" borderId="0" applyFill="0" applyProtection="0">
      <alignment horizontal="center" vertical="center" wrapText="1"/>
    </xf>
    <xf numFmtId="0" fontId="2" fillId="0" borderId="3" applyNumberFormat="0" applyFill="0" applyProtection="0">
      <alignment vertical="center"/>
    </xf>
    <xf numFmtId="167" fontId="7" fillId="6" borderId="0" applyFont="0" applyFill="0" applyBorder="0" applyAlignment="0" applyProtection="0"/>
    <xf numFmtId="0" fontId="9" fillId="0" borderId="4" applyNumberFormat="0" applyProtection="0">
      <alignment vertical="center"/>
    </xf>
    <xf numFmtId="0" fontId="7" fillId="2" borderId="0" applyNumberFormat="0" applyFont="0" applyAlignment="0">
      <alignment horizontal="center" vertical="center" wrapText="1"/>
    </xf>
    <xf numFmtId="10" fontId="6" fillId="0" borderId="0" applyFont="0" applyFill="0" applyBorder="0" applyAlignment="0" applyProtection="0"/>
    <xf numFmtId="0" fontId="10" fillId="0" borderId="14" applyNumberFormat="0" applyFill="0" applyProtection="0">
      <alignment vertical="center"/>
    </xf>
    <xf numFmtId="0" fontId="11" fillId="8" borderId="0" applyFill="0" applyBorder="0" applyProtection="0">
      <alignment horizontal="left" vertical="center" wrapText="1" indent="1"/>
    </xf>
    <xf numFmtId="0" fontId="24" fillId="0" borderId="0" applyNumberFormat="0" applyFill="0" applyBorder="0" applyAlignment="0" applyProtection="0"/>
  </cellStyleXfs>
  <cellXfs count="116">
    <xf numFmtId="0" fontId="0" fillId="0" borderId="0" xfId="0"/>
    <xf numFmtId="0" fontId="4" fillId="4" borderId="0" xfId="0" applyFont="1" applyFill="1"/>
    <xf numFmtId="0" fontId="3" fillId="0" borderId="0" xfId="0" applyFont="1"/>
    <xf numFmtId="0" fontId="3" fillId="5" borderId="0" xfId="0" applyFont="1" applyFill="1"/>
    <xf numFmtId="0" fontId="5" fillId="0" borderId="0" xfId="0" applyFont="1"/>
    <xf numFmtId="0" fontId="12" fillId="0" borderId="0" xfId="14" applyFont="1" applyFill="1" applyBorder="1" applyAlignment="1">
      <alignment vertical="center" wrapText="1"/>
    </xf>
    <xf numFmtId="0" fontId="13" fillId="0" borderId="0" xfId="3" applyFont="1"/>
    <xf numFmtId="0" fontId="14" fillId="0" borderId="1" xfId="13" applyFont="1" applyBorder="1" applyAlignment="1">
      <alignment horizontal="left" vertical="center" indent="1"/>
    </xf>
    <xf numFmtId="0" fontId="15" fillId="0" borderId="1" xfId="13" applyFont="1" applyBorder="1" applyAlignment="1">
      <alignment horizontal="left" vertical="center" indent="1"/>
    </xf>
    <xf numFmtId="0" fontId="15" fillId="0" borderId="0" xfId="13" applyFont="1" applyBorder="1">
      <alignment vertical="center"/>
    </xf>
    <xf numFmtId="0" fontId="14" fillId="0" borderId="0" xfId="13" applyFont="1" applyFill="1" applyBorder="1">
      <alignment vertical="center"/>
    </xf>
    <xf numFmtId="0" fontId="15" fillId="0" borderId="0" xfId="13" applyFont="1" applyFill="1" applyBorder="1">
      <alignment vertical="center"/>
    </xf>
    <xf numFmtId="167" fontId="17" fillId="0" borderId="13" xfId="9" applyFont="1" applyFill="1" applyBorder="1" applyAlignment="1">
      <alignment horizontal="right" vertical="center" indent="1"/>
    </xf>
    <xf numFmtId="10" fontId="17" fillId="0" borderId="9" xfId="12" applyFont="1" applyFill="1" applyBorder="1" applyAlignment="1">
      <alignment horizontal="right" vertical="center" indent="1"/>
    </xf>
    <xf numFmtId="1" fontId="17" fillId="0" borderId="9" xfId="6" applyFont="1" applyFill="1" applyBorder="1" applyAlignment="1">
      <alignment horizontal="right" vertical="center" indent="1"/>
    </xf>
    <xf numFmtId="0" fontId="16" fillId="0" borderId="7" xfId="10" applyFont="1" applyBorder="1">
      <alignment vertical="center"/>
    </xf>
    <xf numFmtId="14" fontId="17" fillId="0" borderId="5" xfId="5" applyFont="1" applyFill="1" applyBorder="1" applyAlignment="1">
      <alignment horizontal="right" vertical="center" indent="1"/>
    </xf>
    <xf numFmtId="0" fontId="18" fillId="0" borderId="0" xfId="10" applyFont="1" applyBorder="1">
      <alignment vertical="center"/>
    </xf>
    <xf numFmtId="14" fontId="19" fillId="0" borderId="0" xfId="5" applyFont="1" applyFill="1" applyBorder="1" applyAlignment="1">
      <alignment horizontal="right" indent="1"/>
    </xf>
    <xf numFmtId="167" fontId="16" fillId="0" borderId="0" xfId="9" applyFont="1" applyFill="1" applyBorder="1" applyAlignment="1">
      <alignment horizontal="right" vertical="center" indent="1"/>
    </xf>
    <xf numFmtId="0" fontId="20" fillId="0" borderId="0" xfId="3" applyFont="1"/>
    <xf numFmtId="0" fontId="13" fillId="0" borderId="2" xfId="3" applyFont="1" applyBorder="1"/>
    <xf numFmtId="0" fontId="13" fillId="0" borderId="1" xfId="3" applyFont="1" applyBorder="1" applyAlignment="1">
      <alignment vertical="center"/>
    </xf>
    <xf numFmtId="1" fontId="13" fillId="0" borderId="0" xfId="6" applyFont="1" applyFill="1"/>
    <xf numFmtId="14" fontId="13" fillId="0" borderId="0" xfId="5" applyFont="1" applyFill="1"/>
    <xf numFmtId="167" fontId="13" fillId="0" borderId="0" xfId="4" applyFont="1" applyFill="1">
      <alignment horizontal="right" indent="2"/>
    </xf>
    <xf numFmtId="0" fontId="5" fillId="0" borderId="0" xfId="0" applyFont="1" applyAlignment="1">
      <alignment horizontal="center" vertical="center" wrapText="1"/>
    </xf>
    <xf numFmtId="166" fontId="4" fillId="4" borderId="0" xfId="1" applyNumberFormat="1" applyFont="1" applyFill="1"/>
    <xf numFmtId="166" fontId="3" fillId="0" borderId="0" xfId="1" applyNumberFormat="1" applyFont="1"/>
    <xf numFmtId="166" fontId="3" fillId="5" borderId="0" xfId="1" applyNumberFormat="1" applyFont="1" applyFill="1"/>
    <xf numFmtId="0" fontId="22" fillId="0" borderId="0" xfId="7" applyFont="1" applyFill="1">
      <alignment horizontal="center" vertical="center" wrapText="1"/>
    </xf>
    <xf numFmtId="166" fontId="23" fillId="3" borderId="0" xfId="1" applyNumberFormat="1" applyFont="1" applyFill="1" applyProtection="1">
      <protection locked="0"/>
    </xf>
    <xf numFmtId="0" fontId="5" fillId="0" borderId="0" xfId="0" applyFont="1" applyAlignment="1">
      <alignment horizontal="right"/>
    </xf>
    <xf numFmtId="166" fontId="5" fillId="0" borderId="0" xfId="1" applyNumberFormat="1" applyFont="1" applyProtection="1"/>
    <xf numFmtId="0" fontId="23" fillId="0" borderId="0" xfId="0" applyFont="1" applyAlignment="1">
      <alignment horizontal="right"/>
    </xf>
    <xf numFmtId="166" fontId="23" fillId="0" borderId="0" xfId="1" applyNumberFormat="1" applyFont="1" applyProtection="1"/>
    <xf numFmtId="0" fontId="25" fillId="0" borderId="0" xfId="0" applyFont="1"/>
    <xf numFmtId="0" fontId="26" fillId="0" borderId="0" xfId="15" applyFont="1" applyProtection="1"/>
    <xf numFmtId="166" fontId="0" fillId="0" borderId="0" xfId="0" applyNumberFormat="1"/>
    <xf numFmtId="166" fontId="23" fillId="0" borderId="0" xfId="0" applyNumberFormat="1" applyFont="1"/>
    <xf numFmtId="0" fontId="16" fillId="0" borderId="0" xfId="0" applyFont="1"/>
    <xf numFmtId="0" fontId="25" fillId="0" borderId="0" xfId="0" applyFont="1" applyAlignment="1">
      <alignment horizontal="center"/>
    </xf>
    <xf numFmtId="167" fontId="19" fillId="0" borderId="0" xfId="11" applyNumberFormat="1" applyFont="1" applyFill="1" applyAlignment="1">
      <alignment horizontal="right" indent="1"/>
    </xf>
    <xf numFmtId="0" fontId="16" fillId="0" borderId="0" xfId="8" applyFont="1" applyFill="1" applyBorder="1" applyAlignment="1">
      <alignment horizontal="right" vertical="center" indent="1"/>
    </xf>
    <xf numFmtId="0" fontId="21" fillId="0" borderId="0" xfId="14" applyFont="1" applyFill="1" applyBorder="1" applyAlignment="1">
      <alignment horizontal="left" vertical="center" wrapText="1"/>
    </xf>
    <xf numFmtId="0" fontId="0" fillId="0" borderId="0" xfId="0" quotePrefix="1"/>
    <xf numFmtId="166" fontId="5" fillId="0" borderId="15" xfId="0" applyNumberFormat="1" applyFont="1" applyBorder="1"/>
    <xf numFmtId="43" fontId="0" fillId="0" borderId="0" xfId="0" applyNumberFormat="1"/>
    <xf numFmtId="0" fontId="3" fillId="0" borderId="0" xfId="0" quotePrefix="1" applyFont="1"/>
    <xf numFmtId="0" fontId="25" fillId="0" borderId="16" xfId="0" applyFont="1" applyBorder="1" applyAlignment="1">
      <alignment horizontal="left"/>
    </xf>
    <xf numFmtId="0" fontId="25" fillId="0" borderId="16" xfId="0" applyFont="1" applyBorder="1"/>
    <xf numFmtId="166" fontId="3" fillId="0" borderId="16" xfId="0" applyNumberFormat="1" applyFont="1" applyBorder="1"/>
    <xf numFmtId="10" fontId="3" fillId="0" borderId="16" xfId="0" applyNumberFormat="1" applyFont="1" applyBorder="1"/>
    <xf numFmtId="166" fontId="3" fillId="0" borderId="16" xfId="1" applyNumberFormat="1" applyFont="1" applyBorder="1"/>
    <xf numFmtId="166" fontId="5" fillId="0" borderId="17" xfId="0" applyNumberFormat="1" applyFont="1" applyBorder="1"/>
    <xf numFmtId="0" fontId="5" fillId="0" borderId="17" xfId="0" applyFont="1" applyBorder="1" applyAlignment="1">
      <alignment horizontal="right"/>
    </xf>
    <xf numFmtId="0" fontId="5" fillId="0" borderId="18" xfId="0" applyFont="1" applyBorder="1" applyAlignment="1">
      <alignment horizontal="right"/>
    </xf>
    <xf numFmtId="166" fontId="5" fillId="0" borderId="18" xfId="0" applyNumberFormat="1" applyFont="1" applyBorder="1"/>
    <xf numFmtId="166" fontId="3" fillId="0" borderId="0" xfId="1" quotePrefix="1" applyNumberFormat="1" applyFont="1"/>
    <xf numFmtId="166" fontId="5" fillId="0" borderId="0" xfId="0" applyNumberFormat="1" applyFont="1"/>
    <xf numFmtId="0" fontId="25" fillId="0" borderId="19" xfId="0" applyFont="1" applyBorder="1"/>
    <xf numFmtId="0" fontId="27" fillId="0" borderId="17" xfId="0" applyFont="1" applyBorder="1" applyAlignment="1">
      <alignment horizontal="right"/>
    </xf>
    <xf numFmtId="166" fontId="27" fillId="0" borderId="17" xfId="0" applyNumberFormat="1" applyFont="1" applyBorder="1"/>
    <xf numFmtId="166" fontId="27" fillId="0" borderId="17" xfId="1" applyNumberFormat="1" applyFont="1" applyBorder="1" applyAlignment="1">
      <alignment horizontal="right"/>
    </xf>
    <xf numFmtId="166" fontId="27" fillId="0" borderId="17" xfId="1" applyNumberFormat="1" applyFont="1" applyBorder="1"/>
    <xf numFmtId="0" fontId="3" fillId="0" borderId="0" xfId="0" applyFont="1" applyAlignment="1">
      <alignment horizontal="right"/>
    </xf>
    <xf numFmtId="166" fontId="5" fillId="0" borderId="0" xfId="0" applyNumberFormat="1" applyFont="1" applyAlignment="1">
      <alignment horizontal="right"/>
    </xf>
    <xf numFmtId="166" fontId="5" fillId="0" borderId="15" xfId="0" applyNumberFormat="1" applyFont="1" applyBorder="1" applyAlignment="1">
      <alignment horizontal="right"/>
    </xf>
    <xf numFmtId="0" fontId="3" fillId="0" borderId="15" xfId="0" applyFont="1" applyBorder="1" applyAlignment="1">
      <alignment horizontal="right"/>
    </xf>
    <xf numFmtId="0" fontId="5" fillId="0" borderId="20" xfId="0" applyFont="1" applyBorder="1" applyAlignment="1">
      <alignment horizontal="right"/>
    </xf>
    <xf numFmtId="166" fontId="5" fillId="0" borderId="20" xfId="0" applyNumberFormat="1" applyFont="1" applyBorder="1" applyAlignment="1">
      <alignment horizontal="right"/>
    </xf>
    <xf numFmtId="167" fontId="17" fillId="0" borderId="0" xfId="11" applyNumberFormat="1" applyFont="1" applyFill="1" applyAlignment="1">
      <alignment horizontal="right" vertical="center" indent="1"/>
    </xf>
    <xf numFmtId="1" fontId="17" fillId="0" borderId="0" xfId="6" applyFont="1" applyFill="1" applyBorder="1" applyAlignment="1">
      <alignment horizontal="right" vertical="center" indent="1"/>
    </xf>
    <xf numFmtId="0" fontId="5" fillId="0" borderId="0" xfId="0" applyFont="1" applyAlignment="1">
      <alignment horizontal="center" wrapText="1"/>
    </xf>
    <xf numFmtId="0" fontId="25" fillId="0" borderId="22" xfId="0" applyFont="1" applyBorder="1"/>
    <xf numFmtId="10" fontId="16" fillId="0" borderId="18" xfId="2" applyNumberFormat="1" applyFont="1" applyBorder="1"/>
    <xf numFmtId="166" fontId="16" fillId="0" borderId="18" xfId="1" applyNumberFormat="1" applyFont="1" applyBorder="1"/>
    <xf numFmtId="0" fontId="16" fillId="0" borderId="19" xfId="0" applyFont="1" applyBorder="1"/>
    <xf numFmtId="166" fontId="16" fillId="0" borderId="18" xfId="0" applyNumberFormat="1" applyFont="1" applyBorder="1"/>
    <xf numFmtId="166" fontId="25" fillId="0" borderId="18" xfId="0" applyNumberFormat="1" applyFont="1" applyBorder="1"/>
    <xf numFmtId="0" fontId="25" fillId="0" borderId="24" xfId="0" applyFont="1" applyBorder="1"/>
    <xf numFmtId="166" fontId="25" fillId="0" borderId="25" xfId="0" applyNumberFormat="1" applyFont="1" applyBorder="1"/>
    <xf numFmtId="166" fontId="25" fillId="3" borderId="18" xfId="1" applyNumberFormat="1" applyFont="1" applyFill="1" applyBorder="1" applyProtection="1">
      <protection locked="0"/>
    </xf>
    <xf numFmtId="10" fontId="25" fillId="3" borderId="23" xfId="0" applyNumberFormat="1" applyFont="1" applyFill="1" applyBorder="1" applyProtection="1">
      <protection locked="0"/>
    </xf>
    <xf numFmtId="0" fontId="25" fillId="3" borderId="23" xfId="0" applyFont="1" applyFill="1" applyBorder="1" applyProtection="1">
      <protection locked="0"/>
    </xf>
    <xf numFmtId="10" fontId="25" fillId="3" borderId="18" xfId="0" applyNumberFormat="1" applyFont="1" applyFill="1" applyBorder="1" applyProtection="1">
      <protection locked="0"/>
    </xf>
    <xf numFmtId="10" fontId="25" fillId="9" borderId="18" xfId="0" applyNumberFormat="1" applyFont="1" applyFill="1" applyBorder="1" applyProtection="1">
      <protection locked="0"/>
    </xf>
    <xf numFmtId="10" fontId="25" fillId="3" borderId="23" xfId="2" applyNumberFormat="1" applyFont="1" applyFill="1" applyBorder="1" applyProtection="1">
      <protection locked="0"/>
    </xf>
    <xf numFmtId="0" fontId="28" fillId="0" borderId="0" xfId="0" applyFont="1" applyProtection="1">
      <protection locked="0"/>
    </xf>
    <xf numFmtId="0" fontId="25" fillId="0" borderId="0" xfId="0" applyFont="1" applyProtection="1">
      <protection locked="0"/>
    </xf>
    <xf numFmtId="0" fontId="29" fillId="0" borderId="0" xfId="15" applyFont="1" applyProtection="1">
      <protection locked="0"/>
    </xf>
    <xf numFmtId="166" fontId="5" fillId="3" borderId="0" xfId="1" applyNumberFormat="1" applyFont="1" applyFill="1" applyProtection="1"/>
    <xf numFmtId="10" fontId="5" fillId="3" borderId="0" xfId="2" applyNumberFormat="1" applyFont="1" applyFill="1" applyProtection="1"/>
    <xf numFmtId="165" fontId="5" fillId="3" borderId="0" xfId="0" applyNumberFormat="1" applyFont="1" applyFill="1"/>
    <xf numFmtId="164" fontId="5" fillId="3" borderId="0" xfId="0" applyNumberFormat="1" applyFont="1" applyFill="1"/>
    <xf numFmtId="0" fontId="5" fillId="0" borderId="26" xfId="0" applyFont="1" applyBorder="1" applyAlignment="1">
      <alignment horizontal="center"/>
    </xf>
    <xf numFmtId="0" fontId="27" fillId="0" borderId="0" xfId="0" applyFont="1" applyAlignment="1">
      <alignment horizontal="center"/>
    </xf>
    <xf numFmtId="0" fontId="25" fillId="0" borderId="21" xfId="0" applyFont="1" applyBorder="1" applyAlignment="1">
      <alignment horizontal="center"/>
    </xf>
    <xf numFmtId="0" fontId="25" fillId="0" borderId="17" xfId="0" applyFont="1" applyBorder="1" applyAlignment="1">
      <alignment horizontal="center"/>
    </xf>
    <xf numFmtId="0" fontId="16" fillId="0" borderId="8" xfId="10" applyFont="1" applyBorder="1" applyAlignment="1">
      <alignment horizontal="left" vertical="center" indent="1"/>
    </xf>
    <xf numFmtId="0" fontId="22" fillId="0" borderId="0" xfId="10" applyFont="1" applyBorder="1" applyAlignment="1">
      <alignment horizontal="left" vertical="center" indent="1"/>
    </xf>
    <xf numFmtId="0" fontId="16" fillId="0" borderId="5" xfId="10" applyFont="1" applyBorder="1" applyAlignment="1">
      <alignment horizontal="left" vertical="center" indent="1"/>
    </xf>
    <xf numFmtId="0" fontId="16" fillId="0" borderId="6" xfId="10" applyFont="1" applyBorder="1" applyAlignment="1">
      <alignment horizontal="left" vertical="center" indent="1"/>
    </xf>
    <xf numFmtId="167" fontId="17" fillId="0" borderId="5" xfId="11" applyNumberFormat="1" applyFont="1" applyFill="1" applyBorder="1" applyAlignment="1">
      <alignment horizontal="right" vertical="center" indent="1"/>
    </xf>
    <xf numFmtId="167" fontId="19" fillId="0" borderId="0" xfId="11" applyNumberFormat="1" applyFont="1" applyFill="1" applyAlignment="1">
      <alignment horizontal="right" indent="1"/>
    </xf>
    <xf numFmtId="0" fontId="22" fillId="0" borderId="0" xfId="8" applyFont="1" applyFill="1" applyBorder="1" applyAlignment="1">
      <alignment horizontal="left" vertical="top" indent="1"/>
    </xf>
    <xf numFmtId="0" fontId="16" fillId="0" borderId="0" xfId="8" applyFont="1" applyFill="1" applyBorder="1" applyAlignment="1">
      <alignment horizontal="right" vertical="center" indent="1"/>
    </xf>
    <xf numFmtId="0" fontId="16" fillId="0" borderId="7" xfId="10" applyFont="1" applyBorder="1" applyAlignment="1">
      <alignment horizontal="left" vertical="center" indent="1"/>
    </xf>
    <xf numFmtId="0" fontId="16" fillId="0" borderId="9" xfId="10" applyFont="1" applyBorder="1" applyAlignment="1">
      <alignment horizontal="left" vertical="center" indent="1"/>
    </xf>
    <xf numFmtId="0" fontId="16" fillId="0" borderId="10" xfId="10" applyFont="1" applyBorder="1" applyAlignment="1">
      <alignment horizontal="left" vertical="center" indent="1"/>
    </xf>
    <xf numFmtId="1" fontId="17" fillId="0" borderId="9" xfId="6" applyFont="1" applyFill="1" applyBorder="1" applyAlignment="1">
      <alignment horizontal="right" vertical="center" indent="1"/>
    </xf>
    <xf numFmtId="167" fontId="17" fillId="0" borderId="9" xfId="11" applyNumberFormat="1" applyFont="1" applyFill="1" applyBorder="1" applyAlignment="1">
      <alignment horizontal="right" vertical="center" indent="1"/>
    </xf>
    <xf numFmtId="0" fontId="16" fillId="7" borderId="13" xfId="10" applyFont="1" applyFill="1" applyBorder="1" applyAlignment="1">
      <alignment horizontal="left" vertical="center" indent="1"/>
    </xf>
    <xf numFmtId="0" fontId="16" fillId="7" borderId="12" xfId="10" applyFont="1" applyFill="1" applyBorder="1" applyAlignment="1">
      <alignment horizontal="left" vertical="center" indent="1"/>
    </xf>
    <xf numFmtId="167" fontId="17" fillId="0" borderId="11" xfId="11" applyNumberFormat="1" applyFont="1" applyFill="1" applyBorder="1" applyAlignment="1">
      <alignment horizontal="right" vertical="center" indent="1"/>
    </xf>
    <xf numFmtId="0" fontId="21" fillId="0" borderId="0" xfId="14" applyFont="1" applyFill="1" applyBorder="1" applyAlignment="1">
      <alignment horizontal="left" vertical="center" wrapText="1"/>
    </xf>
  </cellXfs>
  <cellStyles count="16">
    <cellStyle name="Amount" xfId="9" xr:uid="{87E57D69-2D2B-47C9-9451-B6D80EFE26C0}"/>
    <cellStyle name="Comma" xfId="1" builtinId="3"/>
    <cellStyle name="Date" xfId="5" xr:uid="{45FE6701-C4FD-4CB7-8761-DA76CF49E66F}"/>
    <cellStyle name="Explanatory Text 2" xfId="10" xr:uid="{5CA3826E-D0CF-46E4-A45E-BDD374CAD43B}"/>
    <cellStyle name="Heading 2 2" xfId="13" xr:uid="{D665A9A4-607D-4D88-8261-93446DC34488}"/>
    <cellStyle name="Heading 3 2" xfId="8" xr:uid="{D1507FF2-9B52-4DEB-B187-DB3F0F22E5AA}"/>
    <cellStyle name="Heading 4 Right aligned" xfId="14" xr:uid="{2580A9BA-7279-4FAC-8ED1-2EA108C7D381}"/>
    <cellStyle name="Hyperlink" xfId="15" builtinId="8"/>
    <cellStyle name="Loan Summary" xfId="11" xr:uid="{E135CBFE-C97F-435D-A317-6094AD999883}"/>
    <cellStyle name="Normal" xfId="0" builtinId="0"/>
    <cellStyle name="Normal 2" xfId="3" xr:uid="{933FC745-33DD-4D9E-B46B-750753821507}"/>
    <cellStyle name="Number" xfId="6" xr:uid="{D83E82A2-4E45-45D2-AC9F-61D4CCD26E39}"/>
    <cellStyle name="Percent" xfId="2" builtinId="5"/>
    <cellStyle name="Percent 2" xfId="12" xr:uid="{6BAFA403-42EA-4670-985A-7C3F80AEC6AF}"/>
    <cellStyle name="Style 6" xfId="7" xr:uid="{A5491350-4AF2-4391-8DC9-83742E6CA788}"/>
    <cellStyle name="Table Amount" xfId="4" xr:uid="{F860745D-FF0D-4037-8329-6B2AC99F9C21}"/>
  </cellStyles>
  <dxfs count="34">
    <dxf>
      <font>
        <strike val="0"/>
        <outline val="0"/>
        <shadow val="0"/>
        <u val="none"/>
        <vertAlign val="baseline"/>
        <name val="Garamond"/>
        <family val="1"/>
        <scheme val="none"/>
      </font>
      <numFmt numFmtId="167" formatCode="&quot;$&quot;#,##0.00"/>
      <fill>
        <patternFill patternType="none">
          <fgColor rgb="FF000000"/>
          <bgColor auto="1"/>
        </patternFill>
      </fill>
    </dxf>
    <dxf>
      <font>
        <strike val="0"/>
        <outline val="0"/>
        <shadow val="0"/>
        <u val="none"/>
        <vertAlign val="baseline"/>
        <name val="Garamond"/>
        <family val="1"/>
        <scheme val="none"/>
      </font>
      <numFmt numFmtId="167" formatCode="&quot;$&quot;#,##0.00"/>
      <fill>
        <patternFill patternType="none">
          <fgColor rgb="FF000000"/>
          <bgColor auto="1"/>
        </patternFill>
      </fill>
    </dxf>
    <dxf>
      <font>
        <strike val="0"/>
        <outline val="0"/>
        <shadow val="0"/>
        <u val="none"/>
        <vertAlign val="baseline"/>
        <name val="Garamond"/>
        <family val="1"/>
        <scheme val="none"/>
      </font>
      <numFmt numFmtId="167" formatCode="&quot;$&quot;#,##0.00"/>
      <fill>
        <patternFill patternType="none">
          <fgColor rgb="FF000000"/>
          <bgColor auto="1"/>
        </patternFill>
      </fill>
    </dxf>
    <dxf>
      <font>
        <b val="0"/>
        <i val="0"/>
        <strike val="0"/>
        <condense val="0"/>
        <extend val="0"/>
        <outline val="0"/>
        <shadow val="0"/>
        <u val="none"/>
        <vertAlign val="baseline"/>
        <sz val="11"/>
        <color auto="1"/>
        <name val="Garamond"/>
        <family val="1"/>
        <scheme val="none"/>
      </font>
      <numFmt numFmtId="167" formatCode="&quot;$&quot;#,##0.00"/>
      <fill>
        <patternFill patternType="none">
          <fgColor indexed="64"/>
          <bgColor indexed="65"/>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rgb="FF000000"/>
          <bgColor auto="1"/>
        </patternFill>
      </fill>
    </dxf>
    <dxf>
      <font>
        <strike val="0"/>
        <outline val="0"/>
        <shadow val="0"/>
        <u val="none"/>
        <vertAlign val="baseline"/>
        <sz val="14"/>
        <color rgb="FF0070C0"/>
        <name val="Garamond"/>
        <family val="1"/>
        <scheme val="none"/>
      </font>
      <fill>
        <patternFill patternType="none">
          <fgColor indexed="64"/>
          <bgColor auto="1"/>
        </patternFill>
      </fill>
      <alignment vertical="center" textRotation="0" indent="0" justifyLastLine="0" shrinkToFit="0" readingOrder="0"/>
    </dxf>
    <dxf>
      <font>
        <color theme="0"/>
      </font>
      <fill>
        <patternFill>
          <bgColor theme="0"/>
        </patternFill>
      </fill>
      <border>
        <left/>
        <right/>
        <top/>
        <bottom/>
        <vertical/>
        <horizontal/>
      </border>
    </dxf>
    <dxf>
      <font>
        <strike val="0"/>
        <outline val="0"/>
        <shadow val="0"/>
        <u val="none"/>
        <vertAlign val="baseline"/>
        <name val="Garamond"/>
        <family val="1"/>
        <scheme val="none"/>
      </font>
      <numFmt numFmtId="167" formatCode="&quot;$&quot;#,##0.00"/>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sz val="14"/>
        <color rgb="FF0070C0"/>
        <name val="Garamond"/>
        <family val="1"/>
        <scheme val="none"/>
      </font>
      <fill>
        <patternFill patternType="none">
          <fgColor indexed="64"/>
          <bgColor auto="1"/>
        </patternFill>
      </fill>
      <alignment vertical="center" textRotation="0" indent="0" justifyLastLine="0" shrinkToFit="0" readingOrder="0"/>
    </dxf>
    <dxf>
      <font>
        <color theme="0"/>
      </font>
      <fill>
        <patternFill>
          <bgColor theme="0"/>
        </patternFill>
      </fill>
      <border>
        <left/>
        <right/>
        <top/>
        <bottom/>
        <vertical/>
        <horizontal/>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4FB05086-307F-4F34-AC75-5CF4A9113233}">
      <tableStyleElement type="wholeTable" dxfId="33"/>
      <tableStyleElement type="headerRow" dxfId="32"/>
      <tableStyleElement type="totalRow"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r>
              <a:rPr lang="en-US" sz="1800" b="1">
                <a:latin typeface="Garamond" panose="02020404030301010803" pitchFamily="18" charset="0"/>
              </a:rPr>
              <a:t>Cost of Waiting</a:t>
            </a:r>
            <a:r>
              <a:rPr lang="en-US" sz="1800" b="1" baseline="0">
                <a:latin typeface="Garamond" panose="02020404030301010803" pitchFamily="18" charset="0"/>
              </a:rPr>
              <a:t> for Rates to Go Down</a:t>
            </a:r>
          </a:p>
          <a:p>
            <a:pPr>
              <a:defRPr sz="1800" b="1">
                <a:latin typeface="Garamond" panose="02020404030301010803" pitchFamily="18" charset="0"/>
              </a:defRPr>
            </a:pPr>
            <a:r>
              <a:rPr lang="en-US" sz="1800" b="1" baseline="0">
                <a:latin typeface="Garamond" panose="02020404030301010803" pitchFamily="18" charset="0"/>
              </a:rPr>
              <a:t>(if you're renting)</a:t>
            </a:r>
            <a:endParaRPr lang="en-US" sz="1800" b="1">
              <a:latin typeface="Garamond" panose="02020404030301010803" pitchFamily="18"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stacked"/>
        <c:varyColors val="0"/>
        <c:ser>
          <c:idx val="1"/>
          <c:order val="1"/>
          <c:tx>
            <c:strRef>
              <c:f>Data!$N$1</c:f>
              <c:strCache>
                <c:ptCount val="1"/>
                <c:pt idx="0">
                  <c:v>Cash Cost (rent minus 
interest rate savings)</c:v>
                </c:pt>
              </c:strCache>
            </c:strRef>
          </c:tx>
          <c:spPr>
            <a:solidFill>
              <a:srgbClr val="00B050"/>
            </a:solidFill>
            <a:ln>
              <a:solidFill>
                <a:srgbClr val="00B050"/>
              </a:solidFill>
            </a:ln>
            <a:effectLst/>
          </c:spPr>
          <c:invertIfNegative val="0"/>
          <c:cat>
            <c:strRef>
              <c:extLst>
                <c:ext xmlns:c15="http://schemas.microsoft.com/office/drawing/2012/chart" uri="{02D57815-91ED-43cb-92C2-25804820EDAC}">
                  <c15:fullRef>
                    <c15:sqref>Data!$B$2:$B$9</c15:sqref>
                  </c15:fullRef>
                </c:ext>
              </c:extLst>
              <c:f>(Data!$B$2,Data!$B$4:$B$9)</c:f>
              <c:strCache>
                <c:ptCount val="7"/>
                <c:pt idx="0">
                  <c:v>Years Waiting for
Target Rate:</c:v>
                </c:pt>
                <c:pt idx="1">
                  <c:v>0.5</c:v>
                </c:pt>
                <c:pt idx="2">
                  <c:v>1</c:v>
                </c:pt>
                <c:pt idx="3">
                  <c:v>2</c:v>
                </c:pt>
                <c:pt idx="4">
                  <c:v>3</c:v>
                </c:pt>
                <c:pt idx="5">
                  <c:v>4</c:v>
                </c:pt>
                <c:pt idx="6">
                  <c:v>5</c:v>
                </c:pt>
              </c:strCache>
            </c:strRef>
          </c:cat>
          <c:val>
            <c:numRef>
              <c:extLst>
                <c:ext xmlns:c15="http://schemas.microsoft.com/office/drawing/2012/chart" uri="{02D57815-91ED-43cb-92C2-25804820EDAC}">
                  <c15:fullRef>
                    <c15:sqref>Data!$N$2:$N$9</c15:sqref>
                  </c15:fullRef>
                </c:ext>
              </c:extLst>
              <c:f>(Data!$N$2,Data!$N$4:$N$9)</c:f>
              <c:numCache>
                <c:formatCode>_(* #,##0_);_(* \(#,##0\);_(* "-"??_);_(@_)</c:formatCode>
                <c:ptCount val="7"/>
                <c:pt idx="0" formatCode="General">
                  <c:v>0</c:v>
                </c:pt>
                <c:pt idx="1">
                  <c:v>6436.8066002674677</c:v>
                </c:pt>
                <c:pt idx="2">
                  <c:v>12873.613200534939</c:v>
                </c:pt>
                <c:pt idx="3">
                  <c:v>26377.226401069864</c:v>
                </c:pt>
                <c:pt idx="4">
                  <c:v>40532.889601604824</c:v>
                </c:pt>
                <c:pt idx="5">
                  <c:v>55363.424552139782</c:v>
                </c:pt>
                <c:pt idx="6">
                  <c:v>70892.451763924721</c:v>
                </c:pt>
              </c:numCache>
            </c:numRef>
          </c:val>
          <c:extLst>
            <c:ext xmlns:c16="http://schemas.microsoft.com/office/drawing/2014/chart" uri="{C3380CC4-5D6E-409C-BE32-E72D297353CC}">
              <c16:uniqueId val="{00000001-7F01-4838-A369-4E0DBDE54475}"/>
            </c:ext>
          </c:extLst>
        </c:ser>
        <c:ser>
          <c:idx val="2"/>
          <c:order val="2"/>
          <c:tx>
            <c:strRef>
              <c:f>Data!$O$1</c:f>
              <c:strCache>
                <c:ptCount val="1"/>
                <c:pt idx="0">
                  <c:v>Missed Equity</c:v>
                </c:pt>
              </c:strCache>
            </c:strRef>
          </c:tx>
          <c:spPr>
            <a:solidFill>
              <a:srgbClr val="0070C0"/>
            </a:solidFill>
            <a:ln>
              <a:solidFill>
                <a:srgbClr val="0070C0"/>
              </a:solidFill>
            </a:ln>
            <a:effectLst/>
          </c:spPr>
          <c:invertIfNegative val="0"/>
          <c:cat>
            <c:strRef>
              <c:extLst>
                <c:ext xmlns:c15="http://schemas.microsoft.com/office/drawing/2012/chart" uri="{02D57815-91ED-43cb-92C2-25804820EDAC}">
                  <c15:fullRef>
                    <c15:sqref>Data!$B$2:$B$9</c15:sqref>
                  </c15:fullRef>
                </c:ext>
              </c:extLst>
              <c:f>(Data!$B$2,Data!$B$4:$B$9)</c:f>
              <c:strCache>
                <c:ptCount val="7"/>
                <c:pt idx="0">
                  <c:v>Years Waiting for
Target Rate:</c:v>
                </c:pt>
                <c:pt idx="1">
                  <c:v>0.5</c:v>
                </c:pt>
                <c:pt idx="2">
                  <c:v>1</c:v>
                </c:pt>
                <c:pt idx="3">
                  <c:v>2</c:v>
                </c:pt>
                <c:pt idx="4">
                  <c:v>3</c:v>
                </c:pt>
                <c:pt idx="5">
                  <c:v>4</c:v>
                </c:pt>
                <c:pt idx="6">
                  <c:v>5</c:v>
                </c:pt>
              </c:strCache>
            </c:strRef>
          </c:cat>
          <c:val>
            <c:numRef>
              <c:extLst>
                <c:ext xmlns:c15="http://schemas.microsoft.com/office/drawing/2012/chart" uri="{02D57815-91ED-43cb-92C2-25804820EDAC}">
                  <c15:fullRef>
                    <c15:sqref>Data!$O$2:$O$9</c15:sqref>
                  </c15:fullRef>
                </c:ext>
              </c:extLst>
              <c:f>(Data!$O$2,Data!$O$4:$O$9)</c:f>
              <c:numCache>
                <c:formatCode>_(* #,##0_);_(* \(#,##0\);_(* "-"??_);_(@_)</c:formatCode>
                <c:ptCount val="7"/>
                <c:pt idx="0" formatCode="General">
                  <c:v>0</c:v>
                </c:pt>
                <c:pt idx="1">
                  <c:v>5249.9999999999418</c:v>
                </c:pt>
                <c:pt idx="2">
                  <c:v>10500</c:v>
                </c:pt>
                <c:pt idx="3">
                  <c:v>21315</c:v>
                </c:pt>
                <c:pt idx="4">
                  <c:v>32454.450000000012</c:v>
                </c:pt>
                <c:pt idx="5">
                  <c:v>43928.083500000008</c:v>
                </c:pt>
                <c:pt idx="6">
                  <c:v>55745.926005000016</c:v>
                </c:pt>
              </c:numCache>
            </c:numRef>
          </c:val>
          <c:extLst>
            <c:ext xmlns:c16="http://schemas.microsoft.com/office/drawing/2014/chart" uri="{C3380CC4-5D6E-409C-BE32-E72D297353CC}">
              <c16:uniqueId val="{00000002-7F01-4838-A369-4E0DBDE54475}"/>
            </c:ext>
          </c:extLst>
        </c:ser>
        <c:ser>
          <c:idx val="3"/>
          <c:order val="3"/>
          <c:tx>
            <c:strRef>
              <c:f>Data!$P$1</c:f>
              <c:strCache>
                <c:ptCount val="1"/>
                <c:pt idx="0">
                  <c:v>Total Cost</c:v>
                </c:pt>
              </c:strCache>
            </c:strRef>
          </c:tx>
          <c:spPr>
            <a:solidFill>
              <a:srgbClr val="FF0000"/>
            </a:solidFill>
            <a:ln>
              <a:solidFill>
                <a:srgbClr val="FF0000"/>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CBD-4B66-B0B3-43459B98FBD3}"/>
                </c:ext>
              </c:extLst>
            </c:dLbl>
            <c:dLbl>
              <c:idx val="1"/>
              <c:layout>
                <c:manualLayout>
                  <c:x val="0"/>
                  <c:y val="-6.22399648777100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B4-47EF-89B5-7FB2959353CC}"/>
                </c:ext>
              </c:extLst>
            </c:dLbl>
            <c:dLbl>
              <c:idx val="2"/>
              <c:layout>
                <c:manualLayout>
                  <c:x val="-1.5595706244189219E-3"/>
                  <c:y val="-5.70533011379009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B4-47EF-89B5-7FB2959353CC}"/>
                </c:ext>
              </c:extLst>
            </c:dLbl>
            <c:dLbl>
              <c:idx val="3"/>
              <c:layout>
                <c:manualLayout>
                  <c:x val="-1.1436719127783462E-16"/>
                  <c:y val="-8.8173283576755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B4-47EF-89B5-7FB2959353CC}"/>
                </c:ext>
              </c:extLst>
            </c:dLbl>
            <c:dLbl>
              <c:idx val="4"/>
              <c:layout>
                <c:manualLayout>
                  <c:x val="0"/>
                  <c:y val="-0.124479929755420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B4-47EF-89B5-7FB2959353CC}"/>
                </c:ext>
              </c:extLst>
            </c:dLbl>
            <c:dLbl>
              <c:idx val="5"/>
              <c:layout>
                <c:manualLayout>
                  <c:x val="-1.1436719127783462E-16"/>
                  <c:y val="-0.150413248454466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B4-47EF-89B5-7FB2959353CC}"/>
                </c:ext>
              </c:extLst>
            </c:dLbl>
            <c:dLbl>
              <c:idx val="6"/>
              <c:layout>
                <c:manualLayout>
                  <c:x val="0"/>
                  <c:y val="-0.181533230893321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B4-47EF-89B5-7FB2959353CC}"/>
                </c:ext>
              </c:extLst>
            </c:dLbl>
            <c:spPr>
              <a:solidFill>
                <a:schemeClr val="bg1"/>
              </a:solidFill>
              <a:ln cap="rnd">
                <a:solidFill>
                  <a:schemeClr val="tx1"/>
                </a:solidFill>
              </a:ln>
              <a:effectLst/>
            </c:spPr>
            <c:txPr>
              <a:bodyPr rot="0" spcFirstLastPara="1" vertOverflow="clip" horzOverflow="clip" vert="horz" wrap="square" lIns="38100" tIns="19050" rIns="38100" bIns="19050" anchor="t" anchorCtr="0">
                <a:spAutoFit/>
              </a:bodyPr>
              <a:lstStyle/>
              <a:p>
                <a:pPr>
                  <a:defRPr sz="11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Data!$B$2:$B$9</c15:sqref>
                  </c15:fullRef>
                </c:ext>
              </c:extLst>
              <c:f>(Data!$B$2,Data!$B$4:$B$9)</c:f>
              <c:strCache>
                <c:ptCount val="7"/>
                <c:pt idx="0">
                  <c:v>Years Waiting for
Target Rate:</c:v>
                </c:pt>
                <c:pt idx="1">
                  <c:v>0.5</c:v>
                </c:pt>
                <c:pt idx="2">
                  <c:v>1</c:v>
                </c:pt>
                <c:pt idx="3">
                  <c:v>2</c:v>
                </c:pt>
                <c:pt idx="4">
                  <c:v>3</c:v>
                </c:pt>
                <c:pt idx="5">
                  <c:v>4</c:v>
                </c:pt>
                <c:pt idx="6">
                  <c:v>5</c:v>
                </c:pt>
              </c:strCache>
            </c:strRef>
          </c:cat>
          <c:val>
            <c:numRef>
              <c:extLst>
                <c:ext xmlns:c15="http://schemas.microsoft.com/office/drawing/2012/chart" uri="{02D57815-91ED-43cb-92C2-25804820EDAC}">
                  <c15:fullRef>
                    <c15:sqref>Data!$P$2:$P$9</c15:sqref>
                  </c15:fullRef>
                </c:ext>
              </c:extLst>
              <c:f>(Data!$P$2,Data!$P$4:$P$9)</c:f>
              <c:numCache>
                <c:formatCode>_(* #,##0_);_(* \(#,##0\);_(* "-"??_);_(@_)</c:formatCode>
                <c:ptCount val="7"/>
                <c:pt idx="0" formatCode="General">
                  <c:v>0</c:v>
                </c:pt>
                <c:pt idx="1">
                  <c:v>11686.80660026741</c:v>
                </c:pt>
                <c:pt idx="2">
                  <c:v>23373.613200534939</c:v>
                </c:pt>
                <c:pt idx="3">
                  <c:v>47692.226401069864</c:v>
                </c:pt>
                <c:pt idx="4">
                  <c:v>72987.339601604835</c:v>
                </c:pt>
                <c:pt idx="5">
                  <c:v>99291.50805213979</c:v>
                </c:pt>
                <c:pt idx="6">
                  <c:v>126638.37776892474</c:v>
                </c:pt>
              </c:numCache>
            </c:numRef>
          </c:val>
          <c:extLst>
            <c:ext xmlns:c16="http://schemas.microsoft.com/office/drawing/2014/chart" uri="{C3380CC4-5D6E-409C-BE32-E72D297353CC}">
              <c16:uniqueId val="{00000003-7F01-4838-A369-4E0DBDE54475}"/>
            </c:ext>
          </c:extLst>
        </c:ser>
        <c:dLbls>
          <c:showLegendKey val="0"/>
          <c:showVal val="0"/>
          <c:showCatName val="0"/>
          <c:showSerName val="0"/>
          <c:showPercent val="0"/>
          <c:showBubbleSize val="0"/>
        </c:dLbls>
        <c:gapWidth val="219"/>
        <c:overlap val="100"/>
        <c:axId val="422654728"/>
        <c:axId val="956321040"/>
        <c:extLst>
          <c:ext xmlns:c15="http://schemas.microsoft.com/office/drawing/2012/chart" uri="{02D57815-91ED-43cb-92C2-25804820EDAC}">
            <c15:filteredBarSeries>
              <c15:ser>
                <c:idx val="0"/>
                <c:order val="0"/>
                <c:tx>
                  <c:strRef>
                    <c:extLst>
                      <c:ext uri="{02D57815-91ED-43cb-92C2-25804820EDAC}">
                        <c15:formulaRef>
                          <c15:sqref>Data!$M$1</c15:sqref>
                        </c15:formulaRef>
                      </c:ext>
                    </c:extLst>
                    <c:strCache>
                      <c:ptCount val="1"/>
                      <c:pt idx="0">
                        <c:v>P&amp;I Hi vs Lo</c:v>
                      </c:pt>
                    </c:strCache>
                  </c:strRef>
                </c:tx>
                <c:spPr>
                  <a:solidFill>
                    <a:srgbClr val="92D050"/>
                  </a:solidFill>
                  <a:ln>
                    <a:solidFill>
                      <a:srgbClr val="92D050"/>
                    </a:solidFill>
                  </a:ln>
                  <a:effectLst/>
                </c:spPr>
                <c:invertIfNegative val="0"/>
                <c:cat>
                  <c:strRef>
                    <c:extLst>
                      <c:ext uri="{02D57815-91ED-43cb-92C2-25804820EDAC}">
                        <c15:fullRef>
                          <c15:sqref>Data!$B$2:$B$9</c15:sqref>
                        </c15:fullRef>
                        <c15:formulaRef>
                          <c15:sqref>(Data!$B$2,Data!$B$4:$B$9)</c15:sqref>
                        </c15:formulaRef>
                      </c:ext>
                    </c:extLst>
                    <c:strCache>
                      <c:ptCount val="7"/>
                      <c:pt idx="0">
                        <c:v>Years Waiting for
Target Rate:</c:v>
                      </c:pt>
                      <c:pt idx="1">
                        <c:v>0.5</c:v>
                      </c:pt>
                      <c:pt idx="2">
                        <c:v>1</c:v>
                      </c:pt>
                      <c:pt idx="3">
                        <c:v>2</c:v>
                      </c:pt>
                      <c:pt idx="4">
                        <c:v>3</c:v>
                      </c:pt>
                      <c:pt idx="5">
                        <c:v>4</c:v>
                      </c:pt>
                      <c:pt idx="6">
                        <c:v>5</c:v>
                      </c:pt>
                    </c:strCache>
                  </c:strRef>
                </c:cat>
                <c:val>
                  <c:numRef>
                    <c:extLst>
                      <c:ext uri="{02D57815-91ED-43cb-92C2-25804820EDAC}">
                        <c15:fullRef>
                          <c15:sqref>Data!$M$2:$M$9</c15:sqref>
                        </c15:fullRef>
                        <c15:formulaRef>
                          <c15:sqref>(Data!$M$2,Data!$M$4:$M$9)</c15:sqref>
                        </c15:formulaRef>
                      </c:ext>
                    </c:extLst>
                    <c:numCache>
                      <c:formatCode>_(* #,##0_);_(* \(#,##0\);_(* "-"??_);_(@_)</c:formatCode>
                      <c:ptCount val="7"/>
                      <c:pt idx="0" formatCode="General">
                        <c:v>0</c:v>
                      </c:pt>
                      <c:pt idx="1">
                        <c:v>2563.1933997325323</c:v>
                      </c:pt>
                      <c:pt idx="2">
                        <c:v>5126.3867994650609</c:v>
                      </c:pt>
                      <c:pt idx="3">
                        <c:v>10252.773598930136</c:v>
                      </c:pt>
                      <c:pt idx="4">
                        <c:v>15379.160398395179</c:v>
                      </c:pt>
                      <c:pt idx="5">
                        <c:v>20505.547197860215</c:v>
                      </c:pt>
                      <c:pt idx="6">
                        <c:v>25631.933997325264</c:v>
                      </c:pt>
                    </c:numCache>
                  </c:numRef>
                </c:val>
                <c:extLst>
                  <c:ext xmlns:c16="http://schemas.microsoft.com/office/drawing/2014/chart" uri="{C3380CC4-5D6E-409C-BE32-E72D297353CC}">
                    <c16:uniqueId val="{00000000-7F01-4838-A369-4E0DBDE54475}"/>
                  </c:ext>
                </c:extLst>
              </c15:ser>
            </c15:filteredBarSeries>
          </c:ext>
        </c:extLst>
      </c:barChart>
      <c:catAx>
        <c:axId val="42265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956321040"/>
        <c:crosses val="autoZero"/>
        <c:auto val="1"/>
        <c:lblAlgn val="ctr"/>
        <c:lblOffset val="100"/>
        <c:noMultiLvlLbl val="0"/>
      </c:catAx>
      <c:valAx>
        <c:axId val="9563210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422654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r>
              <a:rPr lang="en-US" sz="1800" b="1">
                <a:latin typeface="Garamond" panose="02020404030301010803" pitchFamily="18" charset="0"/>
              </a:rPr>
              <a:t>Cost of Waiting</a:t>
            </a:r>
            <a:r>
              <a:rPr lang="en-US" sz="1800" b="1" baseline="0">
                <a:latin typeface="Garamond" panose="02020404030301010803" pitchFamily="18" charset="0"/>
              </a:rPr>
              <a:t> for Rates to Go Down</a:t>
            </a:r>
          </a:p>
          <a:p>
            <a:pPr>
              <a:defRPr sz="1800" b="1">
                <a:latin typeface="Garamond" panose="02020404030301010803" pitchFamily="18" charset="0"/>
              </a:defRPr>
            </a:pPr>
            <a:r>
              <a:rPr lang="en-US" sz="1800" b="1" baseline="0">
                <a:latin typeface="Garamond" panose="02020404030301010803" pitchFamily="18" charset="0"/>
              </a:rPr>
              <a:t>(if you're renting)</a:t>
            </a:r>
            <a:endParaRPr lang="en-US" sz="1800" b="1">
              <a:latin typeface="Garamond" panose="02020404030301010803" pitchFamily="18"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areaChart>
        <c:grouping val="stacked"/>
        <c:varyColors val="0"/>
        <c:ser>
          <c:idx val="1"/>
          <c:order val="1"/>
          <c:tx>
            <c:strRef>
              <c:f>Data!$N$1</c:f>
              <c:strCache>
                <c:ptCount val="1"/>
                <c:pt idx="0">
                  <c:v>Cash Cost (rent minus 
interest rate savings)</c:v>
                </c:pt>
              </c:strCache>
            </c:strRef>
          </c:tx>
          <c:spPr>
            <a:solidFill>
              <a:srgbClr val="00B050"/>
            </a:solidFill>
            <a:ln>
              <a:solidFill>
                <a:srgbClr val="00B050"/>
              </a:solidFill>
            </a:ln>
            <a:effectLst/>
          </c:spPr>
          <c:cat>
            <c:strRef>
              <c:extLst>
                <c:ext xmlns:c15="http://schemas.microsoft.com/office/drawing/2012/chart" uri="{02D57815-91ED-43cb-92C2-25804820EDAC}">
                  <c15:fullRef>
                    <c15:sqref>Data!$B$2:$B$9</c15:sqref>
                  </c15:fullRef>
                </c:ext>
              </c:extLst>
              <c:f>(Data!$B$2,Data!$B$4:$B$9)</c:f>
              <c:strCache>
                <c:ptCount val="7"/>
                <c:pt idx="0">
                  <c:v>Years Waiting for
Target Rate:</c:v>
                </c:pt>
                <c:pt idx="1">
                  <c:v>0.5</c:v>
                </c:pt>
                <c:pt idx="2">
                  <c:v>1</c:v>
                </c:pt>
                <c:pt idx="3">
                  <c:v>2</c:v>
                </c:pt>
                <c:pt idx="4">
                  <c:v>3</c:v>
                </c:pt>
                <c:pt idx="5">
                  <c:v>4</c:v>
                </c:pt>
                <c:pt idx="6">
                  <c:v>5</c:v>
                </c:pt>
              </c:strCache>
            </c:strRef>
          </c:cat>
          <c:val>
            <c:numRef>
              <c:extLst>
                <c:ext xmlns:c15="http://schemas.microsoft.com/office/drawing/2012/chart" uri="{02D57815-91ED-43cb-92C2-25804820EDAC}">
                  <c15:fullRef>
                    <c15:sqref>Data!$N$2:$N$9</c15:sqref>
                  </c15:fullRef>
                </c:ext>
              </c:extLst>
              <c:f>(Data!$N$2,Data!$N$4:$N$9)</c:f>
              <c:numCache>
                <c:formatCode>_(* #,##0_);_(* \(#,##0\);_(* "-"??_);_(@_)</c:formatCode>
                <c:ptCount val="7"/>
                <c:pt idx="0" formatCode="General">
                  <c:v>0</c:v>
                </c:pt>
                <c:pt idx="1">
                  <c:v>6436.8066002674677</c:v>
                </c:pt>
                <c:pt idx="2">
                  <c:v>12873.613200534939</c:v>
                </c:pt>
                <c:pt idx="3">
                  <c:v>26377.226401069864</c:v>
                </c:pt>
                <c:pt idx="4">
                  <c:v>40532.889601604824</c:v>
                </c:pt>
                <c:pt idx="5">
                  <c:v>55363.424552139782</c:v>
                </c:pt>
                <c:pt idx="6">
                  <c:v>70892.451763924721</c:v>
                </c:pt>
              </c:numCache>
            </c:numRef>
          </c:val>
          <c:extLst>
            <c:ext xmlns:c16="http://schemas.microsoft.com/office/drawing/2014/chart" uri="{C3380CC4-5D6E-409C-BE32-E72D297353CC}">
              <c16:uniqueId val="{00000000-2164-4AC2-932D-D52DEC27B1F6}"/>
            </c:ext>
          </c:extLst>
        </c:ser>
        <c:ser>
          <c:idx val="2"/>
          <c:order val="2"/>
          <c:tx>
            <c:strRef>
              <c:f>Data!$O$1</c:f>
              <c:strCache>
                <c:ptCount val="1"/>
                <c:pt idx="0">
                  <c:v>Missed Equity</c:v>
                </c:pt>
              </c:strCache>
            </c:strRef>
          </c:tx>
          <c:spPr>
            <a:solidFill>
              <a:srgbClr val="0070C0"/>
            </a:solidFill>
            <a:ln>
              <a:solidFill>
                <a:srgbClr val="0070C0"/>
              </a:solidFill>
            </a:ln>
            <a:effectLst/>
          </c:spPr>
          <c:cat>
            <c:strRef>
              <c:extLst>
                <c:ext xmlns:c15="http://schemas.microsoft.com/office/drawing/2012/chart" uri="{02D57815-91ED-43cb-92C2-25804820EDAC}">
                  <c15:fullRef>
                    <c15:sqref>Data!$B$2:$B$9</c15:sqref>
                  </c15:fullRef>
                </c:ext>
              </c:extLst>
              <c:f>(Data!$B$2,Data!$B$4:$B$9)</c:f>
              <c:strCache>
                <c:ptCount val="7"/>
                <c:pt idx="0">
                  <c:v>Years Waiting for
Target Rate:</c:v>
                </c:pt>
                <c:pt idx="1">
                  <c:v>0.5</c:v>
                </c:pt>
                <c:pt idx="2">
                  <c:v>1</c:v>
                </c:pt>
                <c:pt idx="3">
                  <c:v>2</c:v>
                </c:pt>
                <c:pt idx="4">
                  <c:v>3</c:v>
                </c:pt>
                <c:pt idx="5">
                  <c:v>4</c:v>
                </c:pt>
                <c:pt idx="6">
                  <c:v>5</c:v>
                </c:pt>
              </c:strCache>
            </c:strRef>
          </c:cat>
          <c:val>
            <c:numRef>
              <c:extLst>
                <c:ext xmlns:c15="http://schemas.microsoft.com/office/drawing/2012/chart" uri="{02D57815-91ED-43cb-92C2-25804820EDAC}">
                  <c15:fullRef>
                    <c15:sqref>Data!$O$2:$O$9</c15:sqref>
                  </c15:fullRef>
                </c:ext>
              </c:extLst>
              <c:f>(Data!$O$2,Data!$O$4:$O$9)</c:f>
              <c:numCache>
                <c:formatCode>_(* #,##0_);_(* \(#,##0\);_(* "-"??_);_(@_)</c:formatCode>
                <c:ptCount val="7"/>
                <c:pt idx="0" formatCode="General">
                  <c:v>0</c:v>
                </c:pt>
                <c:pt idx="1">
                  <c:v>5249.9999999999418</c:v>
                </c:pt>
                <c:pt idx="2">
                  <c:v>10500</c:v>
                </c:pt>
                <c:pt idx="3">
                  <c:v>21315</c:v>
                </c:pt>
                <c:pt idx="4">
                  <c:v>32454.450000000012</c:v>
                </c:pt>
                <c:pt idx="5">
                  <c:v>43928.083500000008</c:v>
                </c:pt>
                <c:pt idx="6">
                  <c:v>55745.926005000016</c:v>
                </c:pt>
              </c:numCache>
            </c:numRef>
          </c:val>
          <c:extLst>
            <c:ext xmlns:c16="http://schemas.microsoft.com/office/drawing/2014/chart" uri="{C3380CC4-5D6E-409C-BE32-E72D297353CC}">
              <c16:uniqueId val="{00000001-2164-4AC2-932D-D52DEC27B1F6}"/>
            </c:ext>
          </c:extLst>
        </c:ser>
        <c:ser>
          <c:idx val="3"/>
          <c:order val="3"/>
          <c:tx>
            <c:strRef>
              <c:f>Data!$P$1</c:f>
              <c:strCache>
                <c:ptCount val="1"/>
                <c:pt idx="0">
                  <c:v>Total Cost</c:v>
                </c:pt>
              </c:strCache>
            </c:strRef>
          </c:tx>
          <c:spPr>
            <a:solidFill>
              <a:srgbClr val="FF0000"/>
            </a:solidFill>
            <a:ln>
              <a:solidFill>
                <a:srgbClr val="FF0000"/>
              </a:solidFill>
            </a:ln>
            <a:effectLst/>
          </c:spPr>
          <c:cat>
            <c:strRef>
              <c:extLst>
                <c:ext xmlns:c15="http://schemas.microsoft.com/office/drawing/2012/chart" uri="{02D57815-91ED-43cb-92C2-25804820EDAC}">
                  <c15:fullRef>
                    <c15:sqref>Data!$B$2:$B$9</c15:sqref>
                  </c15:fullRef>
                </c:ext>
              </c:extLst>
              <c:f>(Data!$B$2,Data!$B$4:$B$9)</c:f>
              <c:strCache>
                <c:ptCount val="7"/>
                <c:pt idx="0">
                  <c:v>Years Waiting for
Target Rate:</c:v>
                </c:pt>
                <c:pt idx="1">
                  <c:v>0.5</c:v>
                </c:pt>
                <c:pt idx="2">
                  <c:v>1</c:v>
                </c:pt>
                <c:pt idx="3">
                  <c:v>2</c:v>
                </c:pt>
                <c:pt idx="4">
                  <c:v>3</c:v>
                </c:pt>
                <c:pt idx="5">
                  <c:v>4</c:v>
                </c:pt>
                <c:pt idx="6">
                  <c:v>5</c:v>
                </c:pt>
              </c:strCache>
            </c:strRef>
          </c:cat>
          <c:val>
            <c:numRef>
              <c:extLst>
                <c:ext xmlns:c15="http://schemas.microsoft.com/office/drawing/2012/chart" uri="{02D57815-91ED-43cb-92C2-25804820EDAC}">
                  <c15:fullRef>
                    <c15:sqref>Data!$P$2:$P$9</c15:sqref>
                  </c15:fullRef>
                </c:ext>
              </c:extLst>
              <c:f>(Data!$P$2,Data!$P$4:$P$9)</c:f>
              <c:numCache>
                <c:formatCode>_(* #,##0_);_(* \(#,##0\);_(* "-"??_);_(@_)</c:formatCode>
                <c:ptCount val="7"/>
                <c:pt idx="0" formatCode="General">
                  <c:v>0</c:v>
                </c:pt>
                <c:pt idx="1">
                  <c:v>11686.80660026741</c:v>
                </c:pt>
                <c:pt idx="2">
                  <c:v>23373.613200534939</c:v>
                </c:pt>
                <c:pt idx="3">
                  <c:v>47692.226401069864</c:v>
                </c:pt>
                <c:pt idx="4">
                  <c:v>72987.339601604835</c:v>
                </c:pt>
                <c:pt idx="5">
                  <c:v>99291.50805213979</c:v>
                </c:pt>
                <c:pt idx="6">
                  <c:v>126638.37776892474</c:v>
                </c:pt>
              </c:numCache>
            </c:numRef>
          </c:val>
          <c:extLst>
            <c:ext xmlns:c16="http://schemas.microsoft.com/office/drawing/2014/chart" uri="{C3380CC4-5D6E-409C-BE32-E72D297353CC}">
              <c16:uniqueId val="{00000002-2164-4AC2-932D-D52DEC27B1F6}"/>
            </c:ext>
          </c:extLst>
        </c:ser>
        <c:dLbls>
          <c:showLegendKey val="0"/>
          <c:showVal val="0"/>
          <c:showCatName val="0"/>
          <c:showSerName val="0"/>
          <c:showPercent val="0"/>
          <c:showBubbleSize val="0"/>
        </c:dLbls>
        <c:axId val="422654728"/>
        <c:axId val="956321040"/>
        <c:extLst>
          <c:ext xmlns:c15="http://schemas.microsoft.com/office/drawing/2012/chart" uri="{02D57815-91ED-43cb-92C2-25804820EDAC}">
            <c15:filteredAreaSeries>
              <c15:ser>
                <c:idx val="0"/>
                <c:order val="0"/>
                <c:tx>
                  <c:strRef>
                    <c:extLst>
                      <c:ext uri="{02D57815-91ED-43cb-92C2-25804820EDAC}">
                        <c15:formulaRef>
                          <c15:sqref>Data!$M$1</c15:sqref>
                        </c15:formulaRef>
                      </c:ext>
                    </c:extLst>
                    <c:strCache>
                      <c:ptCount val="1"/>
                      <c:pt idx="0">
                        <c:v>P&amp;I Hi vs Lo</c:v>
                      </c:pt>
                    </c:strCache>
                  </c:strRef>
                </c:tx>
                <c:spPr>
                  <a:solidFill>
                    <a:srgbClr val="92D050"/>
                  </a:solidFill>
                  <a:ln>
                    <a:solidFill>
                      <a:srgbClr val="92D050"/>
                    </a:solidFill>
                  </a:ln>
                  <a:effectLst/>
                </c:spPr>
                <c:cat>
                  <c:strRef>
                    <c:extLst>
                      <c:ext uri="{02D57815-91ED-43cb-92C2-25804820EDAC}">
                        <c15:fullRef>
                          <c15:sqref>Data!$B$2:$B$9</c15:sqref>
                        </c15:fullRef>
                        <c15:formulaRef>
                          <c15:sqref>(Data!$B$2,Data!$B$4:$B$9)</c15:sqref>
                        </c15:formulaRef>
                      </c:ext>
                    </c:extLst>
                    <c:strCache>
                      <c:ptCount val="7"/>
                      <c:pt idx="0">
                        <c:v>Years Waiting for
Target Rate:</c:v>
                      </c:pt>
                      <c:pt idx="1">
                        <c:v>0.5</c:v>
                      </c:pt>
                      <c:pt idx="2">
                        <c:v>1</c:v>
                      </c:pt>
                      <c:pt idx="3">
                        <c:v>2</c:v>
                      </c:pt>
                      <c:pt idx="4">
                        <c:v>3</c:v>
                      </c:pt>
                      <c:pt idx="5">
                        <c:v>4</c:v>
                      </c:pt>
                      <c:pt idx="6">
                        <c:v>5</c:v>
                      </c:pt>
                    </c:strCache>
                  </c:strRef>
                </c:cat>
                <c:val>
                  <c:numRef>
                    <c:extLst>
                      <c:ext uri="{02D57815-91ED-43cb-92C2-25804820EDAC}">
                        <c15:fullRef>
                          <c15:sqref>Data!$M$2:$M$9</c15:sqref>
                        </c15:fullRef>
                        <c15:formulaRef>
                          <c15:sqref>(Data!$M$2,Data!$M$4:$M$9)</c15:sqref>
                        </c15:formulaRef>
                      </c:ext>
                    </c:extLst>
                    <c:numCache>
                      <c:formatCode>_(* #,##0_);_(* \(#,##0\);_(* "-"??_);_(@_)</c:formatCode>
                      <c:ptCount val="7"/>
                      <c:pt idx="0" formatCode="General">
                        <c:v>0</c:v>
                      </c:pt>
                      <c:pt idx="1">
                        <c:v>2563.1933997325323</c:v>
                      </c:pt>
                      <c:pt idx="2">
                        <c:v>5126.3867994650609</c:v>
                      </c:pt>
                      <c:pt idx="3">
                        <c:v>10252.773598930136</c:v>
                      </c:pt>
                      <c:pt idx="4">
                        <c:v>15379.160398395179</c:v>
                      </c:pt>
                      <c:pt idx="5">
                        <c:v>20505.547197860215</c:v>
                      </c:pt>
                      <c:pt idx="6">
                        <c:v>25631.933997325264</c:v>
                      </c:pt>
                    </c:numCache>
                  </c:numRef>
                </c:val>
                <c:extLst>
                  <c:ext xmlns:c16="http://schemas.microsoft.com/office/drawing/2014/chart" uri="{C3380CC4-5D6E-409C-BE32-E72D297353CC}">
                    <c16:uniqueId val="{00000003-2164-4AC2-932D-D52DEC27B1F6}"/>
                  </c:ext>
                </c:extLst>
              </c15:ser>
            </c15:filteredAreaSeries>
          </c:ext>
        </c:extLst>
      </c:areaChart>
      <c:catAx>
        <c:axId val="42265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956321040"/>
        <c:crosses val="autoZero"/>
        <c:auto val="1"/>
        <c:lblAlgn val="ctr"/>
        <c:lblOffset val="100"/>
        <c:noMultiLvlLbl val="0"/>
      </c:catAx>
      <c:valAx>
        <c:axId val="9563210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4226547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r>
              <a:rPr lang="en-US" b="1">
                <a:latin typeface="Garamond" panose="02020404030301010803" pitchFamily="18" charset="0"/>
              </a:rPr>
              <a:t>Home</a:t>
            </a:r>
            <a:r>
              <a:rPr lang="en-US" b="1" baseline="0">
                <a:latin typeface="Garamond" panose="02020404030301010803" pitchFamily="18" charset="0"/>
              </a:rPr>
              <a:t> </a:t>
            </a:r>
            <a:r>
              <a:rPr lang="en-US" b="1">
                <a:latin typeface="Garamond" panose="02020404030301010803" pitchFamily="18" charset="0"/>
              </a:rPr>
              <a:t>Equity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strRef>
              <c:f>Data!$B$2</c:f>
              <c:strCache>
                <c:ptCount val="1"/>
                <c:pt idx="0">
                  <c:v>Years Waiting for
Target Rate:</c:v>
                </c:pt>
              </c:strCache>
            </c:strRef>
          </c:tx>
          <c:spPr>
            <a:solidFill>
              <a:schemeClr val="accent1"/>
            </a:solidFill>
            <a:ln>
              <a:noFill/>
            </a:ln>
            <a:effectLst/>
          </c:spPr>
          <c:invertIfNegative val="0"/>
          <c:val>
            <c:numRef>
              <c:f>Data!$B$5:$B$39</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val>
          <c:extLst>
            <c:ext xmlns:c16="http://schemas.microsoft.com/office/drawing/2014/chart" uri="{C3380CC4-5D6E-409C-BE32-E72D297353CC}">
              <c16:uniqueId val="{00000000-A749-4BFD-AF12-40DBC960F841}"/>
            </c:ext>
          </c:extLst>
        </c:ser>
        <c:ser>
          <c:idx val="1"/>
          <c:order val="1"/>
          <c:tx>
            <c:strRef>
              <c:f>Data!$F$2</c:f>
              <c:strCache>
                <c:ptCount val="1"/>
                <c:pt idx="0">
                  <c:v>Owner's Equity</c:v>
                </c:pt>
              </c:strCache>
            </c:strRef>
          </c:tx>
          <c:spPr>
            <a:solidFill>
              <a:srgbClr val="0070C0"/>
            </a:solidFill>
            <a:ln w="76200">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A749-4BFD-AF12-40DBC960F841}"/>
                </c:ext>
              </c:extLst>
            </c:dLbl>
            <c:dLbl>
              <c:idx val="1"/>
              <c:delete val="1"/>
              <c:extLst>
                <c:ext xmlns:c15="http://schemas.microsoft.com/office/drawing/2012/chart" uri="{CE6537A1-D6FC-4f65-9D91-7224C49458BB}"/>
                <c:ext xmlns:c16="http://schemas.microsoft.com/office/drawing/2014/chart" uri="{C3380CC4-5D6E-409C-BE32-E72D297353CC}">
                  <c16:uniqueId val="{00000025-A749-4BFD-AF12-40DBC960F841}"/>
                </c:ext>
              </c:extLst>
            </c:dLbl>
            <c:dLbl>
              <c:idx val="2"/>
              <c:delete val="1"/>
              <c:extLst>
                <c:ext xmlns:c15="http://schemas.microsoft.com/office/drawing/2012/chart" uri="{CE6537A1-D6FC-4f65-9D91-7224C49458BB}"/>
                <c:ext xmlns:c16="http://schemas.microsoft.com/office/drawing/2014/chart" uri="{C3380CC4-5D6E-409C-BE32-E72D297353CC}">
                  <c16:uniqueId val="{00000026-A749-4BFD-AF12-40DBC960F841}"/>
                </c:ext>
              </c:extLst>
            </c:dLbl>
            <c:dLbl>
              <c:idx val="3"/>
              <c:delete val="1"/>
              <c:extLst>
                <c:ext xmlns:c15="http://schemas.microsoft.com/office/drawing/2012/chart" uri="{CE6537A1-D6FC-4f65-9D91-7224C49458BB}"/>
                <c:ext xmlns:c16="http://schemas.microsoft.com/office/drawing/2014/chart" uri="{C3380CC4-5D6E-409C-BE32-E72D297353CC}">
                  <c16:uniqueId val="{00000027-A749-4BFD-AF12-40DBC960F841}"/>
                </c:ext>
              </c:extLst>
            </c:dLbl>
            <c:dLbl>
              <c:idx val="5"/>
              <c:delete val="1"/>
              <c:extLst>
                <c:ext xmlns:c15="http://schemas.microsoft.com/office/drawing/2012/chart" uri="{CE6537A1-D6FC-4f65-9D91-7224C49458BB}"/>
                <c:ext xmlns:c16="http://schemas.microsoft.com/office/drawing/2014/chart" uri="{C3380CC4-5D6E-409C-BE32-E72D297353CC}">
                  <c16:uniqueId val="{00000028-A749-4BFD-AF12-40DBC960F841}"/>
                </c:ext>
              </c:extLst>
            </c:dLbl>
            <c:dLbl>
              <c:idx val="6"/>
              <c:delete val="1"/>
              <c:extLst>
                <c:ext xmlns:c15="http://schemas.microsoft.com/office/drawing/2012/chart" uri="{CE6537A1-D6FC-4f65-9D91-7224C49458BB}"/>
                <c:ext xmlns:c16="http://schemas.microsoft.com/office/drawing/2014/chart" uri="{C3380CC4-5D6E-409C-BE32-E72D297353CC}">
                  <c16:uniqueId val="{00000029-A749-4BFD-AF12-40DBC960F841}"/>
                </c:ext>
              </c:extLst>
            </c:dLbl>
            <c:dLbl>
              <c:idx val="7"/>
              <c:delete val="1"/>
              <c:extLst>
                <c:ext xmlns:c15="http://schemas.microsoft.com/office/drawing/2012/chart" uri="{CE6537A1-D6FC-4f65-9D91-7224C49458BB}"/>
                <c:ext xmlns:c16="http://schemas.microsoft.com/office/drawing/2014/chart" uri="{C3380CC4-5D6E-409C-BE32-E72D297353CC}">
                  <c16:uniqueId val="{0000002A-A749-4BFD-AF12-40DBC960F841}"/>
                </c:ext>
              </c:extLst>
            </c:dLbl>
            <c:dLbl>
              <c:idx val="8"/>
              <c:delete val="1"/>
              <c:extLst>
                <c:ext xmlns:c15="http://schemas.microsoft.com/office/drawing/2012/chart" uri="{CE6537A1-D6FC-4f65-9D91-7224C49458BB}"/>
                <c:ext xmlns:c16="http://schemas.microsoft.com/office/drawing/2014/chart" uri="{C3380CC4-5D6E-409C-BE32-E72D297353CC}">
                  <c16:uniqueId val="{0000002B-A749-4BFD-AF12-40DBC960F841}"/>
                </c:ext>
              </c:extLst>
            </c:dLbl>
            <c:dLbl>
              <c:idx val="10"/>
              <c:delete val="1"/>
              <c:extLst>
                <c:ext xmlns:c15="http://schemas.microsoft.com/office/drawing/2012/chart" uri="{CE6537A1-D6FC-4f65-9D91-7224C49458BB}"/>
                <c:ext xmlns:c16="http://schemas.microsoft.com/office/drawing/2014/chart" uri="{C3380CC4-5D6E-409C-BE32-E72D297353CC}">
                  <c16:uniqueId val="{0000002C-A749-4BFD-AF12-40DBC960F841}"/>
                </c:ext>
              </c:extLst>
            </c:dLbl>
            <c:dLbl>
              <c:idx val="11"/>
              <c:delete val="1"/>
              <c:extLst>
                <c:ext xmlns:c15="http://schemas.microsoft.com/office/drawing/2012/chart" uri="{CE6537A1-D6FC-4f65-9D91-7224C49458BB}"/>
                <c:ext xmlns:c16="http://schemas.microsoft.com/office/drawing/2014/chart" uri="{C3380CC4-5D6E-409C-BE32-E72D297353CC}">
                  <c16:uniqueId val="{0000002D-A749-4BFD-AF12-40DBC960F841}"/>
                </c:ext>
              </c:extLst>
            </c:dLbl>
            <c:dLbl>
              <c:idx val="12"/>
              <c:delete val="1"/>
              <c:extLst>
                <c:ext xmlns:c15="http://schemas.microsoft.com/office/drawing/2012/chart" uri="{CE6537A1-D6FC-4f65-9D91-7224C49458BB}"/>
                <c:ext xmlns:c16="http://schemas.microsoft.com/office/drawing/2014/chart" uri="{C3380CC4-5D6E-409C-BE32-E72D297353CC}">
                  <c16:uniqueId val="{0000002E-A749-4BFD-AF12-40DBC960F841}"/>
                </c:ext>
              </c:extLst>
            </c:dLbl>
            <c:dLbl>
              <c:idx val="13"/>
              <c:delete val="1"/>
              <c:extLst>
                <c:ext xmlns:c15="http://schemas.microsoft.com/office/drawing/2012/chart" uri="{CE6537A1-D6FC-4f65-9D91-7224C49458BB}"/>
                <c:ext xmlns:c16="http://schemas.microsoft.com/office/drawing/2014/chart" uri="{C3380CC4-5D6E-409C-BE32-E72D297353CC}">
                  <c16:uniqueId val="{0000002F-A749-4BFD-AF12-40DBC960F841}"/>
                </c:ext>
              </c:extLst>
            </c:dLbl>
            <c:dLbl>
              <c:idx val="14"/>
              <c:layout>
                <c:manualLayout>
                  <c:x val="0"/>
                  <c:y val="-3.4751281019359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749-4BFD-AF12-40DBC960F841}"/>
                </c:ext>
              </c:extLst>
            </c:dLbl>
            <c:dLbl>
              <c:idx val="15"/>
              <c:delete val="1"/>
              <c:extLst>
                <c:ext xmlns:c15="http://schemas.microsoft.com/office/drawing/2012/chart" uri="{CE6537A1-D6FC-4f65-9D91-7224C49458BB}"/>
                <c:ext xmlns:c16="http://schemas.microsoft.com/office/drawing/2014/chart" uri="{C3380CC4-5D6E-409C-BE32-E72D297353CC}">
                  <c16:uniqueId val="{00000030-A749-4BFD-AF12-40DBC960F841}"/>
                </c:ext>
              </c:extLst>
            </c:dLbl>
            <c:dLbl>
              <c:idx val="16"/>
              <c:delete val="1"/>
              <c:extLst>
                <c:ext xmlns:c15="http://schemas.microsoft.com/office/drawing/2012/chart" uri="{CE6537A1-D6FC-4f65-9D91-7224C49458BB}"/>
                <c:ext xmlns:c16="http://schemas.microsoft.com/office/drawing/2014/chart" uri="{C3380CC4-5D6E-409C-BE32-E72D297353CC}">
                  <c16:uniqueId val="{00000031-A749-4BFD-AF12-40DBC960F841}"/>
                </c:ext>
              </c:extLst>
            </c:dLbl>
            <c:dLbl>
              <c:idx val="17"/>
              <c:delete val="1"/>
              <c:extLst>
                <c:ext xmlns:c15="http://schemas.microsoft.com/office/drawing/2012/chart" uri="{CE6537A1-D6FC-4f65-9D91-7224C49458BB}"/>
                <c:ext xmlns:c16="http://schemas.microsoft.com/office/drawing/2014/chart" uri="{C3380CC4-5D6E-409C-BE32-E72D297353CC}">
                  <c16:uniqueId val="{00000032-A749-4BFD-AF12-40DBC960F841}"/>
                </c:ext>
              </c:extLst>
            </c:dLbl>
            <c:dLbl>
              <c:idx val="18"/>
              <c:delete val="1"/>
              <c:extLst>
                <c:ext xmlns:c15="http://schemas.microsoft.com/office/drawing/2012/chart" uri="{CE6537A1-D6FC-4f65-9D91-7224C49458BB}"/>
                <c:ext xmlns:c16="http://schemas.microsoft.com/office/drawing/2014/chart" uri="{C3380CC4-5D6E-409C-BE32-E72D297353CC}">
                  <c16:uniqueId val="{00000033-A749-4BFD-AF12-40DBC960F841}"/>
                </c:ext>
              </c:extLst>
            </c:dLbl>
            <c:dLbl>
              <c:idx val="19"/>
              <c:layout>
                <c:manualLayout>
                  <c:x val="0"/>
                  <c:y val="-3.20781055563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A749-4BFD-AF12-40DBC960F841}"/>
                </c:ext>
              </c:extLst>
            </c:dLbl>
            <c:dLbl>
              <c:idx val="20"/>
              <c:delete val="1"/>
              <c:extLst>
                <c:ext xmlns:c15="http://schemas.microsoft.com/office/drawing/2012/chart" uri="{CE6537A1-D6FC-4f65-9D91-7224C49458BB}"/>
                <c:ext xmlns:c16="http://schemas.microsoft.com/office/drawing/2014/chart" uri="{C3380CC4-5D6E-409C-BE32-E72D297353CC}">
                  <c16:uniqueId val="{00000034-A749-4BFD-AF12-40DBC960F841}"/>
                </c:ext>
              </c:extLst>
            </c:dLbl>
            <c:dLbl>
              <c:idx val="21"/>
              <c:delete val="1"/>
              <c:extLst>
                <c:ext xmlns:c15="http://schemas.microsoft.com/office/drawing/2012/chart" uri="{CE6537A1-D6FC-4f65-9D91-7224C49458BB}"/>
                <c:ext xmlns:c16="http://schemas.microsoft.com/office/drawing/2014/chart" uri="{C3380CC4-5D6E-409C-BE32-E72D297353CC}">
                  <c16:uniqueId val="{00000035-A749-4BFD-AF12-40DBC960F841}"/>
                </c:ext>
              </c:extLst>
            </c:dLbl>
            <c:dLbl>
              <c:idx val="22"/>
              <c:delete val="1"/>
              <c:extLst>
                <c:ext xmlns:c15="http://schemas.microsoft.com/office/drawing/2012/chart" uri="{CE6537A1-D6FC-4f65-9D91-7224C49458BB}"/>
                <c:ext xmlns:c16="http://schemas.microsoft.com/office/drawing/2014/chart" uri="{C3380CC4-5D6E-409C-BE32-E72D297353CC}">
                  <c16:uniqueId val="{00000036-A749-4BFD-AF12-40DBC960F841}"/>
                </c:ext>
              </c:extLst>
            </c:dLbl>
            <c:dLbl>
              <c:idx val="23"/>
              <c:delete val="1"/>
              <c:extLst>
                <c:ext xmlns:c15="http://schemas.microsoft.com/office/drawing/2012/chart" uri="{CE6537A1-D6FC-4f65-9D91-7224C49458BB}"/>
                <c:ext xmlns:c16="http://schemas.microsoft.com/office/drawing/2014/chart" uri="{C3380CC4-5D6E-409C-BE32-E72D297353CC}">
                  <c16:uniqueId val="{00000037-A749-4BFD-AF12-40DBC960F841}"/>
                </c:ext>
              </c:extLst>
            </c:dLbl>
            <c:dLbl>
              <c:idx val="24"/>
              <c:layout>
                <c:manualLayout>
                  <c:x val="-1.7390649444904069E-3"/>
                  <c:y val="-3.20781055563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749-4BFD-AF12-40DBC960F841}"/>
                </c:ext>
              </c:extLst>
            </c:dLbl>
            <c:dLbl>
              <c:idx val="25"/>
              <c:delete val="1"/>
              <c:extLst>
                <c:ext xmlns:c15="http://schemas.microsoft.com/office/drawing/2012/chart" uri="{CE6537A1-D6FC-4f65-9D91-7224C49458BB}"/>
                <c:ext xmlns:c16="http://schemas.microsoft.com/office/drawing/2014/chart" uri="{C3380CC4-5D6E-409C-BE32-E72D297353CC}">
                  <c16:uniqueId val="{00000038-A749-4BFD-AF12-40DBC960F841}"/>
                </c:ext>
              </c:extLst>
            </c:dLbl>
            <c:dLbl>
              <c:idx val="26"/>
              <c:delete val="1"/>
              <c:extLst>
                <c:ext xmlns:c15="http://schemas.microsoft.com/office/drawing/2012/chart" uri="{CE6537A1-D6FC-4f65-9D91-7224C49458BB}"/>
                <c:ext xmlns:c16="http://schemas.microsoft.com/office/drawing/2014/chart" uri="{C3380CC4-5D6E-409C-BE32-E72D297353CC}">
                  <c16:uniqueId val="{00000039-A749-4BFD-AF12-40DBC960F841}"/>
                </c:ext>
              </c:extLst>
            </c:dLbl>
            <c:dLbl>
              <c:idx val="27"/>
              <c:delete val="1"/>
              <c:extLst>
                <c:ext xmlns:c15="http://schemas.microsoft.com/office/drawing/2012/chart" uri="{CE6537A1-D6FC-4f65-9D91-7224C49458BB}"/>
                <c:ext xmlns:c16="http://schemas.microsoft.com/office/drawing/2014/chart" uri="{C3380CC4-5D6E-409C-BE32-E72D297353CC}">
                  <c16:uniqueId val="{0000003A-A749-4BFD-AF12-40DBC960F841}"/>
                </c:ext>
              </c:extLst>
            </c:dLbl>
            <c:dLbl>
              <c:idx val="28"/>
              <c:delete val="1"/>
              <c:extLst>
                <c:ext xmlns:c15="http://schemas.microsoft.com/office/drawing/2012/chart" uri="{CE6537A1-D6FC-4f65-9D91-7224C49458BB}"/>
                <c:ext xmlns:c16="http://schemas.microsoft.com/office/drawing/2014/chart" uri="{C3380CC4-5D6E-409C-BE32-E72D297353CC}">
                  <c16:uniqueId val="{0000003B-A749-4BFD-AF12-40DBC960F841}"/>
                </c:ext>
              </c:extLst>
            </c:dLbl>
            <c:dLbl>
              <c:idx val="29"/>
              <c:layout>
                <c:manualLayout>
                  <c:x val="0"/>
                  <c:y val="-1.871222824119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749-4BFD-AF12-40DBC960F841}"/>
                </c:ext>
              </c:extLst>
            </c:dLbl>
            <c:dLbl>
              <c:idx val="30"/>
              <c:delete val="1"/>
              <c:extLst>
                <c:ext xmlns:c15="http://schemas.microsoft.com/office/drawing/2012/chart" uri="{CE6537A1-D6FC-4f65-9D91-7224C49458BB}"/>
                <c:ext xmlns:c16="http://schemas.microsoft.com/office/drawing/2014/chart" uri="{C3380CC4-5D6E-409C-BE32-E72D297353CC}">
                  <c16:uniqueId val="{0000003C-A749-4BFD-AF12-40DBC960F841}"/>
                </c:ext>
              </c:extLst>
            </c:dLbl>
            <c:dLbl>
              <c:idx val="31"/>
              <c:delete val="1"/>
              <c:extLst>
                <c:ext xmlns:c15="http://schemas.microsoft.com/office/drawing/2012/chart" uri="{CE6537A1-D6FC-4f65-9D91-7224C49458BB}"/>
                <c:ext xmlns:c16="http://schemas.microsoft.com/office/drawing/2014/chart" uri="{C3380CC4-5D6E-409C-BE32-E72D297353CC}">
                  <c16:uniqueId val="{0000003D-A749-4BFD-AF12-40DBC960F841}"/>
                </c:ext>
              </c:extLst>
            </c:dLbl>
            <c:dLbl>
              <c:idx val="32"/>
              <c:delete val="1"/>
              <c:extLst>
                <c:ext xmlns:c15="http://schemas.microsoft.com/office/drawing/2012/chart" uri="{CE6537A1-D6FC-4f65-9D91-7224C49458BB}"/>
                <c:ext xmlns:c16="http://schemas.microsoft.com/office/drawing/2014/chart" uri="{C3380CC4-5D6E-409C-BE32-E72D297353CC}">
                  <c16:uniqueId val="{0000003E-A749-4BFD-AF12-40DBC960F841}"/>
                </c:ext>
              </c:extLst>
            </c:dLbl>
            <c:dLbl>
              <c:idx val="33"/>
              <c:delete val="1"/>
              <c:extLst>
                <c:ext xmlns:c15="http://schemas.microsoft.com/office/drawing/2012/chart" uri="{CE6537A1-D6FC-4f65-9D91-7224C49458BB}"/>
                <c:ext xmlns:c16="http://schemas.microsoft.com/office/drawing/2014/chart" uri="{C3380CC4-5D6E-409C-BE32-E72D297353CC}">
                  <c16:uniqueId val="{0000003F-A749-4BFD-AF12-40DBC960F8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Data!$F$5:$F$39</c:f>
              <c:numCache>
                <c:formatCode>_(* #,##0_);_(* \(#,##0\);_(* "-"??_);_(@_)</c:formatCode>
                <c:ptCount val="35"/>
                <c:pt idx="0">
                  <c:v>31377.567682405876</c:v>
                </c:pt>
                <c:pt idx="1">
                  <c:v>45814.300005670288</c:v>
                </c:pt>
                <c:pt idx="2">
                  <c:v>60837.297651423316</c:v>
                </c:pt>
                <c:pt idx="3">
                  <c:v>76475.220770496817</c:v>
                </c:pt>
                <c:pt idx="4">
                  <c:v>92758.389727841888</c:v>
                </c:pt>
                <c:pt idx="5">
                  <c:v>109718.89277062658</c:v>
                </c:pt>
                <c:pt idx="6">
                  <c:v>127390.7011092013</c:v>
                </c:pt>
                <c:pt idx="7">
                  <c:v>145809.79193569621</c:v>
                </c:pt>
                <c:pt idx="8">
                  <c:v>165014.2799426131</c:v>
                </c:pt>
                <c:pt idx="9">
                  <c:v>185044.55794408708</c:v>
                </c:pt>
                <c:pt idx="10">
                  <c:v>205943.44724570704</c:v>
                </c:pt>
                <c:pt idx="11">
                  <c:v>227756.3584551086</c:v>
                </c:pt>
                <c:pt idx="12">
                  <c:v>250531.46347522031</c:v>
                </c:pt>
                <c:pt idx="13">
                  <c:v>274319.87947528833</c:v>
                </c:pt>
                <c:pt idx="14">
                  <c:v>299175.86569188215</c:v>
                </c:pt>
                <c:pt idx="15">
                  <c:v>325157.03397328756</c:v>
                </c:pt>
                <c:pt idx="16">
                  <c:v>352324.57404629118</c:v>
                </c:pt>
                <c:pt idx="17">
                  <c:v>380743.49455470731</c:v>
                </c:pt>
                <c:pt idx="18">
                  <c:v>410482.88099439966</c:v>
                </c:pt>
                <c:pt idx="19">
                  <c:v>441616.17175040441</c:v>
                </c:pt>
                <c:pt idx="20">
                  <c:v>474221.45352843299</c:v>
                </c:pt>
                <c:pt idx="21">
                  <c:v>508381.77756596555</c:v>
                </c:pt>
                <c:pt idx="22">
                  <c:v>544185.49810777942</c:v>
                </c:pt>
                <c:pt idx="23">
                  <c:v>581726.63473757391</c:v>
                </c:pt>
                <c:pt idx="24">
                  <c:v>621105.26027188194</c:v>
                </c:pt>
                <c:pt idx="25">
                  <c:v>662427.91604524653</c:v>
                </c:pt>
                <c:pt idx="26">
                  <c:v>705808.05654729123</c:v>
                </c:pt>
                <c:pt idx="27">
                  <c:v>751366.52551346144</c:v>
                </c:pt>
                <c:pt idx="28">
                  <c:v>799232.06572255096</c:v>
                </c:pt>
                <c:pt idx="29">
                  <c:v>849541.86491638201</c:v>
                </c:pt>
                <c:pt idx="30">
                  <c:v>875028.12086387351</c:v>
                </c:pt>
                <c:pt idx="31">
                  <c:v>901278.9644897898</c:v>
                </c:pt>
                <c:pt idx="32">
                  <c:v>928317.33342448354</c:v>
                </c:pt>
                <c:pt idx="33">
                  <c:v>956166.85342721804</c:v>
                </c:pt>
                <c:pt idx="34">
                  <c:v>984851.85903003463</c:v>
                </c:pt>
              </c:numCache>
            </c:numRef>
          </c:val>
          <c:extLst>
            <c:ext xmlns:c16="http://schemas.microsoft.com/office/drawing/2014/chart" uri="{C3380CC4-5D6E-409C-BE32-E72D297353CC}">
              <c16:uniqueId val="{00000001-A749-4BFD-AF12-40DBC960F841}"/>
            </c:ext>
          </c:extLst>
        </c:ser>
        <c:dLbls>
          <c:showLegendKey val="0"/>
          <c:showVal val="0"/>
          <c:showCatName val="0"/>
          <c:showSerName val="0"/>
          <c:showPercent val="0"/>
          <c:showBubbleSize val="0"/>
        </c:dLbls>
        <c:gapWidth val="1"/>
        <c:overlap val="-27"/>
        <c:axId val="1523354959"/>
        <c:axId val="1523342959"/>
      </c:barChart>
      <c:catAx>
        <c:axId val="1523354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523342959"/>
        <c:crosses val="autoZero"/>
        <c:auto val="1"/>
        <c:lblAlgn val="ctr"/>
        <c:lblOffset val="50"/>
        <c:noMultiLvlLbl val="0"/>
      </c:catAx>
      <c:valAx>
        <c:axId val="15233429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523354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2">
            <a:shade val="30000"/>
            <a:satMod val="115000"/>
          </a:schemeClr>
        </a:gs>
        <a:gs pos="0">
          <a:schemeClr val="bg2">
            <a:shade val="67500"/>
            <a:satMod val="115000"/>
          </a:schemeClr>
        </a:gs>
        <a:gs pos="100000">
          <a:schemeClr val="bg2">
            <a:shade val="100000"/>
            <a:satMod val="115000"/>
          </a:schemeClr>
        </a:gs>
      </a:gsLst>
      <a:lin ang="10800000" scaled="1"/>
      <a:tileRect/>
    </a:gradFill>
    <a:ln w="9525" cap="rnd"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405844</xdr:colOff>
      <xdr:row>6</xdr:row>
      <xdr:rowOff>182218</xdr:rowOff>
    </xdr:from>
    <xdr:to>
      <xdr:col>11</xdr:col>
      <xdr:colOff>477626</xdr:colOff>
      <xdr:row>31</xdr:row>
      <xdr:rowOff>8283</xdr:rowOff>
    </xdr:to>
    <xdr:graphicFrame macro="">
      <xdr:nvGraphicFramePr>
        <xdr:cNvPr id="3" name="Chart 2">
          <a:extLst>
            <a:ext uri="{FF2B5EF4-FFF2-40B4-BE49-F238E27FC236}">
              <a16:creationId xmlns:a16="http://schemas.microsoft.com/office/drawing/2014/main" id="{0F647E57-C42B-47E8-AA44-BEA500E9D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52</xdr:row>
      <xdr:rowOff>0</xdr:rowOff>
    </xdr:from>
    <xdr:to>
      <xdr:col>21</xdr:col>
      <xdr:colOff>214657</xdr:colOff>
      <xdr:row>77</xdr:row>
      <xdr:rowOff>83240</xdr:rowOff>
    </xdr:to>
    <xdr:graphicFrame macro="">
      <xdr:nvGraphicFramePr>
        <xdr:cNvPr id="2" name="Chart 1">
          <a:extLst>
            <a:ext uri="{FF2B5EF4-FFF2-40B4-BE49-F238E27FC236}">
              <a16:creationId xmlns:a16="http://schemas.microsoft.com/office/drawing/2014/main" id="{B6B73977-8989-44A4-BFD8-B9E052AB0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635598</xdr:colOff>
      <xdr:row>0</xdr:row>
      <xdr:rowOff>78890</xdr:rowOff>
    </xdr:from>
    <xdr:to>
      <xdr:col>16</xdr:col>
      <xdr:colOff>567018</xdr:colOff>
      <xdr:row>6</xdr:row>
      <xdr:rowOff>34460</xdr:rowOff>
    </xdr:to>
    <xdr:pic>
      <xdr:nvPicPr>
        <xdr:cNvPr id="7" name="Picture 6">
          <a:extLst>
            <a:ext uri="{FF2B5EF4-FFF2-40B4-BE49-F238E27FC236}">
              <a16:creationId xmlns:a16="http://schemas.microsoft.com/office/drawing/2014/main" id="{4FC6864F-657C-FCB6-0C55-214F4B7F73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97810" y="78890"/>
          <a:ext cx="2522220" cy="1263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256762</xdr:colOff>
      <xdr:row>2</xdr:row>
      <xdr:rowOff>179297</xdr:rowOff>
    </xdr:from>
    <xdr:to>
      <xdr:col>14</xdr:col>
      <xdr:colOff>190500</xdr:colOff>
      <xdr:row>24</xdr:row>
      <xdr:rowOff>182216</xdr:rowOff>
    </xdr:to>
    <xdr:graphicFrame macro="">
      <xdr:nvGraphicFramePr>
        <xdr:cNvPr id="2" name="Chart 1">
          <a:extLst>
            <a:ext uri="{FF2B5EF4-FFF2-40B4-BE49-F238E27FC236}">
              <a16:creationId xmlns:a16="http://schemas.microsoft.com/office/drawing/2014/main" id="{890FD25F-094A-40AB-9B15-440DC4685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20amortization%20schedu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schedule1"/>
    </sheetNames>
    <definedNames>
      <definedName name="LoanIsGood" refersTo="#REF!"/>
      <definedName name="PaymentsPerYear" refersTo="#REF!"/>
    </defined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914636-CFD3-4799-86BA-3B54E24393CC}" name="PaymentSchedule3" displayName="PaymentSchedule3" ref="B13:L375" totalsRowShown="0" headerRowDxfId="29" dataDxfId="28" headerRowCellStyle="Style 6">
  <tableColumns count="11">
    <tableColumn id="1" xr3:uid="{34276CB7-3C34-4F7B-BA90-A3E3BDDC992A}" name="Payment Number" dataDxfId="27"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26"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25"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24" dataCellStyle="Table Amount">
      <calculatedColumnFormula>IF(PaymentSchedule3[[#This Row],[Payment Number]]&lt;&gt;"",ScheduledPayment,"")</calculatedColumnFormula>
    </tableColumn>
    <tableColumn id="5" xr3:uid="{931027E7-8C19-4466-9D4A-F9288DA86D21}" name="Extra_x000a_Payment" dataDxfId="23"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22"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21" dataCellStyle="Table Amount">
      <calculatedColumnFormula>IF(PaymentSchedule3[[#This Row],[Payment Number]]&lt;&gt;"",PaymentSchedule3[[#This Row],[Total
Payment]]-PaymentSchedule3[[#This Row],[Interest]],"")</calculatedColumnFormula>
    </tableColumn>
    <tableColumn id="8" xr3:uid="{4A9CA4D4-2346-4A75-8123-A968977AF4B8}" name="Interest" dataDxfId="20"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19"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18" dataCellStyle="Table Amount">
      <calculatedColumnFormula>IF(PaymentSchedule3[[#This Row],[Payment Number]]&lt;&gt;"",SUM(INDEX(PaymentSchedule3[Interest],1,1):PaymentSchedule3[[#This Row],[Interest]]),"")</calculatedColumnFormula>
    </tableColumn>
    <tableColumn id="11" xr3:uid="{793E1CA7-67F5-4469-A98E-E5439778F75C}" name="Cumulative Principal" dataDxfId="17" dataCellStyle="Table Amount">
      <calculatedColumnFormula>IF(PaymentSchedule3[[#This Row],[Payment Number]]&lt;&gt;"",SUM(INDEX(PaymentSchedule3[Principal],1,1):PaymentSchedule3[[#This Row],[Principal]]),"")</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C82FD4-E92C-4D88-8582-E375152D03B6}" name="PaymentSchedule33" displayName="PaymentSchedule33" ref="B13:O375" totalsRowShown="0" headerRowDxfId="15" dataDxfId="14" headerRowCellStyle="Style 6">
  <tableColumns count="14">
    <tableColumn id="1" xr3:uid="{22D45E40-A190-4B10-A75E-D335BAC5D3F6}" name="Payment Number" dataDxfId="13" dataCellStyle="Number">
      <calculatedColumnFormula>IF(LoanIsGood,IF(ROW()-ROW(PaymentSchedule33[[#Headers],[Payment Number]])&gt;ScheduledNumberOfPayments,"",ROW()-ROW(PaymentSchedule33[[#Headers],[Payment Number]])),"")</calculatedColumnFormula>
    </tableColumn>
    <tableColumn id="2" xr3:uid="{34EBA1EC-4936-4550-819C-CA584C7F8087}" name="Payment_x000a_Date" dataDxfId="12" dataCellStyle="Date">
      <calculatedColumnFormula>IF(PaymentSchedule33[[#This Row],[Payment Number]]&lt;&gt;"",EOMONTH(LoanStartDate,ROW(PaymentSchedule33[[#This Row],[Payment Number]])-ROW(PaymentSchedule33[[#Headers],[Payment Number]])-2)+DAY(LoanStartDate),"")</calculatedColumnFormula>
    </tableColumn>
    <tableColumn id="3" xr3:uid="{A292C044-66C8-4A5E-A2BB-62620E66E1BE}" name="Beginning_x000a_Balance" dataDxfId="11" dataCellStyle="Table Amount">
      <calculatedColumnFormula>IF(PaymentSchedule33[[#This Row],[Payment Number]]&lt;&gt;"",IF(ROW()-ROW(PaymentSchedule33[[#Headers],[Beginning
Balance]])=1,LoanAmount,INDEX(PaymentSchedule33[Ending
Balance],ROW()-ROW(PaymentSchedule33[[#Headers],[Beginning
Balance]])-1)),"")</calculatedColumnFormula>
    </tableColumn>
    <tableColumn id="4" xr3:uid="{29EAE2EB-F1F4-486C-A58F-DDFA5997B467}" name="Scheduled Payment" dataDxfId="10" dataCellStyle="Table Amount">
      <calculatedColumnFormula>IF(PaymentSchedule33[[#This Row],[Payment Number]]&lt;&gt;"",ScheduledPayment,"")</calculatedColumnFormula>
    </tableColumn>
    <tableColumn id="5" xr3:uid="{25DEBA5A-C3BE-4D64-AF50-2D67E8406991}" name="Extra_x000a_Payment" dataDxfId="9" dataCellStyle="Table Amount">
      <calculatedColumnFormula>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calculatedColumnFormula>
    </tableColumn>
    <tableColumn id="6" xr3:uid="{307CE74F-82EE-40D1-9199-9D694865D22E}" name="Total_x000a_Payment" dataDxfId="8" dataCellStyle="Table Amount">
      <calculatedColumnFormula>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calculatedColumnFormula>
    </tableColumn>
    <tableColumn id="7" xr3:uid="{900088AE-7AB2-491B-BCAC-0AB0347C2B6F}" name="Principal" dataDxfId="7" dataCellStyle="Table Amount">
      <calculatedColumnFormula>IF(PaymentSchedule33[[#This Row],[Payment Number]]&lt;&gt;"",PaymentSchedule33[[#This Row],[Total
Payment]]-PaymentSchedule33[[#This Row],[Interest]],"")</calculatedColumnFormula>
    </tableColumn>
    <tableColumn id="8" xr3:uid="{49F38479-4A0D-4B61-B4F5-62B3FAADA687}" name="Interest" dataDxfId="6" dataCellStyle="Table Amount">
      <calculatedColumnFormula>IF(PaymentSchedule33[[#This Row],[Payment Number]]&lt;&gt;"",PaymentSchedule33[[#This Row],[Beginning
Balance]]*(InterestRate/PaymentsPerYear),"")</calculatedColumnFormula>
    </tableColumn>
    <tableColumn id="9" xr3:uid="{0824F321-5ADA-4958-8829-48A4BAB2AD4E}" name="Ending_x000a_Balance" dataDxfId="5" dataCellStyle="Table Amount">
      <calculatedColumnFormula>IF(PaymentSchedule33[[#This Row],[Payment Number]]&lt;&gt;"",IF(PaymentSchedule33[[#This Row],[Scheduled Payment]]+PaymentSchedule33[[#This Row],[Extra
Payment]]&lt;=PaymentSchedule33[[#This Row],[Beginning
Balance]],PaymentSchedule33[[#This Row],[Beginning
Balance]]-PaymentSchedule33[[#This Row],[Principal]],0),"")</calculatedColumnFormula>
    </tableColumn>
    <tableColumn id="10" xr3:uid="{055CDE43-07C5-4A96-8AE7-97E697263CF3}" name="Cumulative_x000a_Interest" dataDxfId="4" dataCellStyle="Table Amount">
      <calculatedColumnFormula>IF(PaymentSchedule33[[#This Row],[Payment Number]]&lt;&gt;"",SUM(INDEX(PaymentSchedule33[Interest],1,1):PaymentSchedule33[[#This Row],[Interest]]),"")</calculatedColumnFormula>
    </tableColumn>
    <tableColumn id="14" xr3:uid="{735A4668-9064-4DA4-A042-CD226BEEAE18}" name="Cumulative Principal" dataDxfId="3" dataCellStyle="Table Amount">
      <calculatedColumnFormula>IF(PaymentSchedule33[[#This Row],[Payment Number]]&lt;&gt;"",SUM(INDEX(PaymentSchedule33[Principal],1,1):PaymentSchedule33[[#This Row],[Principal]]),"")</calculatedColumnFormula>
    </tableColumn>
    <tableColumn id="11" xr3:uid="{3CA84B46-C0D5-4D05-8869-270A509777F9}" name="Monthly Payment Difference" dataDxfId="2" dataCellStyle="Table Amount">
      <calculatedColumnFormula>PaymentSchedule3[[#This Row],[Total
Payment]]-PaymentSchedule33[[#This Row],[Total
Payment]]</calculatedColumnFormula>
    </tableColumn>
    <tableColumn id="12" xr3:uid="{D8F4CC09-72E2-4906-99A1-8AF10C58EC46}" name="Monthly Interest Difference" dataDxfId="1" dataCellStyle="Table Amount">
      <calculatedColumnFormula>PaymentSchedule3[[#This Row],[Interest]]-PaymentSchedule33[[#This Row],[Interest]]</calculatedColumnFormula>
    </tableColumn>
    <tableColumn id="13" xr3:uid="{7A11E76D-7651-47DF-B2C9-075D6447CFBF}" name="Cumulative Interest Difference" dataDxfId="0" dataCellStyle="Table Amount">
      <calculatedColumnFormula>PaymentSchedule3[[#This Row],[Cumulative
Interest]]-PaymentSchedule33[[#This Row],[Cumulative
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ample@agente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TheCPAMortgageGuy@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F67A-6BF0-4140-B54E-C61A0BD7698E}">
  <dimension ref="B2:Q66"/>
  <sheetViews>
    <sheetView showGridLines="0" showRowColHeaders="0" tabSelected="1" zoomScaleNormal="100" workbookViewId="0">
      <selection activeCell="C13" sqref="C13"/>
    </sheetView>
  </sheetViews>
  <sheetFormatPr defaultColWidth="9.140625" defaultRowHeight="15" x14ac:dyDescent="0.25"/>
  <cols>
    <col min="1" max="1" width="4.5703125" style="2" customWidth="1"/>
    <col min="2" max="2" width="36.28515625" style="2" bestFit="1" customWidth="1"/>
    <col min="3" max="3" width="13.28515625" style="2" bestFit="1" customWidth="1"/>
    <col min="4" max="4" width="12.28515625" style="32" customWidth="1"/>
    <col min="5" max="5" width="21" style="28" customWidth="1"/>
    <col min="6" max="6" width="13.140625" style="2" customWidth="1"/>
    <col min="7" max="7" width="15.140625" style="32" customWidth="1"/>
    <col min="8" max="8" width="24.85546875" style="28" customWidth="1"/>
    <col min="9" max="9" width="13.140625" style="2" customWidth="1"/>
    <col min="10" max="10" width="13.7109375" style="32" customWidth="1"/>
    <col min="11" max="11" width="7.5703125" style="28" customWidth="1"/>
    <col min="12" max="12" width="16" style="28" customWidth="1"/>
    <col min="13" max="13" width="13.7109375" style="32" customWidth="1"/>
    <col min="14" max="14" width="13.7109375" style="28" customWidth="1"/>
    <col min="15" max="15" width="4.7109375" style="2" customWidth="1"/>
    <col min="16" max="16" width="20.42578125" style="32" bestFit="1" customWidth="1"/>
    <col min="17" max="17" width="9.140625" style="28"/>
    <col min="18" max="16384" width="9.140625" style="2"/>
  </cols>
  <sheetData>
    <row r="2" spans="2:17" x14ac:dyDescent="0.25">
      <c r="B2" s="4" t="s">
        <v>122</v>
      </c>
    </row>
    <row r="3" spans="2:17" ht="28.5" x14ac:dyDescent="0.45">
      <c r="B3" s="88" t="s">
        <v>124</v>
      </c>
    </row>
    <row r="4" spans="2:17" ht="15.75" x14ac:dyDescent="0.25">
      <c r="B4" s="89" t="s">
        <v>123</v>
      </c>
    </row>
    <row r="5" spans="2:17" ht="15.75" x14ac:dyDescent="0.25">
      <c r="B5" s="90" t="s">
        <v>125</v>
      </c>
    </row>
    <row r="7" spans="2:17" x14ac:dyDescent="0.25">
      <c r="D7" s="2"/>
      <c r="E7" s="2"/>
      <c r="G7" s="2"/>
      <c r="H7" s="2"/>
      <c r="J7" s="2"/>
      <c r="K7" s="2"/>
      <c r="L7" s="2"/>
      <c r="M7" s="2"/>
      <c r="N7" s="2"/>
      <c r="P7" s="2"/>
      <c r="Q7" s="2"/>
    </row>
    <row r="8" spans="2:17" ht="18.75" x14ac:dyDescent="0.3">
      <c r="B8" s="97" t="s">
        <v>42</v>
      </c>
      <c r="C8" s="98"/>
      <c r="D8" s="2"/>
      <c r="E8" s="2"/>
      <c r="G8" s="2"/>
      <c r="H8" s="2"/>
      <c r="M8" s="96" t="s">
        <v>116</v>
      </c>
      <c r="N8" s="96"/>
      <c r="O8" s="96"/>
      <c r="P8" s="96"/>
      <c r="Q8" s="96"/>
    </row>
    <row r="9" spans="2:17" ht="15.75" x14ac:dyDescent="0.25">
      <c r="B9" s="60" t="s">
        <v>78</v>
      </c>
      <c r="C9" s="82">
        <v>350000</v>
      </c>
      <c r="D9" s="2"/>
      <c r="M9" s="95" t="s">
        <v>103</v>
      </c>
      <c r="N9" s="95"/>
      <c r="O9" s="28"/>
      <c r="P9" s="95" t="s">
        <v>106</v>
      </c>
      <c r="Q9" s="95"/>
    </row>
    <row r="10" spans="2:17" ht="15.75" x14ac:dyDescent="0.25">
      <c r="B10" s="74" t="s">
        <v>81</v>
      </c>
      <c r="C10" s="83">
        <v>0.03</v>
      </c>
      <c r="D10" s="2"/>
      <c r="M10" s="68" t="s">
        <v>109</v>
      </c>
      <c r="N10" s="67">
        <f ca="1">-C62</f>
        <v>-2563.1933997325327</v>
      </c>
      <c r="O10" s="28"/>
      <c r="P10" s="68" t="s">
        <v>109</v>
      </c>
      <c r="Q10" s="67">
        <f ca="1">-F62</f>
        <v>-15379.160398395197</v>
      </c>
    </row>
    <row r="11" spans="2:17" ht="15.75" x14ac:dyDescent="0.25">
      <c r="B11" s="40"/>
      <c r="C11" s="40"/>
      <c r="D11" s="2"/>
      <c r="M11" s="65" t="s">
        <v>77</v>
      </c>
      <c r="N11" s="66">
        <f>C63</f>
        <v>9000</v>
      </c>
      <c r="O11" s="28"/>
      <c r="P11" s="65" t="s">
        <v>77</v>
      </c>
      <c r="Q11" s="66">
        <f>F63</f>
        <v>55912.05</v>
      </c>
    </row>
    <row r="12" spans="2:17" ht="15.75" x14ac:dyDescent="0.25">
      <c r="B12" s="97" t="s">
        <v>97</v>
      </c>
      <c r="C12" s="98"/>
      <c r="D12" s="2"/>
      <c r="M12" s="68" t="s">
        <v>94</v>
      </c>
      <c r="N12" s="67">
        <f ca="1">C64</f>
        <v>6436.8066002674677</v>
      </c>
      <c r="O12" s="28"/>
      <c r="P12" s="68" t="s">
        <v>94</v>
      </c>
      <c r="Q12" s="67">
        <f ca="1">F64</f>
        <v>40532.889601604809</v>
      </c>
    </row>
    <row r="13" spans="2:17" ht="15.75" x14ac:dyDescent="0.25">
      <c r="B13" s="60" t="s">
        <v>80</v>
      </c>
      <c r="C13" s="82">
        <f>PurchasePrice*0.05</f>
        <v>17500</v>
      </c>
      <c r="D13" s="2"/>
      <c r="M13" s="65" t="s">
        <v>101</v>
      </c>
      <c r="N13" s="66">
        <f>C65</f>
        <v>5249.9999999999418</v>
      </c>
      <c r="O13" s="28"/>
      <c r="P13" s="65" t="s">
        <v>101</v>
      </c>
      <c r="Q13" s="66">
        <f>F65</f>
        <v>32454.450000000012</v>
      </c>
    </row>
    <row r="14" spans="2:17" ht="16.5" thickBot="1" x14ac:dyDescent="0.3">
      <c r="B14" s="60" t="s">
        <v>79</v>
      </c>
      <c r="C14" s="75">
        <f>C13/C9</f>
        <v>0.05</v>
      </c>
      <c r="M14" s="69" t="s">
        <v>102</v>
      </c>
      <c r="N14" s="70">
        <f ca="1">SUM(N12:N13)</f>
        <v>11686.80660026741</v>
      </c>
      <c r="O14" s="28"/>
      <c r="P14" s="69" t="s">
        <v>102</v>
      </c>
      <c r="Q14" s="70">
        <f ca="1">SUM(Q12:Q13)</f>
        <v>72987.339601604821</v>
      </c>
    </row>
    <row r="15" spans="2:17" ht="16.5" thickTop="1" x14ac:dyDescent="0.25">
      <c r="B15" s="60" t="s">
        <v>24</v>
      </c>
      <c r="C15" s="76">
        <f>C9-C13</f>
        <v>332500</v>
      </c>
      <c r="M15" s="2"/>
      <c r="N15" s="32"/>
      <c r="O15" s="28"/>
      <c r="P15" s="2"/>
      <c r="Q15" s="32"/>
    </row>
    <row r="16" spans="2:17" ht="15.75" x14ac:dyDescent="0.25">
      <c r="B16" s="74" t="s">
        <v>87</v>
      </c>
      <c r="C16" s="84">
        <v>30</v>
      </c>
      <c r="M16" s="95" t="s">
        <v>104</v>
      </c>
      <c r="N16" s="95"/>
      <c r="O16" s="28"/>
      <c r="P16" s="95" t="s">
        <v>107</v>
      </c>
      <c r="Q16" s="95"/>
    </row>
    <row r="17" spans="2:17" ht="15.75" x14ac:dyDescent="0.25">
      <c r="B17" s="40"/>
      <c r="C17" s="40"/>
      <c r="D17" s="2"/>
      <c r="M17" s="68" t="s">
        <v>109</v>
      </c>
      <c r="N17" s="67">
        <f ca="1">-D62</f>
        <v>-5126.3867994650655</v>
      </c>
      <c r="O17" s="28"/>
      <c r="P17" s="68" t="s">
        <v>109</v>
      </c>
      <c r="Q17" s="67">
        <f ca="1">-G62</f>
        <v>-20505.547197860262</v>
      </c>
    </row>
    <row r="18" spans="2:17" ht="15.75" x14ac:dyDescent="0.25">
      <c r="B18" s="97" t="s">
        <v>100</v>
      </c>
      <c r="C18" s="98"/>
      <c r="D18" s="2"/>
      <c r="M18" s="65" t="s">
        <v>77</v>
      </c>
      <c r="N18" s="66">
        <f>D63</f>
        <v>18000</v>
      </c>
      <c r="O18" s="28"/>
      <c r="P18" s="65" t="s">
        <v>77</v>
      </c>
      <c r="Q18" s="66">
        <f>G63</f>
        <v>75868.971749999997</v>
      </c>
    </row>
    <row r="19" spans="2:17" ht="15.75" x14ac:dyDescent="0.25">
      <c r="B19" s="60" t="s">
        <v>126</v>
      </c>
      <c r="C19" s="85">
        <v>7.0000000000000007E-2</v>
      </c>
      <c r="D19" s="2"/>
      <c r="M19" s="68" t="s">
        <v>94</v>
      </c>
      <c r="N19" s="67">
        <f ca="1">D64</f>
        <v>12873.613200534935</v>
      </c>
      <c r="O19" s="28"/>
      <c r="P19" s="68" t="s">
        <v>94</v>
      </c>
      <c r="Q19" s="67">
        <f ca="1">G64</f>
        <v>55363.424552139739</v>
      </c>
    </row>
    <row r="20" spans="2:17" ht="15.75" x14ac:dyDescent="0.25">
      <c r="B20" s="60" t="s">
        <v>88</v>
      </c>
      <c r="C20" s="76">
        <f ca="1">'Loan Schedule High'!ScheduledPayment</f>
        <v>2212.1307964707844</v>
      </c>
      <c r="D20" s="2"/>
      <c r="M20" s="65" t="s">
        <v>101</v>
      </c>
      <c r="N20" s="66">
        <f>D65</f>
        <v>10500</v>
      </c>
      <c r="O20" s="28"/>
      <c r="P20" s="65" t="s">
        <v>101</v>
      </c>
      <c r="Q20" s="66">
        <f>G65</f>
        <v>43928.083500000008</v>
      </c>
    </row>
    <row r="21" spans="2:17" ht="16.5" thickBot="1" x14ac:dyDescent="0.3">
      <c r="B21" s="60" t="s">
        <v>89</v>
      </c>
      <c r="C21" s="76">
        <f ca="1">C20*12</f>
        <v>26545.569557649411</v>
      </c>
      <c r="D21" s="2"/>
      <c r="M21" s="69" t="s">
        <v>102</v>
      </c>
      <c r="N21" s="70">
        <f ca="1">SUM(N19:N20)</f>
        <v>23373.613200534935</v>
      </c>
      <c r="O21" s="28"/>
      <c r="P21" s="69" t="s">
        <v>102</v>
      </c>
      <c r="Q21" s="70">
        <f ca="1">SUM(Q19:Q20)</f>
        <v>99291.508052139747</v>
      </c>
    </row>
    <row r="22" spans="2:17" ht="16.5" thickTop="1" x14ac:dyDescent="0.25">
      <c r="B22" s="60" t="s">
        <v>85</v>
      </c>
      <c r="C22" s="86">
        <v>0.05</v>
      </c>
      <c r="M22" s="2"/>
      <c r="N22" s="32"/>
      <c r="O22" s="28"/>
      <c r="P22" s="2"/>
      <c r="Q22" s="32"/>
    </row>
    <row r="23" spans="2:17" ht="15.75" x14ac:dyDescent="0.25">
      <c r="B23" s="77" t="s">
        <v>90</v>
      </c>
      <c r="C23" s="76">
        <f ca="1">'Loan Schedule Low'!ScheduledPayment</f>
        <v>1784.9318965153623</v>
      </c>
      <c r="M23" s="95" t="s">
        <v>105</v>
      </c>
      <c r="N23" s="95"/>
      <c r="O23" s="28"/>
      <c r="P23" s="95" t="s">
        <v>108</v>
      </c>
      <c r="Q23" s="95"/>
    </row>
    <row r="24" spans="2:17" s="41" customFormat="1" ht="15.75" x14ac:dyDescent="0.25">
      <c r="B24" s="77" t="s">
        <v>89</v>
      </c>
      <c r="C24" s="78">
        <f ca="1">C23*12</f>
        <v>21419.182758184346</v>
      </c>
      <c r="M24" s="68" t="s">
        <v>109</v>
      </c>
      <c r="N24" s="46">
        <f ca="1">-E62</f>
        <v>-10252.773598930131</v>
      </c>
      <c r="O24"/>
      <c r="P24" s="68" t="s">
        <v>109</v>
      </c>
      <c r="Q24" s="67">
        <f ca="1">-H62</f>
        <v>-25631.933997325326</v>
      </c>
    </row>
    <row r="25" spans="2:17" ht="15.75" x14ac:dyDescent="0.25">
      <c r="B25" s="60" t="s">
        <v>91</v>
      </c>
      <c r="C25" s="79">
        <f ca="1">C20-C23</f>
        <v>427.19889995542212</v>
      </c>
      <c r="M25" s="65" t="s">
        <v>77</v>
      </c>
      <c r="N25" s="59">
        <f>E63</f>
        <v>36630</v>
      </c>
      <c r="O25" s="28"/>
      <c r="P25" s="65" t="s">
        <v>77</v>
      </c>
      <c r="Q25" s="66">
        <f>H63</f>
        <v>96524.385761249985</v>
      </c>
    </row>
    <row r="26" spans="2:17" ht="15.75" x14ac:dyDescent="0.25">
      <c r="B26" s="80" t="s">
        <v>92</v>
      </c>
      <c r="C26" s="81">
        <f ca="1">C25*12</f>
        <v>5126.3867994650655</v>
      </c>
      <c r="M26" s="68" t="s">
        <v>94</v>
      </c>
      <c r="N26" s="46">
        <f ca="1">E64</f>
        <v>26377.226401069871</v>
      </c>
      <c r="O26" s="28"/>
      <c r="P26" s="68" t="s">
        <v>94</v>
      </c>
      <c r="Q26" s="67">
        <f ca="1">H64</f>
        <v>70892.451763924662</v>
      </c>
    </row>
    <row r="27" spans="2:17" ht="15.75" x14ac:dyDescent="0.25">
      <c r="B27" s="40"/>
      <c r="C27" s="40"/>
      <c r="M27" s="65" t="s">
        <v>101</v>
      </c>
      <c r="N27" s="59">
        <f>E65</f>
        <v>21315</v>
      </c>
      <c r="O27" s="28"/>
      <c r="P27" s="65" t="s">
        <v>101</v>
      </c>
      <c r="Q27" s="66">
        <f>H65</f>
        <v>55745.926005000016</v>
      </c>
    </row>
    <row r="28" spans="2:17" ht="16.5" thickBot="1" x14ac:dyDescent="0.3">
      <c r="B28" s="97" t="s">
        <v>98</v>
      </c>
      <c r="C28" s="98"/>
      <c r="M28" s="69" t="s">
        <v>102</v>
      </c>
      <c r="N28" s="70">
        <f ca="1">SUM(N26:N27)</f>
        <v>47692.226401069871</v>
      </c>
      <c r="O28" s="28"/>
      <c r="P28" s="69" t="s">
        <v>102</v>
      </c>
      <c r="Q28" s="70">
        <f ca="1">SUM(Q26:Q27)</f>
        <v>126638.37776892468</v>
      </c>
    </row>
    <row r="29" spans="2:17" ht="16.5" thickTop="1" x14ac:dyDescent="0.25">
      <c r="B29" s="60" t="s">
        <v>82</v>
      </c>
      <c r="C29" s="82">
        <v>1500</v>
      </c>
      <c r="E29"/>
      <c r="F29"/>
      <c r="G29"/>
      <c r="H29"/>
      <c r="P29"/>
    </row>
    <row r="30" spans="2:17" ht="15.75" x14ac:dyDescent="0.25">
      <c r="B30" s="60" t="s">
        <v>83</v>
      </c>
      <c r="C30" s="76">
        <f>C29*12</f>
        <v>18000</v>
      </c>
    </row>
    <row r="31" spans="2:17" ht="15.75" x14ac:dyDescent="0.25">
      <c r="B31" s="74" t="s">
        <v>84</v>
      </c>
      <c r="C31" s="87">
        <v>3.5000000000000003E-2</v>
      </c>
    </row>
    <row r="32" spans="2:17" ht="15.75" x14ac:dyDescent="0.25">
      <c r="B32" s="41"/>
      <c r="C32" s="41"/>
    </row>
    <row r="33" spans="2:8" x14ac:dyDescent="0.25">
      <c r="B33" s="2" t="s">
        <v>127</v>
      </c>
    </row>
    <row r="34" spans="2:8" x14ac:dyDescent="0.25">
      <c r="C34" s="4"/>
    </row>
    <row r="47" spans="2:8" x14ac:dyDescent="0.25">
      <c r="H47" s="48"/>
    </row>
    <row r="48" spans="2:8" x14ac:dyDescent="0.25">
      <c r="H48" s="48"/>
    </row>
    <row r="49" spans="2:8" x14ac:dyDescent="0.25">
      <c r="H49" s="58"/>
    </row>
    <row r="53" spans="2:8" ht="15.75" x14ac:dyDescent="0.25">
      <c r="B53" s="40"/>
      <c r="C53" s="36" t="s">
        <v>99</v>
      </c>
      <c r="D53" s="36"/>
      <c r="E53" s="36"/>
      <c r="F53" s="36"/>
      <c r="G53" s="36"/>
      <c r="H53" s="36"/>
    </row>
    <row r="54" spans="2:8" ht="15.75" x14ac:dyDescent="0.25">
      <c r="C54" s="49" t="s">
        <v>103</v>
      </c>
      <c r="D54" s="50" t="s">
        <v>104</v>
      </c>
      <c r="E54" s="50" t="s">
        <v>105</v>
      </c>
      <c r="F54" s="50" t="s">
        <v>106</v>
      </c>
      <c r="G54" s="50" t="s">
        <v>107</v>
      </c>
      <c r="H54" s="50" t="s">
        <v>108</v>
      </c>
    </row>
    <row r="55" spans="2:8" x14ac:dyDescent="0.25">
      <c r="B55" s="32" t="s">
        <v>78</v>
      </c>
      <c r="C55" s="51">
        <f>(C9*((1+C10/2)))</f>
        <v>355249.99999999994</v>
      </c>
      <c r="D55" s="51">
        <f>Data!D5</f>
        <v>360500</v>
      </c>
      <c r="E55" s="51">
        <f>Data!D6</f>
        <v>371315</v>
      </c>
      <c r="F55" s="51">
        <f>Data!D7</f>
        <v>382454.45</v>
      </c>
      <c r="G55" s="51">
        <f>Data!D8</f>
        <v>393928.08350000001</v>
      </c>
      <c r="H55" s="51">
        <f>Data!D9</f>
        <v>405745.92600500002</v>
      </c>
    </row>
    <row r="56" spans="2:8" x14ac:dyDescent="0.25">
      <c r="B56" s="32" t="s">
        <v>79</v>
      </c>
      <c r="C56" s="52">
        <f t="shared" ref="C56:H56" si="0">$C$14</f>
        <v>0.05</v>
      </c>
      <c r="D56" s="52">
        <f t="shared" si="0"/>
        <v>0.05</v>
      </c>
      <c r="E56" s="52">
        <f t="shared" si="0"/>
        <v>0.05</v>
      </c>
      <c r="F56" s="52">
        <f t="shared" si="0"/>
        <v>0.05</v>
      </c>
      <c r="G56" s="52">
        <f t="shared" si="0"/>
        <v>0.05</v>
      </c>
      <c r="H56" s="52">
        <f t="shared" si="0"/>
        <v>0.05</v>
      </c>
    </row>
    <row r="57" spans="2:8" x14ac:dyDescent="0.25">
      <c r="B57" s="32" t="s">
        <v>80</v>
      </c>
      <c r="C57" s="53">
        <f>C56*C55</f>
        <v>17762.499999999996</v>
      </c>
      <c r="D57" s="53">
        <f>D56*D55</f>
        <v>18025</v>
      </c>
      <c r="E57" s="53">
        <f t="shared" ref="E57:H57" si="1">E56*E55</f>
        <v>18565.75</v>
      </c>
      <c r="F57" s="53">
        <f t="shared" si="1"/>
        <v>19122.7225</v>
      </c>
      <c r="G57" s="53">
        <f t="shared" si="1"/>
        <v>19696.404175000003</v>
      </c>
      <c r="H57" s="53">
        <f t="shared" si="1"/>
        <v>20287.296300250004</v>
      </c>
    </row>
    <row r="58" spans="2:8" x14ac:dyDescent="0.25">
      <c r="B58" s="32" t="s">
        <v>24</v>
      </c>
      <c r="C58" s="53">
        <f>C55*0.95</f>
        <v>337487.49999999994</v>
      </c>
      <c r="D58" s="53">
        <f>D55*0.95</f>
        <v>342475</v>
      </c>
      <c r="E58" s="53">
        <f t="shared" ref="E58:H58" si="2">E55*0.95</f>
        <v>352749.25</v>
      </c>
      <c r="F58" s="53">
        <f t="shared" si="2"/>
        <v>363331.72749999998</v>
      </c>
      <c r="G58" s="53">
        <f t="shared" si="2"/>
        <v>374231.67932499998</v>
      </c>
      <c r="H58" s="53">
        <f t="shared" si="2"/>
        <v>385458.62970474997</v>
      </c>
    </row>
    <row r="59" spans="2:8" x14ac:dyDescent="0.25">
      <c r="B59" s="32" t="s">
        <v>87</v>
      </c>
      <c r="C59" s="53">
        <f t="shared" ref="C59:H59" si="3">$C$16</f>
        <v>30</v>
      </c>
      <c r="D59" s="53">
        <f t="shared" si="3"/>
        <v>30</v>
      </c>
      <c r="E59" s="53">
        <f t="shared" si="3"/>
        <v>30</v>
      </c>
      <c r="F59" s="53">
        <f t="shared" si="3"/>
        <v>30</v>
      </c>
      <c r="G59" s="53">
        <f t="shared" si="3"/>
        <v>30</v>
      </c>
      <c r="H59" s="53">
        <f t="shared" si="3"/>
        <v>30</v>
      </c>
    </row>
    <row r="60" spans="2:8" x14ac:dyDescent="0.25">
      <c r="B60" s="32" t="s">
        <v>75</v>
      </c>
      <c r="C60" s="53">
        <f ca="1">'Loan Schedule Low'!ScheduledPayment</f>
        <v>1784.9318965153623</v>
      </c>
      <c r="D60" s="53">
        <f ca="1">'Loan Schedule Low'!ScheduledPayment</f>
        <v>1784.9318965153623</v>
      </c>
      <c r="E60" s="53">
        <f ca="1">'Loan Schedule Low'!ScheduledPayment</f>
        <v>1784.9318965153623</v>
      </c>
      <c r="F60" s="53">
        <f ca="1">'Loan Schedule Low'!ScheduledPayment</f>
        <v>1784.9318965153623</v>
      </c>
      <c r="G60" s="53">
        <f ca="1">'Loan Schedule Low'!ScheduledPayment</f>
        <v>1784.9318965153623</v>
      </c>
      <c r="H60" s="53">
        <f ca="1">'Loan Schedule Low'!ScheduledPayment</f>
        <v>1784.9318965153623</v>
      </c>
    </row>
    <row r="61" spans="2:8" x14ac:dyDescent="0.25">
      <c r="B61" s="32" t="s">
        <v>93</v>
      </c>
      <c r="C61" s="51">
        <f t="shared" ref="C61:H61" ca="1" si="4">($C$20-C60)</f>
        <v>427.19889995542212</v>
      </c>
      <c r="D61" s="51">
        <f t="shared" ca="1" si="4"/>
        <v>427.19889995542212</v>
      </c>
      <c r="E61" s="51">
        <f t="shared" ca="1" si="4"/>
        <v>427.19889995542212</v>
      </c>
      <c r="F61" s="51">
        <f t="shared" ca="1" si="4"/>
        <v>427.19889995542212</v>
      </c>
      <c r="G61" s="51">
        <f t="shared" ca="1" si="4"/>
        <v>427.19889995542212</v>
      </c>
      <c r="H61" s="51">
        <f t="shared" ca="1" si="4"/>
        <v>427.19889995542212</v>
      </c>
    </row>
    <row r="62" spans="2:8" x14ac:dyDescent="0.25">
      <c r="B62" s="32" t="s">
        <v>86</v>
      </c>
      <c r="C62" s="51">
        <f ca="1">C61*6</f>
        <v>2563.1933997325327</v>
      </c>
      <c r="D62" s="51">
        <f ca="1">D61*12</f>
        <v>5126.3867994650655</v>
      </c>
      <c r="E62" s="51">
        <f ca="1">E61*24</f>
        <v>10252.773598930131</v>
      </c>
      <c r="F62" s="51">
        <f ca="1">F61*36</f>
        <v>15379.160398395197</v>
      </c>
      <c r="G62" s="51">
        <f ca="1">G61*48</f>
        <v>20505.547197860262</v>
      </c>
      <c r="H62" s="51">
        <f ca="1">H61*60</f>
        <v>25631.933997325326</v>
      </c>
    </row>
    <row r="63" spans="2:8" x14ac:dyDescent="0.25">
      <c r="B63" s="32" t="s">
        <v>77</v>
      </c>
      <c r="C63" s="51">
        <f>6*C29</f>
        <v>9000</v>
      </c>
      <c r="D63" s="51">
        <f>Data!I5</f>
        <v>18000</v>
      </c>
      <c r="E63" s="51">
        <f>Data!I6</f>
        <v>36630</v>
      </c>
      <c r="F63" s="51">
        <f>Data!I7</f>
        <v>55912.05</v>
      </c>
      <c r="G63" s="51">
        <f>Data!I8</f>
        <v>75868.971749999997</v>
      </c>
      <c r="H63" s="51">
        <f>Data!I9</f>
        <v>96524.385761249985</v>
      </c>
    </row>
    <row r="64" spans="2:8" x14ac:dyDescent="0.25">
      <c r="B64" s="55" t="s">
        <v>94</v>
      </c>
      <c r="C64" s="54">
        <f ca="1">C63-C62</f>
        <v>6436.8066002674677</v>
      </c>
      <c r="D64" s="54">
        <f t="shared" ref="D64:H64" ca="1" si="5">D63-D62</f>
        <v>12873.613200534935</v>
      </c>
      <c r="E64" s="54">
        <f t="shared" ca="1" si="5"/>
        <v>26377.226401069871</v>
      </c>
      <c r="F64" s="54">
        <f t="shared" ca="1" si="5"/>
        <v>40532.889601604809</v>
      </c>
      <c r="G64" s="54">
        <f t="shared" ca="1" si="5"/>
        <v>55363.424552139739</v>
      </c>
      <c r="H64" s="54">
        <f t="shared" ca="1" si="5"/>
        <v>70892.451763924662</v>
      </c>
    </row>
    <row r="65" spans="2:8" x14ac:dyDescent="0.25">
      <c r="B65" s="56" t="s">
        <v>95</v>
      </c>
      <c r="C65" s="57">
        <f t="shared" ref="C65:H65" si="6">C55-PurchasePrice</f>
        <v>5249.9999999999418</v>
      </c>
      <c r="D65" s="57">
        <f t="shared" si="6"/>
        <v>10500</v>
      </c>
      <c r="E65" s="57">
        <f t="shared" si="6"/>
        <v>21315</v>
      </c>
      <c r="F65" s="57">
        <f t="shared" si="6"/>
        <v>32454.450000000012</v>
      </c>
      <c r="G65" s="57">
        <f t="shared" si="6"/>
        <v>43928.083500000008</v>
      </c>
      <c r="H65" s="57">
        <f t="shared" si="6"/>
        <v>55745.926005000016</v>
      </c>
    </row>
    <row r="66" spans="2:8" ht="18.75" x14ac:dyDescent="0.3">
      <c r="B66" s="61" t="s">
        <v>96</v>
      </c>
      <c r="C66" s="62">
        <f ca="1">C65+C64</f>
        <v>11686.80660026741</v>
      </c>
      <c r="D66" s="63">
        <f t="shared" ref="D66:H66" ca="1" si="7">D65+D64</f>
        <v>23373.613200534935</v>
      </c>
      <c r="E66" s="64">
        <f t="shared" ca="1" si="7"/>
        <v>47692.226401069871</v>
      </c>
      <c r="F66" s="64">
        <f t="shared" ca="1" si="7"/>
        <v>72987.339601604821</v>
      </c>
      <c r="G66" s="63">
        <f t="shared" ca="1" si="7"/>
        <v>99291.508052139747</v>
      </c>
      <c r="H66" s="64">
        <f t="shared" ca="1" si="7"/>
        <v>126638.37776892468</v>
      </c>
    </row>
  </sheetData>
  <sheetProtection algorithmName="SHA-512" hashValue="V8gtPFnOe2MbYU/oElGLKeLc5mp7v9j+pSjuN0cmyBpc+EKwVmKWw3ZP1t9zPA7j3xxUVomwnBg5LpLI4j9dzg==" saltValue="UQ5W8DGzZSh0vdn7aaCJFg==" spinCount="100000" sheet="1" selectLockedCells="1"/>
  <mergeCells count="11">
    <mergeCell ref="M9:N9"/>
    <mergeCell ref="M16:N16"/>
    <mergeCell ref="M23:N23"/>
    <mergeCell ref="M8:Q8"/>
    <mergeCell ref="B28:C28"/>
    <mergeCell ref="B8:C8"/>
    <mergeCell ref="B12:C12"/>
    <mergeCell ref="B18:C18"/>
    <mergeCell ref="P9:Q9"/>
    <mergeCell ref="P16:Q16"/>
    <mergeCell ref="P23:Q23"/>
  </mergeCells>
  <hyperlinks>
    <hyperlink ref="B5" r:id="rId1" xr:uid="{6F43948D-5D98-4897-861E-12BD2D6DD570}"/>
  </hyperlinks>
  <pageMargins left="0.7" right="0.7" top="0.75" bottom="0.75" header="0.3" footer="0.3"/>
  <ignoredErrors>
    <ignoredError sqref="C2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A257-1D08-47DF-9533-F2829A218623}">
  <sheetPr codeName="Sheet1"/>
  <dimension ref="A4:C30"/>
  <sheetViews>
    <sheetView showGridLines="0" zoomScale="115" zoomScaleNormal="115" workbookViewId="0">
      <selection activeCell="C12" sqref="C12"/>
    </sheetView>
  </sheetViews>
  <sheetFormatPr defaultColWidth="9.140625" defaultRowHeight="15" x14ac:dyDescent="0.25"/>
  <cols>
    <col min="2" max="2" width="19.140625" bestFit="1" customWidth="1"/>
    <col min="3" max="3" width="15.7109375" bestFit="1" customWidth="1"/>
  </cols>
  <sheetData>
    <row r="4" spans="2:3" x14ac:dyDescent="0.25">
      <c r="B4" s="32" t="s">
        <v>0</v>
      </c>
      <c r="C4" s="91">
        <f>PurchasePrice</f>
        <v>350000</v>
      </c>
    </row>
    <row r="5" spans="2:3" x14ac:dyDescent="0.25">
      <c r="B5" s="32" t="s">
        <v>1</v>
      </c>
      <c r="C5" s="92">
        <f>Dashboard!C14</f>
        <v>0.05</v>
      </c>
    </row>
    <row r="6" spans="2:3" x14ac:dyDescent="0.25">
      <c r="B6" s="32" t="s">
        <v>27</v>
      </c>
      <c r="C6" s="33">
        <f>PurchasePrice*DownPercent</f>
        <v>17500</v>
      </c>
    </row>
    <row r="7" spans="2:3" x14ac:dyDescent="0.25">
      <c r="B7" s="32" t="s">
        <v>28</v>
      </c>
      <c r="C7" s="33">
        <f>InitLoanAmt</f>
        <v>332500</v>
      </c>
    </row>
    <row r="8" spans="2:3" x14ac:dyDescent="0.25">
      <c r="B8" s="32" t="s">
        <v>2</v>
      </c>
      <c r="C8" s="91">
        <f>InitLoanTerm</f>
        <v>30</v>
      </c>
    </row>
    <row r="9" spans="2:3" x14ac:dyDescent="0.25">
      <c r="B9" s="32" t="s">
        <v>43</v>
      </c>
      <c r="C9" s="93">
        <f>HiMtgRate</f>
        <v>7.0000000000000007E-2</v>
      </c>
    </row>
    <row r="10" spans="2:3" x14ac:dyDescent="0.25">
      <c r="B10" s="32" t="s">
        <v>3</v>
      </c>
      <c r="C10" s="94">
        <f>AppRate</f>
        <v>0.03</v>
      </c>
    </row>
    <row r="12" spans="2:3" ht="21" x14ac:dyDescent="0.35">
      <c r="B12" s="34" t="s">
        <v>32</v>
      </c>
      <c r="C12" s="31">
        <v>7</v>
      </c>
    </row>
    <row r="13" spans="2:3" ht="21" x14ac:dyDescent="0.35">
      <c r="B13" s="34" t="s">
        <v>33</v>
      </c>
      <c r="C13" s="35">
        <f ca="1">_xlfn.XLOOKUP(C12,Data!$B$3:$B$38,Data!F3:F38)</f>
        <v>127390.7011092013</v>
      </c>
    </row>
    <row r="14" spans="2:3" ht="21" x14ac:dyDescent="0.35">
      <c r="B14" s="34"/>
      <c r="C14" s="35">
        <v>4262</v>
      </c>
    </row>
    <row r="15" spans="2:3" ht="21" x14ac:dyDescent="0.35">
      <c r="B15" s="34"/>
      <c r="C15" s="39">
        <f ca="1">C13-C14</f>
        <v>123128.7011092013</v>
      </c>
    </row>
    <row r="24" spans="1:3" ht="15.75" x14ac:dyDescent="0.25">
      <c r="A24" s="36" t="s">
        <v>34</v>
      </c>
    </row>
    <row r="25" spans="1:3" ht="15.75" x14ac:dyDescent="0.25">
      <c r="A25" s="37" t="s">
        <v>35</v>
      </c>
    </row>
    <row r="26" spans="1:3" ht="15.75" x14ac:dyDescent="0.25">
      <c r="A26" s="36" t="s">
        <v>36</v>
      </c>
    </row>
    <row r="30" spans="1:3" x14ac:dyDescent="0.25">
      <c r="C30" s="38"/>
    </row>
  </sheetData>
  <sheetProtection algorithmName="SHA-512" hashValue="WEtpnxE8s7fRvFBINDFKX5vTdD1Da4lYL/+3J3jzjQH6/RVZPBRC8cbjeyoyrGn8Y6Rz7rziF5+7LgeVA8JUyQ==" saltValue="OZR8JMLWUvaHGQ6WN6YNOQ==" spinCount="100000" sheet="1" selectLockedCells="1"/>
  <hyperlinks>
    <hyperlink ref="A25" r:id="rId1" xr:uid="{5D38629D-91BA-4E23-95AA-8EDEBD2688DB}"/>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AA95-A9DE-4E75-AE0C-6DBA0A41BA5A}">
  <sheetPr codeName="Sheet2">
    <tabColor rgb="FF002060"/>
  </sheetPr>
  <dimension ref="B1:P40"/>
  <sheetViews>
    <sheetView showGridLines="0" workbookViewId="0">
      <selection activeCell="F10" sqref="F10"/>
    </sheetView>
  </sheetViews>
  <sheetFormatPr defaultRowHeight="15" x14ac:dyDescent="0.25"/>
  <cols>
    <col min="4" max="4" width="11.85546875" bestFit="1" customWidth="1"/>
    <col min="5" max="5" width="13.5703125" bestFit="1" customWidth="1"/>
    <col min="6" max="6" width="15.5703125" bestFit="1" customWidth="1"/>
    <col min="7" max="7" width="11.5703125" bestFit="1" customWidth="1"/>
    <col min="8" max="8" width="13.7109375" bestFit="1" customWidth="1"/>
    <col min="9" max="11" width="13.28515625" bestFit="1" customWidth="1"/>
    <col min="12" max="12" width="13.5703125" bestFit="1" customWidth="1"/>
    <col min="13" max="13" width="20" bestFit="1" customWidth="1"/>
    <col min="14" max="14" width="18.85546875" customWidth="1"/>
    <col min="15" max="16" width="13.28515625" bestFit="1" customWidth="1"/>
  </cols>
  <sheetData>
    <row r="1" spans="2:16" ht="60" x14ac:dyDescent="0.25">
      <c r="I1" s="4" t="s">
        <v>45</v>
      </c>
      <c r="J1" s="4" t="s">
        <v>45</v>
      </c>
      <c r="K1" s="4" t="s">
        <v>45</v>
      </c>
      <c r="L1" s="4" t="s">
        <v>113</v>
      </c>
      <c r="M1" s="4" t="s">
        <v>113</v>
      </c>
      <c r="N1" s="73" t="s">
        <v>118</v>
      </c>
      <c r="O1" s="4" t="s">
        <v>120</v>
      </c>
      <c r="P1" s="4" t="s">
        <v>115</v>
      </c>
    </row>
    <row r="2" spans="2:16" ht="75" x14ac:dyDescent="0.25">
      <c r="B2" s="26" t="s">
        <v>119</v>
      </c>
      <c r="C2" s="26" t="s">
        <v>31</v>
      </c>
      <c r="D2" s="4" t="s">
        <v>0</v>
      </c>
      <c r="E2" s="4" t="s">
        <v>29</v>
      </c>
      <c r="F2" s="4" t="s">
        <v>30</v>
      </c>
      <c r="G2" s="4" t="s">
        <v>44</v>
      </c>
      <c r="H2" s="4" t="s">
        <v>76</v>
      </c>
      <c r="I2" s="4" t="s">
        <v>46</v>
      </c>
      <c r="J2" s="4" t="s">
        <v>110</v>
      </c>
      <c r="K2" s="4" t="s">
        <v>111</v>
      </c>
      <c r="L2" s="4" t="s">
        <v>112</v>
      </c>
      <c r="M2" s="4" t="s">
        <v>117</v>
      </c>
      <c r="N2" s="4" t="s">
        <v>114</v>
      </c>
      <c r="O2" s="4" t="s">
        <v>114</v>
      </c>
      <c r="P2" s="4" t="s">
        <v>114</v>
      </c>
    </row>
    <row r="3" spans="2:16" x14ac:dyDescent="0.25">
      <c r="B3" s="1">
        <v>0</v>
      </c>
      <c r="C3" s="1">
        <f>B3*12</f>
        <v>0</v>
      </c>
      <c r="D3" s="27">
        <f>PurchasePrice</f>
        <v>350000</v>
      </c>
      <c r="E3" s="27">
        <f>InitLoanAmt</f>
        <v>332500</v>
      </c>
      <c r="F3" s="27">
        <f>D3-E3</f>
        <v>17500</v>
      </c>
      <c r="G3" s="27">
        <v>0</v>
      </c>
      <c r="H3" s="27">
        <f>Dashboard!C29</f>
        <v>1500</v>
      </c>
      <c r="I3" s="27">
        <v>0</v>
      </c>
      <c r="J3" s="27">
        <v>0</v>
      </c>
      <c r="K3" s="27">
        <v>0</v>
      </c>
      <c r="L3" s="27">
        <v>0</v>
      </c>
      <c r="M3" s="27">
        <f>-L3</f>
        <v>0</v>
      </c>
      <c r="N3" s="27">
        <v>0</v>
      </c>
      <c r="O3" s="27">
        <v>0</v>
      </c>
      <c r="P3" s="27">
        <f>N3+O3</f>
        <v>0</v>
      </c>
    </row>
    <row r="4" spans="2:16" x14ac:dyDescent="0.25">
      <c r="B4" s="3">
        <v>0.5</v>
      </c>
      <c r="C4" s="3">
        <v>6</v>
      </c>
      <c r="D4" s="29">
        <f>D3*(1+(AppRate/2))</f>
        <v>355249.99999999994</v>
      </c>
      <c r="E4" s="29">
        <f ca="1">IFERROR(_xlfn.XLOOKUP(C4,'Loan Schedule High'!$B$14:$B$373,'Loan Schedule High'!$J$14:$J$373),0)</f>
        <v>330840.68102107418</v>
      </c>
      <c r="F4" s="29">
        <f t="shared" ref="F4:F39" ca="1" si="0">D4-E4</f>
        <v>24409.318978925759</v>
      </c>
      <c r="G4" s="29">
        <f>CurrentYearlyRent</f>
        <v>18000</v>
      </c>
      <c r="H4" s="29">
        <f>H3</f>
        <v>1500</v>
      </c>
      <c r="I4" s="29">
        <f>H4*6</f>
        <v>9000</v>
      </c>
      <c r="J4" s="29" cm="1">
        <f t="array" aca="1" ref="J4" ca="1">_xlfn.XLOOKUP(C4,PaymentSchedule3[Payment Number],PaymentSchedule3[Cumulative
Interest]+_xlfn.XLOOKUP(Data!C4,PaymentSchedule3[Payment Number],PaymentSchedule3[Cumulative Principal]))</f>
        <v>13272.784778824705</v>
      </c>
      <c r="K4" s="29" cm="1">
        <f t="array" aca="1" ref="K4" ca="1">_xlfn.XLOOKUP(C4,PaymentSchedule33[Payment Number],PaymentSchedule33[Cumulative Principal]+_xlfn.XLOOKUP(Data!C4,PaymentSchedule33[Payment Number],PaymentSchedule33[Cumulative
Interest]))</f>
        <v>10709.591379092173</v>
      </c>
      <c r="L4" s="29">
        <f ca="1">-(J4-K4)</f>
        <v>-2563.1933997325323</v>
      </c>
      <c r="M4" s="29">
        <f t="shared" ref="M4:M39" ca="1" si="1">-L4</f>
        <v>2563.1933997325323</v>
      </c>
      <c r="N4" s="29">
        <f t="shared" ref="N4:N39" ca="1" si="2">I4+L4</f>
        <v>6436.8066002674677</v>
      </c>
      <c r="O4" s="29">
        <f>D4-$D$3</f>
        <v>5249.9999999999418</v>
      </c>
      <c r="P4" s="29">
        <f ca="1">N4+O4</f>
        <v>11686.80660026741</v>
      </c>
    </row>
    <row r="5" spans="2:16" x14ac:dyDescent="0.25">
      <c r="B5" s="2">
        <v>1</v>
      </c>
      <c r="C5" s="2">
        <f t="shared" ref="C5:C39" si="3">B5*12</f>
        <v>12</v>
      </c>
      <c r="D5" s="28">
        <f>D3*(1+AppRate)</f>
        <v>360500</v>
      </c>
      <c r="E5" s="28">
        <f ca="1">IFERROR(_xlfn.XLOOKUP(C5,'Loan Schedule High'!$B$14:$B$373,'Loan Schedule High'!$J$14:$J$373),0)</f>
        <v>329122.43231759412</v>
      </c>
      <c r="F5" s="28">
        <f t="shared" ca="1" si="0"/>
        <v>31377.567682405876</v>
      </c>
      <c r="G5" s="28">
        <f>CurrentYearlyRent</f>
        <v>18000</v>
      </c>
      <c r="H5" s="28">
        <v>2100</v>
      </c>
      <c r="I5" s="28">
        <f>I3+G5</f>
        <v>18000</v>
      </c>
      <c r="J5" s="28" cm="1">
        <f t="array" aca="1" ref="J5" ca="1">_xlfn.XLOOKUP(C5,PaymentSchedule3[Payment Number],PaymentSchedule3[Cumulative
Interest]+_xlfn.XLOOKUP(Data!C5,PaymentSchedule3[Payment Number],PaymentSchedule3[Cumulative Principal]))</f>
        <v>26545.569557649411</v>
      </c>
      <c r="K5" s="28" cm="1">
        <f t="array" aca="1" ref="K5" ca="1">_xlfn.XLOOKUP(C5,PaymentSchedule33[Payment Number],PaymentSchedule33[Cumulative Principal]+_xlfn.XLOOKUP(Data!C5,PaymentSchedule33[Payment Number],PaymentSchedule33[Cumulative
Interest]))</f>
        <v>21419.18275818435</v>
      </c>
      <c r="L5" s="28">
        <f ca="1">-(J5-K5)</f>
        <v>-5126.3867994650609</v>
      </c>
      <c r="M5" s="28">
        <f t="shared" ca="1" si="1"/>
        <v>5126.3867994650609</v>
      </c>
      <c r="N5" s="28">
        <f t="shared" ca="1" si="2"/>
        <v>12873.613200534939</v>
      </c>
      <c r="O5" s="28">
        <f>D5-$D$3</f>
        <v>10500</v>
      </c>
      <c r="P5" s="28">
        <f ca="1">N5+O5</f>
        <v>23373.613200534939</v>
      </c>
    </row>
    <row r="6" spans="2:16" x14ac:dyDescent="0.25">
      <c r="B6" s="2">
        <v>2</v>
      </c>
      <c r="C6" s="2">
        <f t="shared" si="3"/>
        <v>24</v>
      </c>
      <c r="D6" s="28">
        <f t="shared" ref="D6:D39" si="4">D5*(1+AppRate)</f>
        <v>371315</v>
      </c>
      <c r="E6" s="28">
        <f ca="1">IFERROR(_xlfn.XLOOKUP(C6,'Loan Schedule High'!$B$14:$B$373,'Loan Schedule High'!$J$14:$J$373),0)</f>
        <v>325500.69999432971</v>
      </c>
      <c r="F6" s="28">
        <f t="shared" ca="1" si="0"/>
        <v>45814.300005670288</v>
      </c>
      <c r="G6" s="28">
        <f t="shared" ref="G6:G39" si="5">G5*(1+RentIncrease)</f>
        <v>18630</v>
      </c>
      <c r="H6" s="28">
        <f t="shared" ref="H6:H39" si="6">H5*(1+RentIncrease)</f>
        <v>2173.5</v>
      </c>
      <c r="I6" s="28">
        <f t="shared" ref="I6:I39" si="7">I5+G6</f>
        <v>36630</v>
      </c>
      <c r="J6" s="28" cm="1">
        <f t="array" aca="1" ref="J6" ca="1">_xlfn.XLOOKUP(C6,PaymentSchedule3[Payment Number],PaymentSchedule3[Cumulative
Interest]+_xlfn.XLOOKUP(Data!C6,PaymentSchedule3[Payment Number],PaymentSchedule3[Cumulative Principal]))</f>
        <v>53091.139115298829</v>
      </c>
      <c r="K6" s="28" cm="1">
        <f t="array" aca="1" ref="K6" ca="1">_xlfn.XLOOKUP(C6,PaymentSchedule33[Payment Number],PaymentSchedule33[Cumulative Principal]+_xlfn.XLOOKUP(Data!C6,PaymentSchedule33[Payment Number],PaymentSchedule33[Cumulative
Interest]))</f>
        <v>42838.365516368693</v>
      </c>
      <c r="L6" s="28">
        <f t="shared" ref="L6:L34" ca="1" si="8">-(J6-K6)</f>
        <v>-10252.773598930136</v>
      </c>
      <c r="M6" s="28">
        <f t="shared" ca="1" si="1"/>
        <v>10252.773598930136</v>
      </c>
      <c r="N6" s="28">
        <f t="shared" ca="1" si="2"/>
        <v>26377.226401069864</v>
      </c>
      <c r="O6" s="28">
        <f t="shared" ref="O6:O39" si="9">D6-$D$3</f>
        <v>21315</v>
      </c>
      <c r="P6" s="28">
        <f t="shared" ref="P6:P39" ca="1" si="10">N6+O6</f>
        <v>47692.226401069864</v>
      </c>
    </row>
    <row r="7" spans="2:16" x14ac:dyDescent="0.25">
      <c r="B7" s="2">
        <v>3</v>
      </c>
      <c r="C7" s="2">
        <f t="shared" si="3"/>
        <v>36</v>
      </c>
      <c r="D7" s="28">
        <f t="shared" si="4"/>
        <v>382454.45</v>
      </c>
      <c r="E7" s="28">
        <f ca="1">IFERROR(_xlfn.XLOOKUP(C7,'Loan Schedule High'!$B$14:$B$373,'Loan Schedule High'!$J$14:$J$373),0)</f>
        <v>321617.1523485767</v>
      </c>
      <c r="F7" s="28">
        <f t="shared" ca="1" si="0"/>
        <v>60837.297651423316</v>
      </c>
      <c r="G7" s="28">
        <f t="shared" si="5"/>
        <v>19282.05</v>
      </c>
      <c r="H7" s="28">
        <f t="shared" si="6"/>
        <v>2249.5724999999998</v>
      </c>
      <c r="I7" s="28">
        <f t="shared" si="7"/>
        <v>55912.05</v>
      </c>
      <c r="J7" s="28" cm="1">
        <f t="array" aca="1" ref="J7" ca="1">_xlfn.XLOOKUP(C7,PaymentSchedule3[Payment Number],PaymentSchedule3[Cumulative
Interest]+_xlfn.XLOOKUP(Data!C7,PaymentSchedule3[Payment Number],PaymentSchedule3[Cumulative Principal]))</f>
        <v>79636.708672948225</v>
      </c>
      <c r="K7" s="28" cm="1">
        <f t="array" aca="1" ref="K7" ca="1">_xlfn.XLOOKUP(C7,PaymentSchedule33[Payment Number],PaymentSchedule33[Cumulative Principal]+_xlfn.XLOOKUP(Data!C7,PaymentSchedule33[Payment Number],PaymentSchedule33[Cumulative
Interest]))</f>
        <v>64257.548274553046</v>
      </c>
      <c r="L7" s="28">
        <f t="shared" ca="1" si="8"/>
        <v>-15379.160398395179</v>
      </c>
      <c r="M7" s="28">
        <f t="shared" ca="1" si="1"/>
        <v>15379.160398395179</v>
      </c>
      <c r="N7" s="28">
        <f t="shared" ca="1" si="2"/>
        <v>40532.889601604824</v>
      </c>
      <c r="O7" s="28">
        <f t="shared" si="9"/>
        <v>32454.450000000012</v>
      </c>
      <c r="P7" s="28">
        <f t="shared" ca="1" si="10"/>
        <v>72987.339601604835</v>
      </c>
    </row>
    <row r="8" spans="2:16" x14ac:dyDescent="0.25">
      <c r="B8" s="2">
        <v>4</v>
      </c>
      <c r="C8" s="2">
        <f t="shared" si="3"/>
        <v>48</v>
      </c>
      <c r="D8" s="28">
        <f t="shared" si="4"/>
        <v>393928.08350000001</v>
      </c>
      <c r="E8" s="28">
        <f ca="1">IFERROR(_xlfn.XLOOKUP(C8,'Loan Schedule High'!$B$14:$B$373,'Loan Schedule High'!$J$14:$J$373),0)</f>
        <v>317452.86272950319</v>
      </c>
      <c r="F8" s="28">
        <f t="shared" ca="1" si="0"/>
        <v>76475.220770496817</v>
      </c>
      <c r="G8" s="28">
        <f t="shared" si="5"/>
        <v>19956.921749999998</v>
      </c>
      <c r="H8" s="28">
        <f t="shared" si="6"/>
        <v>2328.3075374999994</v>
      </c>
      <c r="I8" s="28">
        <f t="shared" si="7"/>
        <v>75868.971749999997</v>
      </c>
      <c r="J8" s="28" cm="1">
        <f t="array" aca="1" ref="J8" ca="1">_xlfn.XLOOKUP(C8,PaymentSchedule3[Payment Number],PaymentSchedule3[Cumulative
Interest]+_xlfn.XLOOKUP(Data!C8,PaymentSchedule3[Payment Number],PaymentSchedule3[Cumulative Principal]))</f>
        <v>106182.27823059761</v>
      </c>
      <c r="K8" s="28" cm="1">
        <f t="array" aca="1" ref="K8" ca="1">_xlfn.XLOOKUP(C8,PaymentSchedule33[Payment Number],PaymentSchedule33[Cumulative Principal]+_xlfn.XLOOKUP(Data!C8,PaymentSchedule33[Payment Number],PaymentSchedule33[Cumulative
Interest]))</f>
        <v>85676.7310327374</v>
      </c>
      <c r="L8" s="28">
        <f t="shared" ca="1" si="8"/>
        <v>-20505.547197860215</v>
      </c>
      <c r="M8" s="28">
        <f t="shared" ca="1" si="1"/>
        <v>20505.547197860215</v>
      </c>
      <c r="N8" s="28">
        <f t="shared" ca="1" si="2"/>
        <v>55363.424552139782</v>
      </c>
      <c r="O8" s="28">
        <f t="shared" si="9"/>
        <v>43928.083500000008</v>
      </c>
      <c r="P8" s="28">
        <f t="shared" ca="1" si="10"/>
        <v>99291.50805213979</v>
      </c>
    </row>
    <row r="9" spans="2:16" x14ac:dyDescent="0.25">
      <c r="B9" s="2">
        <v>5</v>
      </c>
      <c r="C9" s="2">
        <f t="shared" si="3"/>
        <v>60</v>
      </c>
      <c r="D9" s="28">
        <f t="shared" si="4"/>
        <v>405745.92600500002</v>
      </c>
      <c r="E9" s="28">
        <f ca="1">IFERROR(_xlfn.XLOOKUP(C9,'Loan Schedule High'!$B$14:$B$373,'Loan Schedule High'!$J$14:$J$373),0)</f>
        <v>312987.53627715813</v>
      </c>
      <c r="F9" s="28">
        <f t="shared" ca="1" si="0"/>
        <v>92758.389727841888</v>
      </c>
      <c r="G9" s="28">
        <f t="shared" si="5"/>
        <v>20655.414011249995</v>
      </c>
      <c r="H9" s="28">
        <f t="shared" si="6"/>
        <v>2409.798301312499</v>
      </c>
      <c r="I9" s="28">
        <f t="shared" si="7"/>
        <v>96524.385761249985</v>
      </c>
      <c r="J9" s="28" cm="1">
        <f t="array" aca="1" ref="J9" ca="1">_xlfn.XLOOKUP(C9,PaymentSchedule3[Payment Number],PaymentSchedule3[Cumulative
Interest]+_xlfn.XLOOKUP(Data!C9,PaymentSchedule3[Payment Number],PaymentSchedule3[Cumulative Principal]))</f>
        <v>132727.84778824702</v>
      </c>
      <c r="K9" s="28" cm="1">
        <f t="array" aca="1" ref="K9" ca="1">_xlfn.XLOOKUP(C9,PaymentSchedule33[Payment Number],PaymentSchedule33[Cumulative Principal]+_xlfn.XLOOKUP(Data!C9,PaymentSchedule33[Payment Number],PaymentSchedule33[Cumulative
Interest]))</f>
        <v>107095.91379092175</v>
      </c>
      <c r="L9" s="28">
        <f t="shared" ca="1" si="8"/>
        <v>-25631.933997325264</v>
      </c>
      <c r="M9" s="28">
        <f t="shared" ca="1" si="1"/>
        <v>25631.933997325264</v>
      </c>
      <c r="N9" s="28">
        <f t="shared" ca="1" si="2"/>
        <v>70892.451763924721</v>
      </c>
      <c r="O9" s="28">
        <f t="shared" si="9"/>
        <v>55745.926005000016</v>
      </c>
      <c r="P9" s="28">
        <f t="shared" ca="1" si="10"/>
        <v>126638.37776892474</v>
      </c>
    </row>
    <row r="10" spans="2:16" x14ac:dyDescent="0.25">
      <c r="B10" s="3">
        <v>6</v>
      </c>
      <c r="C10" s="3">
        <f t="shared" si="3"/>
        <v>72</v>
      </c>
      <c r="D10" s="29">
        <f t="shared" si="4"/>
        <v>417918.30378515006</v>
      </c>
      <c r="E10" s="29">
        <f ca="1">IFERROR(_xlfn.XLOOKUP(C10,'Loan Schedule High'!$B$14:$B$373,'Loan Schedule High'!$J$14:$J$373),0)</f>
        <v>308199.41101452347</v>
      </c>
      <c r="F10" s="29">
        <f t="shared" ca="1" si="0"/>
        <v>109718.89277062658</v>
      </c>
      <c r="G10" s="29">
        <f t="shared" si="5"/>
        <v>21378.353501643742</v>
      </c>
      <c r="H10" s="29">
        <f t="shared" si="6"/>
        <v>2494.1412418584364</v>
      </c>
      <c r="I10" s="29">
        <f t="shared" si="7"/>
        <v>117902.73926289372</v>
      </c>
      <c r="J10" s="29" cm="1">
        <f t="array" aca="1" ref="J10" ca="1">_xlfn.XLOOKUP(C10,PaymentSchedule3[Payment Number],PaymentSchedule3[Cumulative
Interest]+_xlfn.XLOOKUP(Data!C10,PaymentSchedule3[Payment Number],PaymentSchedule3[Cumulative Principal]))</f>
        <v>159273.41734589642</v>
      </c>
      <c r="K10" s="29" cm="1">
        <f t="array" aca="1" ref="K10" ca="1">_xlfn.XLOOKUP(C10,PaymentSchedule33[Payment Number],PaymentSchedule33[Cumulative Principal]+_xlfn.XLOOKUP(Data!C10,PaymentSchedule33[Payment Number],PaymentSchedule33[Cumulative
Interest]))</f>
        <v>128515.09654910612</v>
      </c>
      <c r="L10" s="29">
        <f t="shared" ca="1" si="8"/>
        <v>-30758.3207967903</v>
      </c>
      <c r="M10" s="29">
        <f t="shared" ca="1" si="1"/>
        <v>30758.3207967903</v>
      </c>
      <c r="N10" s="29">
        <f t="shared" ca="1" si="2"/>
        <v>87144.418466103423</v>
      </c>
      <c r="O10" s="29">
        <f t="shared" si="9"/>
        <v>67918.303785150056</v>
      </c>
      <c r="P10" s="29">
        <f t="shared" ca="1" si="10"/>
        <v>155062.72225125349</v>
      </c>
    </row>
    <row r="11" spans="2:16" x14ac:dyDescent="0.25">
      <c r="B11" s="3">
        <v>7</v>
      </c>
      <c r="C11" s="3">
        <f t="shared" si="3"/>
        <v>84</v>
      </c>
      <c r="D11" s="29">
        <f t="shared" si="4"/>
        <v>430455.85289870459</v>
      </c>
      <c r="E11" s="29">
        <f ca="1">IFERROR(_xlfn.XLOOKUP(C11,'Loan Schedule High'!$B$14:$B$373,'Loan Schedule High'!$J$14:$J$373),0)</f>
        <v>303065.15178950329</v>
      </c>
      <c r="F11" s="29">
        <f t="shared" ca="1" si="0"/>
        <v>127390.7011092013</v>
      </c>
      <c r="G11" s="29">
        <f t="shared" si="5"/>
        <v>22126.59587420127</v>
      </c>
      <c r="H11" s="29">
        <f t="shared" si="6"/>
        <v>2581.4361853234814</v>
      </c>
      <c r="I11" s="29">
        <f t="shared" si="7"/>
        <v>140029.33513709498</v>
      </c>
      <c r="J11" s="29" cm="1">
        <f t="array" aca="1" ref="J11" ca="1">_xlfn.XLOOKUP(C11,PaymentSchedule3[Payment Number],PaymentSchedule3[Cumulative
Interest]+_xlfn.XLOOKUP(Data!C11,PaymentSchedule3[Payment Number],PaymentSchedule3[Cumulative Principal]))</f>
        <v>185818.98690354583</v>
      </c>
      <c r="K11" s="29" cm="1">
        <f t="array" aca="1" ref="K11" ca="1">_xlfn.XLOOKUP(C11,PaymentSchedule33[Payment Number],PaymentSchedule33[Cumulative Principal]+_xlfn.XLOOKUP(Data!C11,PaymentSchedule33[Payment Number],PaymentSchedule33[Cumulative
Interest]))</f>
        <v>149934.27930729048</v>
      </c>
      <c r="L11" s="29">
        <f t="shared" ca="1" si="8"/>
        <v>-35884.70759625535</v>
      </c>
      <c r="M11" s="29">
        <f t="shared" ca="1" si="1"/>
        <v>35884.70759625535</v>
      </c>
      <c r="N11" s="29">
        <f t="shared" ca="1" si="2"/>
        <v>104144.62754083963</v>
      </c>
      <c r="O11" s="29">
        <f t="shared" si="9"/>
        <v>80455.852898704587</v>
      </c>
      <c r="P11" s="29">
        <f t="shared" ca="1" si="10"/>
        <v>184600.48043954422</v>
      </c>
    </row>
    <row r="12" spans="2:16" x14ac:dyDescent="0.25">
      <c r="B12" s="3">
        <v>8</v>
      </c>
      <c r="C12" s="3">
        <f t="shared" si="3"/>
        <v>96</v>
      </c>
      <c r="D12" s="29">
        <f t="shared" si="4"/>
        <v>443369.52848566574</v>
      </c>
      <c r="E12" s="29">
        <f ca="1">IFERROR(_xlfn.XLOOKUP(C12,'Loan Schedule High'!$B$14:$B$373,'Loan Schedule High'!$J$14:$J$373),0)</f>
        <v>297559.73654996953</v>
      </c>
      <c r="F12" s="29">
        <f t="shared" ca="1" si="0"/>
        <v>145809.79193569621</v>
      </c>
      <c r="G12" s="29">
        <f t="shared" si="5"/>
        <v>22901.026729798312</v>
      </c>
      <c r="H12" s="29">
        <f t="shared" si="6"/>
        <v>2671.7864518098031</v>
      </c>
      <c r="I12" s="29">
        <f t="shared" si="7"/>
        <v>162930.3618668933</v>
      </c>
      <c r="J12" s="29" cm="1">
        <f t="array" aca="1" ref="J12" ca="1">_xlfn.XLOOKUP(C12,PaymentSchedule3[Payment Number],PaymentSchedule3[Cumulative
Interest]+_xlfn.XLOOKUP(Data!C12,PaymentSchedule3[Payment Number],PaymentSchedule3[Cumulative Principal]))</f>
        <v>212364.55646119529</v>
      </c>
      <c r="K12" s="29" cm="1">
        <f t="array" aca="1" ref="K12" ca="1">_xlfn.XLOOKUP(C12,PaymentSchedule33[Payment Number],PaymentSchedule33[Cumulative Principal]+_xlfn.XLOOKUP(Data!C12,PaymentSchedule33[Payment Number],PaymentSchedule33[Cumulative
Interest]))</f>
        <v>171353.46206547483</v>
      </c>
      <c r="L12" s="29">
        <f t="shared" ca="1" si="8"/>
        <v>-41011.094395720458</v>
      </c>
      <c r="M12" s="29">
        <f t="shared" ca="1" si="1"/>
        <v>41011.094395720458</v>
      </c>
      <c r="N12" s="29">
        <f t="shared" ca="1" si="2"/>
        <v>121919.26747117285</v>
      </c>
      <c r="O12" s="29">
        <f t="shared" si="9"/>
        <v>93369.528485665738</v>
      </c>
      <c r="P12" s="29">
        <f t="shared" ca="1" si="10"/>
        <v>215288.79595683858</v>
      </c>
    </row>
    <row r="13" spans="2:16" x14ac:dyDescent="0.25">
      <c r="B13" s="3">
        <v>9</v>
      </c>
      <c r="C13" s="3">
        <f t="shared" si="3"/>
        <v>108</v>
      </c>
      <c r="D13" s="29">
        <f t="shared" si="4"/>
        <v>456670.61434023571</v>
      </c>
      <c r="E13" s="29">
        <f ca="1">IFERROR(_xlfn.XLOOKUP(C13,'Loan Schedule High'!$B$14:$B$373,'Loan Schedule High'!$J$14:$J$373),0)</f>
        <v>291656.33439762262</v>
      </c>
      <c r="F13" s="29">
        <f t="shared" ca="1" si="0"/>
        <v>165014.2799426131</v>
      </c>
      <c r="G13" s="29">
        <f t="shared" si="5"/>
        <v>23702.562665341251</v>
      </c>
      <c r="H13" s="29">
        <f t="shared" si="6"/>
        <v>2765.2989776231461</v>
      </c>
      <c r="I13" s="29">
        <f t="shared" si="7"/>
        <v>186632.92453223455</v>
      </c>
      <c r="J13" s="29" cm="1">
        <f t="array" aca="1" ref="J13" ca="1">_xlfn.XLOOKUP(C13,PaymentSchedule3[Payment Number],PaymentSchedule3[Cumulative
Interest]+_xlfn.XLOOKUP(Data!C13,PaymentSchedule3[Payment Number],PaymentSchedule3[Cumulative Principal]))</f>
        <v>238910.12601884472</v>
      </c>
      <c r="K13" s="29" cm="1">
        <f t="array" aca="1" ref="K13" ca="1">_xlfn.XLOOKUP(C13,PaymentSchedule33[Payment Number],PaymentSchedule33[Cumulative Principal]+_xlfn.XLOOKUP(Data!C13,PaymentSchedule33[Payment Number],PaymentSchedule33[Cumulative
Interest]))</f>
        <v>192772.64482365915</v>
      </c>
      <c r="L13" s="29">
        <f t="shared" ca="1" si="8"/>
        <v>-46137.481195185566</v>
      </c>
      <c r="M13" s="29">
        <f t="shared" ca="1" si="1"/>
        <v>46137.481195185566</v>
      </c>
      <c r="N13" s="29">
        <f t="shared" ca="1" si="2"/>
        <v>140495.44333704899</v>
      </c>
      <c r="O13" s="29">
        <f t="shared" si="9"/>
        <v>106670.61434023571</v>
      </c>
      <c r="P13" s="29">
        <f t="shared" ca="1" si="10"/>
        <v>247166.0576772847</v>
      </c>
    </row>
    <row r="14" spans="2:16" x14ac:dyDescent="0.25">
      <c r="B14" s="3">
        <v>10</v>
      </c>
      <c r="C14" s="3">
        <f t="shared" si="3"/>
        <v>120</v>
      </c>
      <c r="D14" s="29">
        <f t="shared" si="4"/>
        <v>470370.73277044279</v>
      </c>
      <c r="E14" s="29">
        <f ca="1">IFERROR(_xlfn.XLOOKUP(C14,'Loan Schedule High'!$B$14:$B$373,'Loan Schedule High'!$J$14:$J$373),0)</f>
        <v>285326.17482635571</v>
      </c>
      <c r="F14" s="29">
        <f t="shared" ca="1" si="0"/>
        <v>185044.55794408708</v>
      </c>
      <c r="G14" s="29">
        <f t="shared" si="5"/>
        <v>24532.152358628195</v>
      </c>
      <c r="H14" s="29">
        <f t="shared" si="6"/>
        <v>2862.0844418399561</v>
      </c>
      <c r="I14" s="29">
        <f t="shared" si="7"/>
        <v>211165.07689086275</v>
      </c>
      <c r="J14" s="29" cm="1">
        <f t="array" aca="1" ref="J14" ca="1">_xlfn.XLOOKUP(C14,PaymentSchedule3[Payment Number],PaymentSchedule3[Cumulative
Interest]+_xlfn.XLOOKUP(Data!C14,PaymentSchedule3[Payment Number],PaymentSchedule3[Cumulative Principal]))</f>
        <v>265455.69557649409</v>
      </c>
      <c r="K14" s="29" cm="1">
        <f t="array" aca="1" ref="K14" ca="1">_xlfn.XLOOKUP(C14,PaymentSchedule33[Payment Number],PaymentSchedule33[Cumulative Principal]+_xlfn.XLOOKUP(Data!C14,PaymentSchedule33[Payment Number],PaymentSchedule33[Cumulative
Interest]))</f>
        <v>214191.82758184348</v>
      </c>
      <c r="L14" s="29">
        <f t="shared" ca="1" si="8"/>
        <v>-51263.867994650616</v>
      </c>
      <c r="M14" s="29">
        <f t="shared" ca="1" si="1"/>
        <v>51263.867994650616</v>
      </c>
      <c r="N14" s="29">
        <f t="shared" ca="1" si="2"/>
        <v>159901.20889621213</v>
      </c>
      <c r="O14" s="29">
        <f t="shared" si="9"/>
        <v>120370.73277044279</v>
      </c>
      <c r="P14" s="29">
        <f t="shared" ca="1" si="10"/>
        <v>280271.94166665489</v>
      </c>
    </row>
    <row r="15" spans="2:16" x14ac:dyDescent="0.25">
      <c r="B15" s="2">
        <v>11</v>
      </c>
      <c r="C15" s="2">
        <f t="shared" si="3"/>
        <v>132</v>
      </c>
      <c r="D15" s="28">
        <f t="shared" si="4"/>
        <v>484481.85475355608</v>
      </c>
      <c r="E15" s="28">
        <f ca="1">IFERROR(_xlfn.XLOOKUP(C15,'Loan Schedule High'!$B$14:$B$373,'Loan Schedule High'!$J$14:$J$373),0)</f>
        <v>278538.40750784904</v>
      </c>
      <c r="F15" s="28">
        <f t="shared" ca="1" si="0"/>
        <v>205943.44724570704</v>
      </c>
      <c r="G15" s="28">
        <f t="shared" si="5"/>
        <v>25390.777691180181</v>
      </c>
      <c r="H15" s="28">
        <f t="shared" si="6"/>
        <v>2962.2573973043545</v>
      </c>
      <c r="I15" s="28">
        <f t="shared" si="7"/>
        <v>236555.85458204293</v>
      </c>
      <c r="J15" s="28" cm="1">
        <f t="array" aca="1" ref="J15" ca="1">_xlfn.XLOOKUP(C15,PaymentSchedule3[Payment Number],PaymentSchedule3[Cumulative
Interest]+_xlfn.XLOOKUP(Data!C15,PaymentSchedule3[Payment Number],PaymentSchedule3[Cumulative Principal]))</f>
        <v>292001.26513414353</v>
      </c>
      <c r="K15" s="28" cm="1">
        <f t="array" aca="1" ref="K15" ca="1">_xlfn.XLOOKUP(C15,PaymentSchedule33[Payment Number],PaymentSchedule33[Cumulative Principal]+_xlfn.XLOOKUP(Data!C15,PaymentSchedule33[Payment Number],PaymentSchedule33[Cumulative
Interest]))</f>
        <v>235611.01034002792</v>
      </c>
      <c r="L15" s="28">
        <f t="shared" ca="1" si="8"/>
        <v>-56390.254794115608</v>
      </c>
      <c r="M15" s="28">
        <f t="shared" ca="1" si="1"/>
        <v>56390.254794115608</v>
      </c>
      <c r="N15" s="28">
        <f t="shared" ca="1" si="2"/>
        <v>180165.59978792732</v>
      </c>
      <c r="O15" s="28">
        <f t="shared" si="9"/>
        <v>134481.85475355608</v>
      </c>
      <c r="P15" s="28">
        <f t="shared" ca="1" si="10"/>
        <v>314647.45454148343</v>
      </c>
    </row>
    <row r="16" spans="2:16" x14ac:dyDescent="0.25">
      <c r="B16" s="2">
        <v>12</v>
      </c>
      <c r="C16" s="2">
        <f t="shared" si="3"/>
        <v>144</v>
      </c>
      <c r="D16" s="28">
        <f t="shared" si="4"/>
        <v>499016.31039616279</v>
      </c>
      <c r="E16" s="28">
        <f ca="1">IFERROR(_xlfn.XLOOKUP(C16,'Loan Schedule High'!$B$14:$B$373,'Loan Schedule High'!$J$14:$J$373),0)</f>
        <v>271259.9519410542</v>
      </c>
      <c r="F16" s="28">
        <f t="shared" ca="1" si="0"/>
        <v>227756.3584551086</v>
      </c>
      <c r="G16" s="28">
        <f t="shared" si="5"/>
        <v>26279.454910371485</v>
      </c>
      <c r="H16" s="28">
        <f t="shared" si="6"/>
        <v>3065.9364062100067</v>
      </c>
      <c r="I16" s="28">
        <f t="shared" si="7"/>
        <v>262835.30949241441</v>
      </c>
      <c r="J16" s="28" cm="1">
        <f t="array" aca="1" ref="J16" ca="1">_xlfn.XLOOKUP(C16,PaymentSchedule3[Payment Number],PaymentSchedule3[Cumulative
Interest]+_xlfn.XLOOKUP(Data!C16,PaymentSchedule3[Payment Number],PaymentSchedule3[Cumulative Principal]))</f>
        <v>318546.83469179296</v>
      </c>
      <c r="K16" s="28" cm="1">
        <f t="array" aca="1" ref="K16" ca="1">_xlfn.XLOOKUP(C16,PaymentSchedule33[Payment Number],PaymentSchedule33[Cumulative Principal]+_xlfn.XLOOKUP(Data!C16,PaymentSchedule33[Payment Number],PaymentSchedule33[Cumulative
Interest]))</f>
        <v>257030.19309821224</v>
      </c>
      <c r="L16" s="28">
        <f t="shared" ca="1" si="8"/>
        <v>-61516.641593580716</v>
      </c>
      <c r="M16" s="28">
        <f t="shared" ca="1" si="1"/>
        <v>61516.641593580716</v>
      </c>
      <c r="N16" s="28">
        <f t="shared" ca="1" si="2"/>
        <v>201318.66789883369</v>
      </c>
      <c r="O16" s="28">
        <f t="shared" si="9"/>
        <v>149016.31039616279</v>
      </c>
      <c r="P16" s="28">
        <f t="shared" ca="1" si="10"/>
        <v>350334.97829499649</v>
      </c>
    </row>
    <row r="17" spans="2:16" x14ac:dyDescent="0.25">
      <c r="B17" s="2">
        <v>13</v>
      </c>
      <c r="C17" s="2">
        <f t="shared" si="3"/>
        <v>156</v>
      </c>
      <c r="D17" s="28">
        <f t="shared" si="4"/>
        <v>513986.79970804771</v>
      </c>
      <c r="E17" s="28">
        <f ca="1">IFERROR(_xlfn.XLOOKUP(C17,'Loan Schedule High'!$B$14:$B$373,'Loan Schedule High'!$J$14:$J$373),0)</f>
        <v>263455.33623282739</v>
      </c>
      <c r="F17" s="28">
        <f t="shared" ca="1" si="0"/>
        <v>250531.46347522031</v>
      </c>
      <c r="G17" s="28">
        <f t="shared" si="5"/>
        <v>27199.235832234484</v>
      </c>
      <c r="H17" s="28">
        <f t="shared" si="6"/>
        <v>3173.2441804273567</v>
      </c>
      <c r="I17" s="28">
        <f t="shared" si="7"/>
        <v>290034.54532464891</v>
      </c>
      <c r="J17" s="28" cm="1">
        <f t="array" aca="1" ref="J17" ca="1">_xlfn.XLOOKUP(C17,PaymentSchedule3[Payment Number],PaymentSchedule3[Cumulative
Interest]+_xlfn.XLOOKUP(Data!C17,PaymentSchedule3[Payment Number],PaymentSchedule3[Cumulative Principal]))</f>
        <v>345092.40424944239</v>
      </c>
      <c r="K17" s="28" cm="1">
        <f t="array" aca="1" ref="K17" ca="1">_xlfn.XLOOKUP(C17,PaymentSchedule33[Payment Number],PaymentSchedule33[Cumulative Principal]+_xlfn.XLOOKUP(Data!C17,PaymentSchedule33[Payment Number],PaymentSchedule33[Cumulative
Interest]))</f>
        <v>278449.37585639663</v>
      </c>
      <c r="L17" s="28">
        <f t="shared" ca="1" si="8"/>
        <v>-66643.028393045766</v>
      </c>
      <c r="M17" s="28">
        <f t="shared" ca="1" si="1"/>
        <v>66643.028393045766</v>
      </c>
      <c r="N17" s="28">
        <f t="shared" ca="1" si="2"/>
        <v>223391.51693160314</v>
      </c>
      <c r="O17" s="28">
        <f t="shared" si="9"/>
        <v>163986.79970804771</v>
      </c>
      <c r="P17" s="28">
        <f t="shared" ca="1" si="10"/>
        <v>387378.31663965085</v>
      </c>
    </row>
    <row r="18" spans="2:16" x14ac:dyDescent="0.25">
      <c r="B18" s="2">
        <v>14</v>
      </c>
      <c r="C18" s="2">
        <f t="shared" si="3"/>
        <v>168</v>
      </c>
      <c r="D18" s="28">
        <f t="shared" si="4"/>
        <v>529406.40369928919</v>
      </c>
      <c r="E18" s="28">
        <f ca="1">IFERROR(_xlfn.XLOOKUP(C18,'Loan Schedule High'!$B$14:$B$373,'Loan Schedule High'!$J$14:$J$373),0)</f>
        <v>255086.52422400087</v>
      </c>
      <c r="F18" s="28">
        <f t="shared" ca="1" si="0"/>
        <v>274319.87947528833</v>
      </c>
      <c r="G18" s="28">
        <f t="shared" si="5"/>
        <v>28151.209086362691</v>
      </c>
      <c r="H18" s="28">
        <f t="shared" si="6"/>
        <v>3284.3077267423141</v>
      </c>
      <c r="I18" s="28">
        <f t="shared" si="7"/>
        <v>318185.75441101159</v>
      </c>
      <c r="J18" s="28" cm="1">
        <f t="array" aca="1" ref="J18" ca="1">_xlfn.XLOOKUP(C18,PaymentSchedule3[Payment Number],PaymentSchedule3[Cumulative
Interest]+_xlfn.XLOOKUP(Data!C18,PaymentSchedule3[Payment Number],PaymentSchedule3[Cumulative Principal]))</f>
        <v>371637.97380709182</v>
      </c>
      <c r="K18" s="28" cm="1">
        <f t="array" aca="1" ref="K18" ca="1">_xlfn.XLOOKUP(C18,PaymentSchedule33[Payment Number],PaymentSchedule33[Cumulative Principal]+_xlfn.XLOOKUP(Data!C18,PaymentSchedule33[Payment Number],PaymentSchedule33[Cumulative
Interest]))</f>
        <v>299868.55861458107</v>
      </c>
      <c r="L18" s="28">
        <f t="shared" ca="1" si="8"/>
        <v>-71769.415192510758</v>
      </c>
      <c r="M18" s="28">
        <f t="shared" ca="1" si="1"/>
        <v>71769.415192510758</v>
      </c>
      <c r="N18" s="28">
        <f t="shared" ca="1" si="2"/>
        <v>246416.33921850083</v>
      </c>
      <c r="O18" s="28">
        <f t="shared" si="9"/>
        <v>179406.40369928919</v>
      </c>
      <c r="P18" s="28">
        <f t="shared" ca="1" si="10"/>
        <v>425822.74291779002</v>
      </c>
    </row>
    <row r="19" spans="2:16" x14ac:dyDescent="0.25">
      <c r="B19" s="2">
        <v>15</v>
      </c>
      <c r="C19" s="2">
        <f t="shared" si="3"/>
        <v>180</v>
      </c>
      <c r="D19" s="28">
        <f t="shared" si="4"/>
        <v>545288.59581026784</v>
      </c>
      <c r="E19" s="28">
        <f ca="1">IFERROR(_xlfn.XLOOKUP(C19,'Loan Schedule High'!$B$14:$B$373,'Loan Schedule High'!$J$14:$J$373),0)</f>
        <v>246112.73011838569</v>
      </c>
      <c r="F19" s="28">
        <f t="shared" ca="1" si="0"/>
        <v>299175.86569188215</v>
      </c>
      <c r="G19" s="28">
        <f t="shared" si="5"/>
        <v>29136.501404385384</v>
      </c>
      <c r="H19" s="28">
        <f t="shared" si="6"/>
        <v>3399.2584971782949</v>
      </c>
      <c r="I19" s="28">
        <f t="shared" si="7"/>
        <v>347322.25581539696</v>
      </c>
      <c r="J19" s="28" cm="1">
        <f t="array" aca="1" ref="J19" ca="1">_xlfn.XLOOKUP(C19,PaymentSchedule3[Payment Number],PaymentSchedule3[Cumulative
Interest]+_xlfn.XLOOKUP(Data!C19,PaymentSchedule3[Payment Number],PaymentSchedule3[Cumulative Principal]))</f>
        <v>398183.5433647412</v>
      </c>
      <c r="K19" s="28" cm="1">
        <f t="array" aca="1" ref="K19" ca="1">_xlfn.XLOOKUP(C19,PaymentSchedule33[Payment Number],PaymentSchedule33[Cumulative Principal]+_xlfn.XLOOKUP(Data!C19,PaymentSchedule33[Payment Number],PaymentSchedule33[Cumulative
Interest]))</f>
        <v>321287.74137276539</v>
      </c>
      <c r="L19" s="28">
        <f t="shared" ca="1" si="8"/>
        <v>-76895.801991975808</v>
      </c>
      <c r="M19" s="28">
        <f t="shared" ca="1" si="1"/>
        <v>76895.801991975808</v>
      </c>
      <c r="N19" s="28">
        <f t="shared" ca="1" si="2"/>
        <v>270426.45382342115</v>
      </c>
      <c r="O19" s="28">
        <f t="shared" si="9"/>
        <v>195288.59581026784</v>
      </c>
      <c r="P19" s="28">
        <f t="shared" ca="1" si="10"/>
        <v>465715.04963368899</v>
      </c>
    </row>
    <row r="20" spans="2:16" x14ac:dyDescent="0.25">
      <c r="B20" s="3">
        <v>16</v>
      </c>
      <c r="C20" s="3">
        <f t="shared" si="3"/>
        <v>192</v>
      </c>
      <c r="D20" s="29">
        <f t="shared" si="4"/>
        <v>561647.2536845759</v>
      </c>
      <c r="E20" s="29">
        <f ca="1">IFERROR(_xlfn.XLOOKUP(C20,'Loan Schedule High'!$B$14:$B$373,'Loan Schedule High'!$J$14:$J$373),0)</f>
        <v>236490.21971128832</v>
      </c>
      <c r="F20" s="29">
        <f t="shared" ca="1" si="0"/>
        <v>325157.03397328756</v>
      </c>
      <c r="G20" s="29">
        <f t="shared" si="5"/>
        <v>30156.278953538869</v>
      </c>
      <c r="H20" s="29">
        <f t="shared" si="6"/>
        <v>3518.232544579535</v>
      </c>
      <c r="I20" s="29">
        <f t="shared" si="7"/>
        <v>377478.53476893582</v>
      </c>
      <c r="J20" s="29" cm="1">
        <f t="array" aca="1" ref="J20" ca="1">_xlfn.XLOOKUP(C20,PaymentSchedule3[Payment Number],PaymentSchedule3[Cumulative
Interest]+_xlfn.XLOOKUP(Data!C20,PaymentSchedule3[Payment Number],PaymentSchedule3[Cumulative Principal]))</f>
        <v>424729.11292239057</v>
      </c>
      <c r="K20" s="29" cm="1">
        <f t="array" aca="1" ref="K20" ca="1">_xlfn.XLOOKUP(C20,PaymentSchedule33[Payment Number],PaymentSchedule33[Cumulative Principal]+_xlfn.XLOOKUP(Data!C20,PaymentSchedule33[Payment Number],PaymentSchedule33[Cumulative
Interest]))</f>
        <v>342706.92413094966</v>
      </c>
      <c r="L20" s="29">
        <f t="shared" ca="1" si="8"/>
        <v>-82022.188791440916</v>
      </c>
      <c r="M20" s="29">
        <f t="shared" ca="1" si="1"/>
        <v>82022.188791440916</v>
      </c>
      <c r="N20" s="29">
        <f t="shared" ca="1" si="2"/>
        <v>295456.3459774949</v>
      </c>
      <c r="O20" s="29">
        <f t="shared" si="9"/>
        <v>211647.2536845759</v>
      </c>
      <c r="P20" s="29">
        <f t="shared" ca="1" si="10"/>
        <v>507103.5996620708</v>
      </c>
    </row>
    <row r="21" spans="2:16" x14ac:dyDescent="0.25">
      <c r="B21" s="3">
        <v>17</v>
      </c>
      <c r="C21" s="3">
        <f t="shared" si="3"/>
        <v>204</v>
      </c>
      <c r="D21" s="29">
        <f t="shared" si="4"/>
        <v>578496.67129511316</v>
      </c>
      <c r="E21" s="29">
        <f ca="1">IFERROR(_xlfn.XLOOKUP(C21,'Loan Schedule High'!$B$14:$B$373,'Loan Schedule High'!$J$14:$J$373),0)</f>
        <v>226172.09724882196</v>
      </c>
      <c r="F21" s="29">
        <f t="shared" ca="1" si="0"/>
        <v>352324.57404629118</v>
      </c>
      <c r="G21" s="29">
        <f t="shared" si="5"/>
        <v>31211.748716912727</v>
      </c>
      <c r="H21" s="29">
        <f t="shared" si="6"/>
        <v>3641.3706836398183</v>
      </c>
      <c r="I21" s="29">
        <f t="shared" si="7"/>
        <v>408690.28348584857</v>
      </c>
      <c r="J21" s="29" cm="1">
        <f t="array" aca="1" ref="J21" ca="1">_xlfn.XLOOKUP(C21,PaymentSchedule3[Payment Number],PaymentSchedule3[Cumulative
Interest]+_xlfn.XLOOKUP(Data!C21,PaymentSchedule3[Payment Number],PaymentSchedule3[Cumulative Principal]))</f>
        <v>451274.68248004001</v>
      </c>
      <c r="K21" s="29" cm="1">
        <f t="array" aca="1" ref="K21" ca="1">_xlfn.XLOOKUP(C21,PaymentSchedule33[Payment Number],PaymentSchedule33[Cumulative Principal]+_xlfn.XLOOKUP(Data!C21,PaymentSchedule33[Payment Number],PaymentSchedule33[Cumulative
Interest]))</f>
        <v>364126.10688913404</v>
      </c>
      <c r="L21" s="29">
        <f t="shared" ca="1" si="8"/>
        <v>-87148.575590905966</v>
      </c>
      <c r="M21" s="29">
        <f t="shared" ca="1" si="1"/>
        <v>87148.575590905966</v>
      </c>
      <c r="N21" s="29">
        <f t="shared" ca="1" si="2"/>
        <v>321541.70789494261</v>
      </c>
      <c r="O21" s="29">
        <f t="shared" si="9"/>
        <v>228496.67129511316</v>
      </c>
      <c r="P21" s="29">
        <f t="shared" ca="1" si="10"/>
        <v>550038.37919005577</v>
      </c>
    </row>
    <row r="22" spans="2:16" x14ac:dyDescent="0.25">
      <c r="B22" s="3">
        <v>18</v>
      </c>
      <c r="C22" s="3">
        <f t="shared" si="3"/>
        <v>216</v>
      </c>
      <c r="D22" s="29">
        <f t="shared" si="4"/>
        <v>595851.57143396663</v>
      </c>
      <c r="E22" s="29">
        <f ca="1">IFERROR(_xlfn.XLOOKUP(C22,'Loan Schedule High'!$B$14:$B$373,'Loan Schedule High'!$J$14:$J$373),0)</f>
        <v>215108.07687925934</v>
      </c>
      <c r="F22" s="29">
        <f t="shared" ca="1" si="0"/>
        <v>380743.49455470731</v>
      </c>
      <c r="G22" s="29">
        <f t="shared" si="5"/>
        <v>32304.15992200467</v>
      </c>
      <c r="H22" s="29">
        <f t="shared" si="6"/>
        <v>3768.8186575672116</v>
      </c>
      <c r="I22" s="29">
        <f t="shared" si="7"/>
        <v>440994.44340785325</v>
      </c>
      <c r="J22" s="29" cm="1">
        <f t="array" aca="1" ref="J22" ca="1">_xlfn.XLOOKUP(C22,PaymentSchedule3[Payment Number],PaymentSchedule3[Cumulative
Interest]+_xlfn.XLOOKUP(Data!C22,PaymentSchedule3[Payment Number],PaymentSchedule3[Cumulative Principal]))</f>
        <v>477820.2520376895</v>
      </c>
      <c r="K22" s="29" cm="1">
        <f t="array" aca="1" ref="K22" ca="1">_xlfn.XLOOKUP(C22,PaymentSchedule33[Payment Number],PaymentSchedule33[Cumulative Principal]+_xlfn.XLOOKUP(Data!C22,PaymentSchedule33[Payment Number],PaymentSchedule33[Cumulative
Interest]))</f>
        <v>385545.28964731836</v>
      </c>
      <c r="L22" s="29">
        <f t="shared" ca="1" si="8"/>
        <v>-92274.962390371133</v>
      </c>
      <c r="M22" s="29">
        <f t="shared" ca="1" si="1"/>
        <v>92274.962390371133</v>
      </c>
      <c r="N22" s="29">
        <f t="shared" ca="1" si="2"/>
        <v>348719.48101748212</v>
      </c>
      <c r="O22" s="29">
        <f t="shared" si="9"/>
        <v>245851.57143396663</v>
      </c>
      <c r="P22" s="29">
        <f t="shared" ca="1" si="10"/>
        <v>594571.05245144875</v>
      </c>
    </row>
    <row r="23" spans="2:16" x14ac:dyDescent="0.25">
      <c r="B23" s="3">
        <v>19</v>
      </c>
      <c r="C23" s="3">
        <f t="shared" si="3"/>
        <v>228</v>
      </c>
      <c r="D23" s="29">
        <f t="shared" si="4"/>
        <v>613727.11857698567</v>
      </c>
      <c r="E23" s="29">
        <f ca="1">IFERROR(_xlfn.XLOOKUP(C23,'Loan Schedule High'!$B$14:$B$373,'Loan Schedule High'!$J$14:$J$373),0)</f>
        <v>203244.23758258601</v>
      </c>
      <c r="F23" s="29">
        <f t="shared" ca="1" si="0"/>
        <v>410482.88099439966</v>
      </c>
      <c r="G23" s="29">
        <f t="shared" si="5"/>
        <v>33434.805519274829</v>
      </c>
      <c r="H23" s="29">
        <f t="shared" si="6"/>
        <v>3900.7273105820636</v>
      </c>
      <c r="I23" s="29">
        <f t="shared" si="7"/>
        <v>474429.24892712809</v>
      </c>
      <c r="J23" s="29" cm="1">
        <f t="array" aca="1" ref="J23" ca="1">_xlfn.XLOOKUP(C23,PaymentSchedule3[Payment Number],PaymentSchedule3[Cumulative
Interest]+_xlfn.XLOOKUP(Data!C23,PaymentSchedule3[Payment Number],PaymentSchedule3[Cumulative Principal]))</f>
        <v>504365.82159533887</v>
      </c>
      <c r="K23" s="29" cm="1">
        <f t="array" aca="1" ref="K23" ca="1">_xlfn.XLOOKUP(C23,PaymentSchedule33[Payment Number],PaymentSchedule33[Cumulative Principal]+_xlfn.XLOOKUP(Data!C23,PaymentSchedule33[Payment Number],PaymentSchedule33[Cumulative
Interest]))</f>
        <v>406964.47240550269</v>
      </c>
      <c r="L23" s="29">
        <f t="shared" ca="1" si="8"/>
        <v>-97401.349189836183</v>
      </c>
      <c r="M23" s="29">
        <f t="shared" ca="1" si="1"/>
        <v>97401.349189836183</v>
      </c>
      <c r="N23" s="29">
        <f t="shared" ca="1" si="2"/>
        <v>377027.89973729191</v>
      </c>
      <c r="O23" s="29">
        <f t="shared" si="9"/>
        <v>263727.11857698567</v>
      </c>
      <c r="P23" s="29">
        <f t="shared" ca="1" si="10"/>
        <v>640755.01831427752</v>
      </c>
    </row>
    <row r="24" spans="2:16" x14ac:dyDescent="0.25">
      <c r="B24" s="3">
        <v>20</v>
      </c>
      <c r="C24" s="3">
        <f t="shared" si="3"/>
        <v>240</v>
      </c>
      <c r="D24" s="29">
        <f t="shared" si="4"/>
        <v>632138.93213429523</v>
      </c>
      <c r="E24" s="29">
        <f ca="1">IFERROR(_xlfn.XLOOKUP(C24,'Loan Schedule High'!$B$14:$B$373,'Loan Schedule High'!$J$14:$J$373),0)</f>
        <v>190522.7603838908</v>
      </c>
      <c r="F24" s="29">
        <f t="shared" ca="1" si="0"/>
        <v>441616.17175040441</v>
      </c>
      <c r="G24" s="29">
        <f t="shared" si="5"/>
        <v>34605.023712449445</v>
      </c>
      <c r="H24" s="29">
        <f t="shared" si="6"/>
        <v>4037.2527664524355</v>
      </c>
      <c r="I24" s="29">
        <f t="shared" si="7"/>
        <v>509034.27263957751</v>
      </c>
      <c r="J24" s="29" cm="1">
        <f t="array" aca="1" ref="J24" ca="1">_xlfn.XLOOKUP(C24,PaymentSchedule3[Payment Number],PaymentSchedule3[Cumulative
Interest]+_xlfn.XLOOKUP(Data!C24,PaymentSchedule3[Payment Number],PaymentSchedule3[Cumulative Principal]))</f>
        <v>530911.39115298819</v>
      </c>
      <c r="K24" s="29" cm="1">
        <f t="array" aca="1" ref="K24" ca="1">_xlfn.XLOOKUP(C24,PaymentSchedule33[Payment Number],PaymentSchedule33[Cumulative Principal]+_xlfn.XLOOKUP(Data!C24,PaymentSchedule33[Payment Number],PaymentSchedule33[Cumulative
Interest]))</f>
        <v>428383.65516368707</v>
      </c>
      <c r="L24" s="29">
        <f t="shared" ca="1" si="8"/>
        <v>-102527.73598930112</v>
      </c>
      <c r="M24" s="29">
        <f t="shared" ca="1" si="1"/>
        <v>102527.73598930112</v>
      </c>
      <c r="N24" s="29">
        <f t="shared" ca="1" si="2"/>
        <v>406506.53665027639</v>
      </c>
      <c r="O24" s="29">
        <f t="shared" si="9"/>
        <v>282138.93213429523</v>
      </c>
      <c r="P24" s="29">
        <f t="shared" ca="1" si="10"/>
        <v>688645.46878457163</v>
      </c>
    </row>
    <row r="25" spans="2:16" x14ac:dyDescent="0.25">
      <c r="B25" s="2">
        <v>21</v>
      </c>
      <c r="C25" s="2">
        <f t="shared" si="3"/>
        <v>252</v>
      </c>
      <c r="D25" s="28">
        <f t="shared" si="4"/>
        <v>651103.10009832412</v>
      </c>
      <c r="E25" s="28">
        <f ca="1">IFERROR(_xlfn.XLOOKUP(C25,'Loan Schedule High'!$B$14:$B$373,'Loan Schedule High'!$J$14:$J$373),0)</f>
        <v>176881.64656989111</v>
      </c>
      <c r="F25" s="28">
        <f t="shared" ca="1" si="0"/>
        <v>474221.45352843299</v>
      </c>
      <c r="G25" s="28">
        <f t="shared" si="5"/>
        <v>35816.199542385169</v>
      </c>
      <c r="H25" s="28">
        <f t="shared" si="6"/>
        <v>4178.5566132782706</v>
      </c>
      <c r="I25" s="28">
        <f t="shared" si="7"/>
        <v>544850.47218196269</v>
      </c>
      <c r="J25" s="28" cm="1">
        <f t="array" aca="1" ref="J25" ca="1">_xlfn.XLOOKUP(C25,PaymentSchedule3[Payment Number],PaymentSchedule3[Cumulative
Interest]+_xlfn.XLOOKUP(Data!C25,PaymentSchedule3[Payment Number],PaymentSchedule3[Cumulative Principal]))</f>
        <v>557456.96071063762</v>
      </c>
      <c r="K25" s="28" cm="1">
        <f t="array" aca="1" ref="K25" ca="1">_xlfn.XLOOKUP(C25,PaymentSchedule33[Payment Number],PaymentSchedule33[Cumulative Principal]+_xlfn.XLOOKUP(Data!C25,PaymentSchedule33[Payment Number],PaymentSchedule33[Cumulative
Interest]))</f>
        <v>449802.83792187134</v>
      </c>
      <c r="L25" s="28">
        <f t="shared" ca="1" si="8"/>
        <v>-107654.12278876628</v>
      </c>
      <c r="M25" s="28">
        <f t="shared" ca="1" si="1"/>
        <v>107654.12278876628</v>
      </c>
      <c r="N25" s="28">
        <f t="shared" ca="1" si="2"/>
        <v>437196.3493931964</v>
      </c>
      <c r="O25" s="28">
        <f t="shared" si="9"/>
        <v>301103.10009832412</v>
      </c>
      <c r="P25" s="28">
        <f t="shared" ca="1" si="10"/>
        <v>738299.44949152053</v>
      </c>
    </row>
    <row r="26" spans="2:16" x14ac:dyDescent="0.25">
      <c r="B26" s="2">
        <v>22</v>
      </c>
      <c r="C26" s="2">
        <f t="shared" si="3"/>
        <v>264</v>
      </c>
      <c r="D26" s="28">
        <f t="shared" si="4"/>
        <v>670636.19310127385</v>
      </c>
      <c r="E26" s="28">
        <f ca="1">IFERROR(_xlfn.XLOOKUP(C26,'Loan Schedule High'!$B$14:$B$373,'Loan Schedule High'!$J$14:$J$373),0)</f>
        <v>162254.41553530833</v>
      </c>
      <c r="F26" s="28">
        <f t="shared" ca="1" si="0"/>
        <v>508381.77756596555</v>
      </c>
      <c r="G26" s="28">
        <f t="shared" si="5"/>
        <v>37069.76652636865</v>
      </c>
      <c r="H26" s="28">
        <f t="shared" si="6"/>
        <v>4324.8060947430095</v>
      </c>
      <c r="I26" s="28">
        <f t="shared" si="7"/>
        <v>581920.23870833137</v>
      </c>
      <c r="J26" s="28" cm="1">
        <f t="array" aca="1" ref="J26" ca="1">_xlfn.XLOOKUP(C26,PaymentSchedule3[Payment Number],PaymentSchedule3[Cumulative
Interest]+_xlfn.XLOOKUP(Data!C26,PaymentSchedule3[Payment Number],PaymentSchedule3[Cumulative Principal]))</f>
        <v>584002.53026828705</v>
      </c>
      <c r="K26" s="28" cm="1">
        <f t="array" aca="1" ref="K26" ca="1">_xlfn.XLOOKUP(C26,PaymentSchedule33[Payment Number],PaymentSchedule33[Cumulative Principal]+_xlfn.XLOOKUP(Data!C26,PaymentSchedule33[Payment Number],PaymentSchedule33[Cumulative
Interest]))</f>
        <v>471222.0206800556</v>
      </c>
      <c r="L26" s="28">
        <f t="shared" ca="1" si="8"/>
        <v>-112780.50958823145</v>
      </c>
      <c r="M26" s="28">
        <f t="shared" ca="1" si="1"/>
        <v>112780.50958823145</v>
      </c>
      <c r="N26" s="28">
        <f t="shared" ca="1" si="2"/>
        <v>469139.72912009992</v>
      </c>
      <c r="O26" s="28">
        <f t="shared" si="9"/>
        <v>320636.19310127385</v>
      </c>
      <c r="P26" s="28">
        <f t="shared" ca="1" si="10"/>
        <v>789775.92222137377</v>
      </c>
    </row>
    <row r="27" spans="2:16" x14ac:dyDescent="0.25">
      <c r="B27" s="2">
        <v>23</v>
      </c>
      <c r="C27" s="2">
        <f t="shared" si="3"/>
        <v>276</v>
      </c>
      <c r="D27" s="28">
        <f t="shared" si="4"/>
        <v>690755.2788943121</v>
      </c>
      <c r="E27" s="28">
        <f ca="1">IFERROR(_xlfn.XLOOKUP(C27,'Loan Schedule High'!$B$14:$B$373,'Loan Schedule High'!$J$14:$J$373),0)</f>
        <v>146569.7807865327</v>
      </c>
      <c r="F27" s="28">
        <f t="shared" ca="1" si="0"/>
        <v>544185.49810777942</v>
      </c>
      <c r="G27" s="28">
        <f t="shared" si="5"/>
        <v>38367.208354791554</v>
      </c>
      <c r="H27" s="28">
        <f t="shared" si="6"/>
        <v>4476.174308059014</v>
      </c>
      <c r="I27" s="28">
        <f t="shared" si="7"/>
        <v>620287.44706312288</v>
      </c>
      <c r="J27" s="28" cm="1">
        <f t="array" aca="1" ref="J27" ca="1">_xlfn.XLOOKUP(C27,PaymentSchedule3[Payment Number],PaymentSchedule3[Cumulative
Interest]+_xlfn.XLOOKUP(Data!C27,PaymentSchedule3[Payment Number],PaymentSchedule3[Cumulative Principal]))</f>
        <v>610548.09982593649</v>
      </c>
      <c r="K27" s="28" cm="1">
        <f t="array" aca="1" ref="K27" ca="1">_xlfn.XLOOKUP(C27,PaymentSchedule33[Payment Number],PaymentSchedule33[Cumulative Principal]+_xlfn.XLOOKUP(Data!C27,PaymentSchedule33[Payment Number],PaymentSchedule33[Cumulative
Interest]))</f>
        <v>492641.20343823999</v>
      </c>
      <c r="L27" s="28">
        <f t="shared" ca="1" si="8"/>
        <v>-117906.8963876965</v>
      </c>
      <c r="M27" s="28">
        <f t="shared" ca="1" si="1"/>
        <v>117906.8963876965</v>
      </c>
      <c r="N27" s="28">
        <f t="shared" ca="1" si="2"/>
        <v>502380.55067542638</v>
      </c>
      <c r="O27" s="28">
        <f t="shared" si="9"/>
        <v>340755.2788943121</v>
      </c>
      <c r="P27" s="28">
        <f t="shared" ca="1" si="10"/>
        <v>843135.82956973847</v>
      </c>
    </row>
    <row r="28" spans="2:16" x14ac:dyDescent="0.25">
      <c r="B28" s="2">
        <v>24</v>
      </c>
      <c r="C28" s="2">
        <f t="shared" si="3"/>
        <v>288</v>
      </c>
      <c r="D28" s="28">
        <f t="shared" si="4"/>
        <v>711477.93726114149</v>
      </c>
      <c r="E28" s="28">
        <f ca="1">IFERROR(_xlfn.XLOOKUP(C28,'Loan Schedule High'!$B$14:$B$373,'Loan Schedule High'!$J$14:$J$373),0)</f>
        <v>129751.30252356756</v>
      </c>
      <c r="F28" s="28">
        <f t="shared" ca="1" si="0"/>
        <v>581726.63473757391</v>
      </c>
      <c r="G28" s="28">
        <f t="shared" si="5"/>
        <v>39710.060647209255</v>
      </c>
      <c r="H28" s="28">
        <f t="shared" si="6"/>
        <v>4632.8404088410789</v>
      </c>
      <c r="I28" s="28">
        <f t="shared" si="7"/>
        <v>659997.50771033217</v>
      </c>
      <c r="J28" s="28" cm="1">
        <f t="array" aca="1" ref="J28" ca="1">_xlfn.XLOOKUP(C28,PaymentSchedule3[Payment Number],PaymentSchedule3[Cumulative
Interest]+_xlfn.XLOOKUP(Data!C28,PaymentSchedule3[Payment Number],PaymentSchedule3[Cumulative Principal]))</f>
        <v>637093.66938358592</v>
      </c>
      <c r="K28" s="28" cm="1">
        <f t="array" aca="1" ref="K28" ca="1">_xlfn.XLOOKUP(C28,PaymentSchedule33[Payment Number],PaymentSchedule33[Cumulative Principal]+_xlfn.XLOOKUP(Data!C28,PaymentSchedule33[Payment Number],PaymentSchedule33[Cumulative
Interest]))</f>
        <v>514060.38619642437</v>
      </c>
      <c r="L28" s="28">
        <f t="shared" ca="1" si="8"/>
        <v>-123033.28318716155</v>
      </c>
      <c r="M28" s="28">
        <f t="shared" ca="1" si="1"/>
        <v>123033.28318716155</v>
      </c>
      <c r="N28" s="28">
        <f t="shared" ca="1" si="2"/>
        <v>536964.22452317062</v>
      </c>
      <c r="O28" s="28">
        <f t="shared" si="9"/>
        <v>361477.93726114149</v>
      </c>
      <c r="P28" s="28">
        <f t="shared" ca="1" si="10"/>
        <v>898442.16178431211</v>
      </c>
    </row>
    <row r="29" spans="2:16" x14ac:dyDescent="0.25">
      <c r="B29" s="2">
        <v>25</v>
      </c>
      <c r="C29" s="2">
        <f t="shared" si="3"/>
        <v>300</v>
      </c>
      <c r="D29" s="28">
        <f t="shared" si="4"/>
        <v>732822.27537897578</v>
      </c>
      <c r="E29" s="28">
        <f ca="1">IFERROR(_xlfn.XLOOKUP(C29,'Loan Schedule High'!$B$14:$B$373,'Loan Schedule High'!$J$14:$J$373),0)</f>
        <v>111717.01510709382</v>
      </c>
      <c r="F29" s="28">
        <f t="shared" ca="1" si="0"/>
        <v>621105.26027188194</v>
      </c>
      <c r="G29" s="28">
        <f t="shared" si="5"/>
        <v>41099.912769861578</v>
      </c>
      <c r="H29" s="28">
        <f t="shared" si="6"/>
        <v>4794.9898231505167</v>
      </c>
      <c r="I29" s="28">
        <f t="shared" si="7"/>
        <v>701097.4204801938</v>
      </c>
      <c r="J29" s="28" cm="1">
        <f t="array" aca="1" ref="J29" ca="1">_xlfn.XLOOKUP(C29,PaymentSchedule3[Payment Number],PaymentSchedule3[Cumulative
Interest]+_xlfn.XLOOKUP(Data!C29,PaymentSchedule3[Payment Number],PaymentSchedule3[Cumulative Principal]))</f>
        <v>663639.23894123535</v>
      </c>
      <c r="K29" s="28" cm="1">
        <f t="array" aca="1" ref="K29" ca="1">_xlfn.XLOOKUP(C29,PaymentSchedule33[Payment Number],PaymentSchedule33[Cumulative Principal]+_xlfn.XLOOKUP(Data!C29,PaymentSchedule33[Payment Number],PaymentSchedule33[Cumulative
Interest]))</f>
        <v>535479.56895460864</v>
      </c>
      <c r="L29" s="28">
        <f t="shared" ca="1" si="8"/>
        <v>-128159.66998662672</v>
      </c>
      <c r="M29" s="28">
        <f t="shared" ca="1" si="1"/>
        <v>128159.66998662672</v>
      </c>
      <c r="N29" s="28">
        <f t="shared" ca="1" si="2"/>
        <v>572937.75049356709</v>
      </c>
      <c r="O29" s="28">
        <f t="shared" si="9"/>
        <v>382822.27537897578</v>
      </c>
      <c r="P29" s="28">
        <f t="shared" ca="1" si="10"/>
        <v>955760.02587254287</v>
      </c>
    </row>
    <row r="30" spans="2:16" x14ac:dyDescent="0.25">
      <c r="B30" s="3">
        <v>26</v>
      </c>
      <c r="C30" s="3">
        <f t="shared" si="3"/>
        <v>312</v>
      </c>
      <c r="D30" s="29">
        <f t="shared" si="4"/>
        <v>754806.94364034513</v>
      </c>
      <c r="E30" s="29">
        <f ca="1">IFERROR(_xlfn.XLOOKUP(C30,'Loan Schedule High'!$B$14:$B$373,'Loan Schedule High'!$J$14:$J$373),0)</f>
        <v>92379.027595098567</v>
      </c>
      <c r="F30" s="29">
        <f t="shared" ca="1" si="0"/>
        <v>662427.91604524653</v>
      </c>
      <c r="G30" s="29">
        <f t="shared" si="5"/>
        <v>42538.409716806731</v>
      </c>
      <c r="H30" s="29">
        <f t="shared" si="6"/>
        <v>4962.8144669607846</v>
      </c>
      <c r="I30" s="29">
        <f t="shared" si="7"/>
        <v>743635.83019700053</v>
      </c>
      <c r="J30" s="29" cm="1">
        <f t="array" aca="1" ref="J30" ca="1">_xlfn.XLOOKUP(C30,PaymentSchedule3[Payment Number],PaymentSchedule3[Cumulative
Interest]+_xlfn.XLOOKUP(Data!C30,PaymentSchedule3[Payment Number],PaymentSchedule3[Cumulative Principal]))</f>
        <v>690184.80849888467</v>
      </c>
      <c r="K30" s="29" cm="1">
        <f t="array" aca="1" ref="K30" ca="1">_xlfn.XLOOKUP(C30,PaymentSchedule33[Payment Number],PaymentSchedule33[Cumulative Principal]+_xlfn.XLOOKUP(Data!C30,PaymentSchedule33[Payment Number],PaymentSchedule33[Cumulative
Interest]))</f>
        <v>556898.75171279314</v>
      </c>
      <c r="L30" s="29">
        <f t="shared" ca="1" si="8"/>
        <v>-133286.05678609153</v>
      </c>
      <c r="M30" s="29">
        <f t="shared" ca="1" si="1"/>
        <v>133286.05678609153</v>
      </c>
      <c r="N30" s="29">
        <f t="shared" ca="1" si="2"/>
        <v>610349.77341090899</v>
      </c>
      <c r="O30" s="29">
        <f t="shared" si="9"/>
        <v>404806.94364034513</v>
      </c>
      <c r="P30" s="29">
        <f t="shared" ca="1" si="10"/>
        <v>1015156.7170512541</v>
      </c>
    </row>
    <row r="31" spans="2:16" x14ac:dyDescent="0.25">
      <c r="B31" s="3">
        <v>27</v>
      </c>
      <c r="C31" s="3">
        <f t="shared" si="3"/>
        <v>324</v>
      </c>
      <c r="D31" s="29">
        <f t="shared" si="4"/>
        <v>777451.1519495555</v>
      </c>
      <c r="E31" s="29">
        <f ca="1">IFERROR(_xlfn.XLOOKUP(C31,'Loan Schedule High'!$B$14:$B$373,'Loan Schedule High'!$J$14:$J$373),0)</f>
        <v>71643.095402264313</v>
      </c>
      <c r="F31" s="29">
        <f t="shared" ca="1" si="0"/>
        <v>705808.05654729123</v>
      </c>
      <c r="G31" s="29">
        <f t="shared" si="5"/>
        <v>44027.254056894963</v>
      </c>
      <c r="H31" s="29">
        <f t="shared" si="6"/>
        <v>5136.5129733044114</v>
      </c>
      <c r="I31" s="29">
        <f t="shared" si="7"/>
        <v>787663.08425389545</v>
      </c>
      <c r="J31" s="29" cm="1">
        <f t="array" aca="1" ref="J31" ca="1">_xlfn.XLOOKUP(C31,PaymentSchedule3[Payment Number],PaymentSchedule3[Cumulative
Interest]+_xlfn.XLOOKUP(Data!C31,PaymentSchedule3[Payment Number],PaymentSchedule3[Cumulative Principal]))</f>
        <v>716730.3780565341</v>
      </c>
      <c r="K31" s="29" cm="1">
        <f t="array" aca="1" ref="K31" ca="1">_xlfn.XLOOKUP(C31,PaymentSchedule33[Payment Number],PaymentSchedule33[Cumulative Principal]+_xlfn.XLOOKUP(Data!C31,PaymentSchedule33[Payment Number],PaymentSchedule33[Cumulative
Interest]))</f>
        <v>578317.93447097752</v>
      </c>
      <c r="L31" s="29">
        <f t="shared" ca="1" si="8"/>
        <v>-138412.44358555658</v>
      </c>
      <c r="M31" s="29">
        <f t="shared" ca="1" si="1"/>
        <v>138412.44358555658</v>
      </c>
      <c r="N31" s="29">
        <f t="shared" ca="1" si="2"/>
        <v>649250.64066833886</v>
      </c>
      <c r="O31" s="29">
        <f t="shared" si="9"/>
        <v>427451.1519495555</v>
      </c>
      <c r="P31" s="29">
        <f t="shared" ca="1" si="10"/>
        <v>1076701.7926178942</v>
      </c>
    </row>
    <row r="32" spans="2:16" x14ac:dyDescent="0.25">
      <c r="B32" s="3">
        <v>28</v>
      </c>
      <c r="C32" s="3">
        <f t="shared" si="3"/>
        <v>336</v>
      </c>
      <c r="D32" s="29">
        <f t="shared" si="4"/>
        <v>800774.68650804216</v>
      </c>
      <c r="E32" s="29">
        <f ca="1">IFERROR(_xlfn.XLOOKUP(C32,'Loan Schedule High'!$B$14:$B$373,'Loan Schedule High'!$J$14:$J$373),0)</f>
        <v>49408.16099458067</v>
      </c>
      <c r="F32" s="29">
        <f t="shared" ca="1" si="0"/>
        <v>751366.52551346144</v>
      </c>
      <c r="G32" s="29">
        <f t="shared" si="5"/>
        <v>45568.20794888628</v>
      </c>
      <c r="H32" s="29">
        <f t="shared" si="6"/>
        <v>5316.2909273700652</v>
      </c>
      <c r="I32" s="29">
        <f t="shared" si="7"/>
        <v>833231.29220278177</v>
      </c>
      <c r="J32" s="29" cm="1">
        <f t="array" aca="1" ref="J32" ca="1">_xlfn.XLOOKUP(C32,PaymentSchedule3[Payment Number],PaymentSchedule3[Cumulative
Interest]+_xlfn.XLOOKUP(Data!C32,PaymentSchedule3[Payment Number],PaymentSchedule3[Cumulative Principal]))</f>
        <v>743275.94761418353</v>
      </c>
      <c r="K32" s="29" cm="1">
        <f t="array" aca="1" ref="K32" ca="1">_xlfn.XLOOKUP(C32,PaymentSchedule33[Payment Number],PaymentSchedule33[Cumulative Principal]+_xlfn.XLOOKUP(Data!C32,PaymentSchedule33[Payment Number],PaymentSchedule33[Cumulative
Interest]))</f>
        <v>599737.1172291619</v>
      </c>
      <c r="L32" s="29">
        <f t="shared" ca="1" si="8"/>
        <v>-143538.83038502163</v>
      </c>
      <c r="M32" s="29">
        <f t="shared" ca="1" si="1"/>
        <v>143538.83038502163</v>
      </c>
      <c r="N32" s="29">
        <f t="shared" ca="1" si="2"/>
        <v>689692.46181776014</v>
      </c>
      <c r="O32" s="29">
        <f t="shared" si="9"/>
        <v>450774.68650804216</v>
      </c>
      <c r="P32" s="29">
        <f t="shared" ca="1" si="10"/>
        <v>1140467.1483258023</v>
      </c>
    </row>
    <row r="33" spans="2:16" x14ac:dyDescent="0.25">
      <c r="B33" s="3">
        <v>29</v>
      </c>
      <c r="C33" s="3">
        <f t="shared" si="3"/>
        <v>348</v>
      </c>
      <c r="D33" s="29">
        <f t="shared" si="4"/>
        <v>824797.92710328347</v>
      </c>
      <c r="E33" s="29">
        <f ca="1">IFERROR(_xlfn.XLOOKUP(C33,'Loan Schedule High'!$B$14:$B$373,'Loan Schedule High'!$J$14:$J$373),0)</f>
        <v>25565.86138073248</v>
      </c>
      <c r="F33" s="29">
        <f t="shared" ca="1" si="0"/>
        <v>799232.06572255096</v>
      </c>
      <c r="G33" s="29">
        <f t="shared" si="5"/>
        <v>47163.095227097299</v>
      </c>
      <c r="H33" s="29">
        <f t="shared" si="6"/>
        <v>5502.3611098280171</v>
      </c>
      <c r="I33" s="29">
        <f t="shared" si="7"/>
        <v>880394.38742987905</v>
      </c>
      <c r="J33" s="29" cm="1">
        <f t="array" aca="1" ref="J33" ca="1">_xlfn.XLOOKUP(C33,PaymentSchedule3[Payment Number],PaymentSchedule3[Cumulative
Interest]+_xlfn.XLOOKUP(Data!C33,PaymentSchedule3[Payment Number],PaymentSchedule3[Cumulative Principal]))</f>
        <v>769821.51717183308</v>
      </c>
      <c r="K33" s="29" cm="1">
        <f t="array" aca="1" ref="K33" ca="1">_xlfn.XLOOKUP(C33,PaymentSchedule33[Payment Number],PaymentSchedule33[Cumulative Principal]+_xlfn.XLOOKUP(Data!C33,PaymentSchedule33[Payment Number],PaymentSchedule33[Cumulative
Interest]))</f>
        <v>621156.29998734628</v>
      </c>
      <c r="L33" s="29">
        <f t="shared" ca="1" si="8"/>
        <v>-148665.2171844868</v>
      </c>
      <c r="M33" s="29">
        <f t="shared" ca="1" si="1"/>
        <v>148665.2171844868</v>
      </c>
      <c r="N33" s="29">
        <f t="shared" ca="1" si="2"/>
        <v>731729.17024539225</v>
      </c>
      <c r="O33" s="29">
        <f t="shared" si="9"/>
        <v>474797.92710328347</v>
      </c>
      <c r="P33" s="29">
        <f t="shared" ca="1" si="10"/>
        <v>1206527.0973486756</v>
      </c>
    </row>
    <row r="34" spans="2:16" x14ac:dyDescent="0.25">
      <c r="B34" s="3">
        <v>30</v>
      </c>
      <c r="C34" s="3">
        <f t="shared" si="3"/>
        <v>360</v>
      </c>
      <c r="D34" s="29">
        <f t="shared" si="4"/>
        <v>849541.86491638201</v>
      </c>
      <c r="E34" s="29">
        <f ca="1">IFERROR(_xlfn.XLOOKUP(C34,'Loan Schedule High'!$B$14:$B$373,'Loan Schedule High'!$J$14:$J$373),0)</f>
        <v>0</v>
      </c>
      <c r="F34" s="29">
        <f t="shared" ca="1" si="0"/>
        <v>849541.86491638201</v>
      </c>
      <c r="G34" s="29">
        <f t="shared" si="5"/>
        <v>48813.803560045701</v>
      </c>
      <c r="H34" s="29">
        <f t="shared" si="6"/>
        <v>5694.9437486719971</v>
      </c>
      <c r="I34" s="29">
        <f t="shared" si="7"/>
        <v>929208.19098992471</v>
      </c>
      <c r="J34" s="29" cm="1">
        <f t="array" aca="1" ref="J34" ca="1">_xlfn.XLOOKUP(C34,PaymentSchedule3[Payment Number],PaymentSchedule3[Cumulative
Interest]+_xlfn.XLOOKUP(Data!C34,PaymentSchedule3[Payment Number],PaymentSchedule3[Cumulative Principal]))</f>
        <v>796354.25747051439</v>
      </c>
      <c r="K34" s="29" cm="1">
        <f t="array" aca="1" ref="K34" ca="1">_xlfn.XLOOKUP(C34,PaymentSchedule33[Payment Number],PaymentSchedule33[Cumulative Principal]+_xlfn.XLOOKUP(Data!C34,PaymentSchedule33[Payment Number],PaymentSchedule33[Cumulative
Interest]))</f>
        <v>642568.07638911274</v>
      </c>
      <c r="L34" s="29">
        <f t="shared" ca="1" si="8"/>
        <v>-153786.18108140165</v>
      </c>
      <c r="M34" s="29">
        <f t="shared" ca="1" si="1"/>
        <v>153786.18108140165</v>
      </c>
      <c r="N34" s="29">
        <f t="shared" ca="1" si="2"/>
        <v>775422.00990852306</v>
      </c>
      <c r="O34" s="29">
        <f t="shared" si="9"/>
        <v>499541.86491638201</v>
      </c>
      <c r="P34" s="29">
        <f t="shared" ca="1" si="10"/>
        <v>1274963.8748249051</v>
      </c>
    </row>
    <row r="35" spans="2:16" x14ac:dyDescent="0.25">
      <c r="B35" s="2">
        <v>31</v>
      </c>
      <c r="C35" s="2">
        <f t="shared" si="3"/>
        <v>372</v>
      </c>
      <c r="D35" s="28">
        <f t="shared" si="4"/>
        <v>875028.12086387351</v>
      </c>
      <c r="E35" s="28">
        <f ca="1">IFERROR(_xlfn.XLOOKUP(C35,'Loan Schedule High'!$B$14:$B$373,'Loan Schedule High'!$J$14:$J$373),0)</f>
        <v>0</v>
      </c>
      <c r="F35" s="28">
        <f t="shared" ca="1" si="0"/>
        <v>875028.12086387351</v>
      </c>
      <c r="G35" s="28">
        <f t="shared" si="5"/>
        <v>50522.286684647297</v>
      </c>
      <c r="H35" s="28">
        <f t="shared" si="6"/>
        <v>5894.2667798755165</v>
      </c>
      <c r="I35" s="28">
        <f t="shared" si="7"/>
        <v>979730.47767457203</v>
      </c>
      <c r="J35" s="28">
        <f ca="1">$J$34</f>
        <v>796354.25747051439</v>
      </c>
      <c r="K35" s="28">
        <f ca="1">$K$34</f>
        <v>642568.07638911274</v>
      </c>
      <c r="L35" s="28">
        <f ca="1">$L$34</f>
        <v>-153786.18108140165</v>
      </c>
      <c r="M35" s="28">
        <f t="shared" ca="1" si="1"/>
        <v>153786.18108140165</v>
      </c>
      <c r="N35" s="28">
        <f t="shared" ca="1" si="2"/>
        <v>825944.29659317038</v>
      </c>
      <c r="O35" s="28">
        <f t="shared" si="9"/>
        <v>525028.12086387351</v>
      </c>
      <c r="P35" s="28">
        <f ca="1">N35+O35</f>
        <v>1350972.4174570439</v>
      </c>
    </row>
    <row r="36" spans="2:16" x14ac:dyDescent="0.25">
      <c r="B36" s="2">
        <v>32</v>
      </c>
      <c r="C36" s="2">
        <f t="shared" si="3"/>
        <v>384</v>
      </c>
      <c r="D36" s="28">
        <f t="shared" si="4"/>
        <v>901278.9644897898</v>
      </c>
      <c r="E36" s="28">
        <f ca="1">IFERROR(_xlfn.XLOOKUP(C36,'Loan Schedule High'!$B$14:$B$373,'Loan Schedule High'!$J$14:$J$373),0)</f>
        <v>0</v>
      </c>
      <c r="F36" s="28">
        <f t="shared" ca="1" si="0"/>
        <v>901278.9644897898</v>
      </c>
      <c r="G36" s="28">
        <f t="shared" si="5"/>
        <v>52290.566718609945</v>
      </c>
      <c r="H36" s="28">
        <f t="shared" si="6"/>
        <v>6100.566117171159</v>
      </c>
      <c r="I36" s="28">
        <f t="shared" si="7"/>
        <v>1032021.044393182</v>
      </c>
      <c r="J36" s="28">
        <f t="shared" ref="J36:J39" ca="1" si="11">$J$34</f>
        <v>796354.25747051439</v>
      </c>
      <c r="K36" s="28">
        <f t="shared" ref="K36:K39" ca="1" si="12">$K$34</f>
        <v>642568.07638911274</v>
      </c>
      <c r="L36" s="28">
        <f t="shared" ref="L36:L39" ca="1" si="13">$L$34</f>
        <v>-153786.18108140165</v>
      </c>
      <c r="M36" s="28">
        <f t="shared" ca="1" si="1"/>
        <v>153786.18108140165</v>
      </c>
      <c r="N36" s="28">
        <f t="shared" ca="1" si="2"/>
        <v>878234.86331178038</v>
      </c>
      <c r="O36" s="28">
        <f t="shared" si="9"/>
        <v>551278.9644897898</v>
      </c>
      <c r="P36" s="28">
        <f t="shared" ca="1" si="10"/>
        <v>1429513.8278015703</v>
      </c>
    </row>
    <row r="37" spans="2:16" x14ac:dyDescent="0.25">
      <c r="B37" s="2">
        <v>33</v>
      </c>
      <c r="C37" s="2">
        <f t="shared" si="3"/>
        <v>396</v>
      </c>
      <c r="D37" s="28">
        <f t="shared" si="4"/>
        <v>928317.33342448354</v>
      </c>
      <c r="E37" s="28">
        <f ca="1">IFERROR(_xlfn.XLOOKUP(C37,'Loan Schedule High'!$B$14:$B$373,'Loan Schedule High'!$J$14:$J$373),0)</f>
        <v>0</v>
      </c>
      <c r="F37" s="28">
        <f t="shared" ca="1" si="0"/>
        <v>928317.33342448354</v>
      </c>
      <c r="G37" s="28">
        <f t="shared" si="5"/>
        <v>54120.736553761286</v>
      </c>
      <c r="H37" s="28">
        <f t="shared" si="6"/>
        <v>6314.0859312721495</v>
      </c>
      <c r="I37" s="28">
        <f t="shared" si="7"/>
        <v>1086141.7809469432</v>
      </c>
      <c r="J37" s="28">
        <f t="shared" ca="1" si="11"/>
        <v>796354.25747051439</v>
      </c>
      <c r="K37" s="28">
        <f t="shared" ca="1" si="12"/>
        <v>642568.07638911274</v>
      </c>
      <c r="L37" s="28">
        <f t="shared" ca="1" si="13"/>
        <v>-153786.18108140165</v>
      </c>
      <c r="M37" s="28">
        <f t="shared" ca="1" si="1"/>
        <v>153786.18108140165</v>
      </c>
      <c r="N37" s="28">
        <f t="shared" ca="1" si="2"/>
        <v>932355.59986554156</v>
      </c>
      <c r="O37" s="28">
        <f t="shared" si="9"/>
        <v>578317.33342448354</v>
      </c>
      <c r="P37" s="28">
        <f t="shared" ca="1" si="10"/>
        <v>1510672.9332900252</v>
      </c>
    </row>
    <row r="38" spans="2:16" x14ac:dyDescent="0.25">
      <c r="B38" s="2">
        <v>34</v>
      </c>
      <c r="C38" s="2">
        <f t="shared" si="3"/>
        <v>408</v>
      </c>
      <c r="D38" s="28">
        <f t="shared" si="4"/>
        <v>956166.85342721804</v>
      </c>
      <c r="E38" s="28">
        <f ca="1">IFERROR(_xlfn.XLOOKUP(C38,'Loan Schedule High'!$B$14:$B$373,'Loan Schedule High'!$J$14:$J$373),0)</f>
        <v>0</v>
      </c>
      <c r="F38" s="28">
        <f t="shared" ca="1" si="0"/>
        <v>956166.85342721804</v>
      </c>
      <c r="G38" s="28">
        <f t="shared" si="5"/>
        <v>56014.962333142925</v>
      </c>
      <c r="H38" s="28">
        <f t="shared" si="6"/>
        <v>6535.0789388666744</v>
      </c>
      <c r="I38" s="28">
        <f t="shared" si="7"/>
        <v>1142156.7432800862</v>
      </c>
      <c r="J38" s="28">
        <f t="shared" ca="1" si="11"/>
        <v>796354.25747051439</v>
      </c>
      <c r="K38" s="28">
        <f t="shared" ca="1" si="12"/>
        <v>642568.07638911274</v>
      </c>
      <c r="L38" s="28">
        <f t="shared" ca="1" si="13"/>
        <v>-153786.18108140165</v>
      </c>
      <c r="M38" s="28">
        <f t="shared" ca="1" si="1"/>
        <v>153786.18108140165</v>
      </c>
      <c r="N38" s="28">
        <f t="shared" ca="1" si="2"/>
        <v>988370.56219868455</v>
      </c>
      <c r="O38" s="28">
        <f t="shared" si="9"/>
        <v>606166.85342721804</v>
      </c>
      <c r="P38" s="28">
        <f t="shared" ca="1" si="10"/>
        <v>1594537.4156259026</v>
      </c>
    </row>
    <row r="39" spans="2:16" x14ac:dyDescent="0.25">
      <c r="B39" s="2">
        <v>35</v>
      </c>
      <c r="C39" s="2">
        <f t="shared" si="3"/>
        <v>420</v>
      </c>
      <c r="D39" s="28">
        <f t="shared" si="4"/>
        <v>984851.85903003463</v>
      </c>
      <c r="E39" s="28">
        <f ca="1">IFERROR(_xlfn.XLOOKUP(C39,'Loan Schedule High'!$B$14:$B$373,'Loan Schedule High'!$J$14:$J$373),0)</f>
        <v>0</v>
      </c>
      <c r="F39" s="28">
        <f t="shared" ca="1" si="0"/>
        <v>984851.85903003463</v>
      </c>
      <c r="G39" s="28">
        <f t="shared" si="5"/>
        <v>57975.486014802926</v>
      </c>
      <c r="H39" s="28">
        <f t="shared" si="6"/>
        <v>6763.8067017270077</v>
      </c>
      <c r="I39" s="28">
        <f t="shared" si="7"/>
        <v>1200132.2292948891</v>
      </c>
      <c r="J39" s="28">
        <f t="shared" ca="1" si="11"/>
        <v>796354.25747051439</v>
      </c>
      <c r="K39" s="28">
        <f t="shared" ca="1" si="12"/>
        <v>642568.07638911274</v>
      </c>
      <c r="L39" s="28">
        <f t="shared" ca="1" si="13"/>
        <v>-153786.18108140165</v>
      </c>
      <c r="M39" s="28">
        <f t="shared" ca="1" si="1"/>
        <v>153786.18108140165</v>
      </c>
      <c r="N39" s="28">
        <f t="shared" ca="1" si="2"/>
        <v>1046346.0482134875</v>
      </c>
      <c r="O39" s="28">
        <f t="shared" si="9"/>
        <v>634851.85903003463</v>
      </c>
      <c r="P39" s="28">
        <f t="shared" ca="1" si="10"/>
        <v>1681197.9072435221</v>
      </c>
    </row>
    <row r="40" spans="2:16" x14ac:dyDescent="0.25">
      <c r="H40" s="47"/>
    </row>
  </sheetData>
  <sheetProtection algorithmName="SHA-512" hashValue="bpvTtBcx+4lj0GFxBxMyaTK3XTBoRxyOBrQ9WAQ0KSCF91mkePeBk/7RYsO+GLe4fc5KyCqVT1EAqR1WErp5sA==" saltValue="+N6pRTGiojDg6NzzLFZbK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35B9-73CF-411D-BE0D-3F40D855F749}">
  <sheetPr codeName="Sheet3">
    <tabColor theme="4" tint="-0.499984740745262"/>
    <pageSetUpPr autoPageBreaks="0" fitToPage="1"/>
  </sheetPr>
  <dimension ref="B1:L375"/>
  <sheetViews>
    <sheetView showGridLines="0" zoomScaleNormal="100" workbookViewId="0">
      <selection activeCell="E8" sqref="E8"/>
    </sheetView>
  </sheetViews>
  <sheetFormatPr defaultColWidth="8.85546875" defaultRowHeight="15" x14ac:dyDescent="0.25"/>
  <cols>
    <col min="1" max="1" width="3.5703125" style="6" customWidth="1"/>
    <col min="2" max="2" width="12.85546875" style="6" customWidth="1"/>
    <col min="3" max="3" width="14.7109375" style="6" customWidth="1"/>
    <col min="4" max="4" width="16.7109375" style="6" customWidth="1"/>
    <col min="5" max="10" width="15.7109375" style="6" customWidth="1"/>
    <col min="11" max="11" width="17.7109375" style="6" customWidth="1"/>
    <col min="12" max="12" width="15.140625" style="6" customWidth="1"/>
    <col min="13" max="16384" width="8.85546875" style="6"/>
  </cols>
  <sheetData>
    <row r="1" spans="2:12" ht="21" customHeight="1" x14ac:dyDescent="0.25">
      <c r="B1" s="5"/>
      <c r="C1" s="5"/>
      <c r="D1" s="5"/>
      <c r="E1" s="5"/>
      <c r="F1" s="5"/>
      <c r="G1" s="5"/>
      <c r="H1" s="5"/>
      <c r="I1" s="5"/>
      <c r="J1" s="5"/>
      <c r="K1" s="5"/>
    </row>
    <row r="2" spans="2:12" ht="67.900000000000006" customHeight="1" x14ac:dyDescent="0.25">
      <c r="B2" s="5"/>
      <c r="C2" s="115" t="s">
        <v>41</v>
      </c>
      <c r="D2" s="115"/>
      <c r="E2" s="115"/>
      <c r="F2" s="115"/>
      <c r="G2" s="115"/>
      <c r="H2" s="115"/>
      <c r="I2" s="115"/>
      <c r="J2" s="115"/>
      <c r="K2" s="115"/>
    </row>
    <row r="3" spans="2:12" ht="24" customHeight="1" x14ac:dyDescent="0.25">
      <c r="B3" s="5"/>
      <c r="C3" s="5"/>
      <c r="D3" s="5"/>
      <c r="E3" s="5"/>
      <c r="F3" s="5"/>
      <c r="G3" s="5"/>
      <c r="H3" s="5"/>
      <c r="I3" s="5"/>
      <c r="J3" s="5"/>
      <c r="K3" s="5"/>
    </row>
    <row r="4" spans="2:12" ht="37.9" customHeight="1" x14ac:dyDescent="0.25">
      <c r="B4" s="7" t="s">
        <v>26</v>
      </c>
      <c r="C4" s="7"/>
      <c r="D4" s="8"/>
      <c r="E4" s="9"/>
      <c r="G4" s="10" t="s">
        <v>25</v>
      </c>
      <c r="H4" s="9"/>
      <c r="I4" s="9"/>
      <c r="J4" s="11"/>
    </row>
    <row r="5" spans="2:12" ht="24" customHeight="1" x14ac:dyDescent="0.25">
      <c r="B5" s="99" t="s">
        <v>24</v>
      </c>
      <c r="C5" s="99"/>
      <c r="D5" s="107"/>
      <c r="E5" s="12">
        <f>InitLoanAmt</f>
        <v>332500</v>
      </c>
      <c r="G5" s="112" t="s">
        <v>23</v>
      </c>
      <c r="H5" s="113"/>
      <c r="I5" s="114">
        <f ca="1">IF(LoanIsGood,-PMT(InterestRate/PaymentsPerYear,ScheduledNumberOfPayments,LoanAmount),"")</f>
        <v>2212.1307964707844</v>
      </c>
      <c r="J5" s="114"/>
      <c r="K5" s="114"/>
    </row>
    <row r="6" spans="2:12" ht="24" customHeight="1" x14ac:dyDescent="0.25">
      <c r="B6" s="99" t="s">
        <v>22</v>
      </c>
      <c r="C6" s="99"/>
      <c r="D6" s="107"/>
      <c r="E6" s="13">
        <f>HiMtgRate</f>
        <v>7.0000000000000007E-2</v>
      </c>
      <c r="G6" s="108" t="s">
        <v>21</v>
      </c>
      <c r="H6" s="109"/>
      <c r="I6" s="110">
        <f ca="1">IF(LoanIsGood,LoanPeriod*PaymentsPerYear,"")</f>
        <v>360</v>
      </c>
      <c r="J6" s="110"/>
      <c r="K6" s="110"/>
    </row>
    <row r="7" spans="2:12" ht="24" customHeight="1" x14ac:dyDescent="0.25">
      <c r="B7" s="99" t="s">
        <v>20</v>
      </c>
      <c r="C7" s="99"/>
      <c r="D7" s="107"/>
      <c r="E7" s="14">
        <f>InitLoanTerm</f>
        <v>30</v>
      </c>
      <c r="G7" s="108" t="s">
        <v>19</v>
      </c>
      <c r="H7" s="109"/>
      <c r="I7" s="110" t="str">
        <f>ActualNumberOfPayments</f>
        <v/>
      </c>
      <c r="J7" s="110"/>
      <c r="K7" s="110"/>
    </row>
    <row r="8" spans="2:12" ht="24" customHeight="1" x14ac:dyDescent="0.25">
      <c r="B8" s="99" t="s">
        <v>18</v>
      </c>
      <c r="C8" s="99"/>
      <c r="D8" s="107"/>
      <c r="E8" s="14">
        <v>12</v>
      </c>
      <c r="G8" s="108" t="s">
        <v>17</v>
      </c>
      <c r="H8" s="109"/>
      <c r="I8" s="111">
        <f ca="1">TotalEarlyPayments</f>
        <v>0</v>
      </c>
      <c r="J8" s="111"/>
      <c r="K8" s="111"/>
    </row>
    <row r="9" spans="2:12" ht="24" customHeight="1" x14ac:dyDescent="0.25">
      <c r="B9" s="99" t="s">
        <v>16</v>
      </c>
      <c r="C9" s="99"/>
      <c r="D9" s="15"/>
      <c r="E9" s="16">
        <f ca="1">TODAY()</f>
        <v>45467</v>
      </c>
      <c r="G9" s="101" t="s">
        <v>15</v>
      </c>
      <c r="H9" s="102"/>
      <c r="I9" s="103">
        <f ca="1">TotalInterest</f>
        <v>463867.08672948286</v>
      </c>
      <c r="J9" s="103"/>
      <c r="K9" s="103"/>
    </row>
    <row r="10" spans="2:12" ht="12.4" customHeight="1" x14ac:dyDescent="0.25">
      <c r="C10" s="17"/>
      <c r="D10" s="17"/>
      <c r="E10" s="18"/>
      <c r="G10" s="17"/>
      <c r="H10" s="17"/>
      <c r="I10" s="104"/>
      <c r="J10" s="104"/>
      <c r="K10" s="104"/>
    </row>
    <row r="11" spans="2:12" ht="20.65" customHeight="1" x14ac:dyDescent="0.25">
      <c r="B11" s="100" t="s">
        <v>14</v>
      </c>
      <c r="C11" s="100"/>
      <c r="D11" s="100"/>
      <c r="E11" s="19">
        <v>0</v>
      </c>
      <c r="F11" s="20"/>
      <c r="G11" s="105"/>
      <c r="H11" s="105"/>
      <c r="I11" s="106"/>
      <c r="J11" s="106"/>
      <c r="K11" s="106"/>
    </row>
    <row r="12" spans="2:12" ht="31.9" customHeight="1" x14ac:dyDescent="0.25">
      <c r="B12" s="21"/>
    </row>
    <row r="13" spans="2:12" s="22" customFormat="1" ht="48" customHeight="1" x14ac:dyDescent="0.25">
      <c r="B13" s="30" t="s">
        <v>13</v>
      </c>
      <c r="C13" s="30" t="s">
        <v>12</v>
      </c>
      <c r="D13" s="30" t="s">
        <v>11</v>
      </c>
      <c r="E13" s="30" t="s">
        <v>10</v>
      </c>
      <c r="F13" s="30" t="s">
        <v>9</v>
      </c>
      <c r="G13" s="30" t="s">
        <v>8</v>
      </c>
      <c r="H13" s="30" t="s">
        <v>7</v>
      </c>
      <c r="I13" s="30" t="s">
        <v>6</v>
      </c>
      <c r="J13" s="30" t="s">
        <v>5</v>
      </c>
      <c r="K13" s="30" t="s">
        <v>4</v>
      </c>
      <c r="L13" s="30" t="s">
        <v>47</v>
      </c>
    </row>
    <row r="14" spans="2:12" x14ac:dyDescent="0.25">
      <c r="B14" s="23">
        <f ca="1">IF(LoanIsGood,IF(ROW()-ROW(PaymentSchedule3[[#Headers],[Payment Number]])&gt;ScheduledNumberOfPayments,"",ROW()-ROW(PaymentSchedule3[[#Headers],[Payment Number]])),"")</f>
        <v>1</v>
      </c>
      <c r="C14" s="24">
        <f ca="1">IF(PaymentSchedule3[[#This Row],[Payment Number]]&lt;&gt;"",EOMONTH(LoanStartDate,ROW(PaymentSchedule3[[#This Row],[Payment Number]])-ROW(PaymentSchedule3[[#Headers],[Payment Number]])-2)+DAY(LoanStartDate),"")</f>
        <v>45467</v>
      </c>
      <c r="D14" s="25">
        <f ca="1">IF(PaymentSchedule3[[#This Row],[Payment Number]]&lt;&gt;"",IF(ROW()-ROW(PaymentSchedule3[[#Headers],[Beginning
Balance]])=1,LoanAmount,INDEX(PaymentSchedule3[Ending
Balance],ROW()-ROW(PaymentSchedule3[[#Headers],[Beginning
Balance]])-1)),"")</f>
        <v>332500</v>
      </c>
      <c r="E14" s="25">
        <f ca="1">IF(PaymentSchedule3[[#This Row],[Payment Number]]&lt;&gt;"",ScheduledPayment,"")</f>
        <v>2212.1307964707844</v>
      </c>
      <c r="F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 s="25">
        <f ca="1">IF(PaymentSchedule3[[#This Row],[Payment Number]]&lt;&gt;"",PaymentSchedule3[[#This Row],[Total
Payment]]-PaymentSchedule3[[#This Row],[Interest]],"")</f>
        <v>272.5474631374509</v>
      </c>
      <c r="I14" s="25">
        <f ca="1">IF(PaymentSchedule3[[#This Row],[Payment Number]]&lt;&gt;"",PaymentSchedule3[[#This Row],[Beginning
Balance]]*(InterestRate/PaymentsPerYear),"")</f>
        <v>1939.5833333333335</v>
      </c>
      <c r="J14" s="25">
        <f ca="1">IF(PaymentSchedule3[[#This Row],[Payment Number]]&lt;&gt;"",IF(PaymentSchedule3[[#This Row],[Scheduled Payment]]+PaymentSchedule3[[#This Row],[Extra
Payment]]&lt;=PaymentSchedule3[[#This Row],[Beginning
Balance]],PaymentSchedule3[[#This Row],[Beginning
Balance]]-PaymentSchedule3[[#This Row],[Principal]],0),"")</f>
        <v>332227.45253686258</v>
      </c>
      <c r="K14" s="25">
        <f ca="1">IF(PaymentSchedule3[[#This Row],[Payment Number]]&lt;&gt;"",SUM(INDEX(PaymentSchedule3[Interest],1,1):PaymentSchedule3[[#This Row],[Interest]]),"")</f>
        <v>1939.5833333333335</v>
      </c>
      <c r="L14" s="25">
        <f ca="1">IF(PaymentSchedule3[[#This Row],[Payment Number]]&lt;&gt;"",SUM(INDEX(PaymentSchedule3[Principal],1,1):PaymentSchedule3[[#This Row],[Principal]]),"")</f>
        <v>272.5474631374509</v>
      </c>
    </row>
    <row r="15" spans="2:12" x14ac:dyDescent="0.25">
      <c r="B15" s="23">
        <f ca="1">IF(LoanIsGood,IF(ROW()-ROW(PaymentSchedule3[[#Headers],[Payment Number]])&gt;ScheduledNumberOfPayments,"",ROW()-ROW(PaymentSchedule3[[#Headers],[Payment Number]])),"")</f>
        <v>2</v>
      </c>
      <c r="C15" s="24">
        <f ca="1">IF(PaymentSchedule3[[#This Row],[Payment Number]]&lt;&gt;"",EOMONTH(LoanStartDate,ROW(PaymentSchedule3[[#This Row],[Payment Number]])-ROW(PaymentSchedule3[[#Headers],[Payment Number]])-2)+DAY(LoanStartDate),"")</f>
        <v>45497</v>
      </c>
      <c r="D15" s="25">
        <f ca="1">IF(PaymentSchedule3[[#This Row],[Payment Number]]&lt;&gt;"",IF(ROW()-ROW(PaymentSchedule3[[#Headers],[Beginning
Balance]])=1,LoanAmount,INDEX(PaymentSchedule3[Ending
Balance],ROW()-ROW(PaymentSchedule3[[#Headers],[Beginning
Balance]])-1)),"")</f>
        <v>332227.45253686258</v>
      </c>
      <c r="E15" s="25">
        <f ca="1">IF(PaymentSchedule3[[#This Row],[Payment Number]]&lt;&gt;"",ScheduledPayment,"")</f>
        <v>2212.1307964707844</v>
      </c>
      <c r="F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 s="25">
        <f ca="1">IF(PaymentSchedule3[[#This Row],[Payment Number]]&lt;&gt;"",PaymentSchedule3[[#This Row],[Total
Payment]]-PaymentSchedule3[[#This Row],[Interest]],"")</f>
        <v>274.13732333908592</v>
      </c>
      <c r="I15" s="25">
        <f ca="1">IF(PaymentSchedule3[[#This Row],[Payment Number]]&lt;&gt;"",PaymentSchedule3[[#This Row],[Beginning
Balance]]*(InterestRate/PaymentsPerYear),"")</f>
        <v>1937.9934731316985</v>
      </c>
      <c r="J15" s="25">
        <f ca="1">IF(PaymentSchedule3[[#This Row],[Payment Number]]&lt;&gt;"",IF(PaymentSchedule3[[#This Row],[Scheduled Payment]]+PaymentSchedule3[[#This Row],[Extra
Payment]]&lt;=PaymentSchedule3[[#This Row],[Beginning
Balance]],PaymentSchedule3[[#This Row],[Beginning
Balance]]-PaymentSchedule3[[#This Row],[Principal]],0),"")</f>
        <v>331953.31521352351</v>
      </c>
      <c r="K15" s="25">
        <f ca="1">IF(PaymentSchedule3[[#This Row],[Payment Number]]&lt;&gt;"",SUM(INDEX(PaymentSchedule3[Interest],1,1):PaymentSchedule3[[#This Row],[Interest]]),"")</f>
        <v>3877.576806465032</v>
      </c>
      <c r="L15" s="25">
        <f ca="1">IF(PaymentSchedule3[[#This Row],[Payment Number]]&lt;&gt;"",SUM(INDEX(PaymentSchedule3[Principal],1,1):PaymentSchedule3[[#This Row],[Principal]]),"")</f>
        <v>546.68478647653683</v>
      </c>
    </row>
    <row r="16" spans="2:12" x14ac:dyDescent="0.25">
      <c r="B16" s="23">
        <f ca="1">IF(LoanIsGood,IF(ROW()-ROW(PaymentSchedule3[[#Headers],[Payment Number]])&gt;ScheduledNumberOfPayments,"",ROW()-ROW(PaymentSchedule3[[#Headers],[Payment Number]])),"")</f>
        <v>3</v>
      </c>
      <c r="C16" s="24">
        <f ca="1">IF(PaymentSchedule3[[#This Row],[Payment Number]]&lt;&gt;"",EOMONTH(LoanStartDate,ROW(PaymentSchedule3[[#This Row],[Payment Number]])-ROW(PaymentSchedule3[[#Headers],[Payment Number]])-2)+DAY(LoanStartDate),"")</f>
        <v>45528</v>
      </c>
      <c r="D16" s="25">
        <f ca="1">IF(PaymentSchedule3[[#This Row],[Payment Number]]&lt;&gt;"",IF(ROW()-ROW(PaymentSchedule3[[#Headers],[Beginning
Balance]])=1,LoanAmount,INDEX(PaymentSchedule3[Ending
Balance],ROW()-ROW(PaymentSchedule3[[#Headers],[Beginning
Balance]])-1)),"")</f>
        <v>331953.31521352351</v>
      </c>
      <c r="E16" s="25">
        <f ca="1">IF(PaymentSchedule3[[#This Row],[Payment Number]]&lt;&gt;"",ScheduledPayment,"")</f>
        <v>2212.1307964707844</v>
      </c>
      <c r="F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 s="25">
        <f ca="1">IF(PaymentSchedule3[[#This Row],[Payment Number]]&lt;&gt;"",PaymentSchedule3[[#This Row],[Total
Payment]]-PaymentSchedule3[[#This Row],[Interest]],"")</f>
        <v>275.73645772523037</v>
      </c>
      <c r="I16" s="25">
        <f ca="1">IF(PaymentSchedule3[[#This Row],[Payment Number]]&lt;&gt;"",PaymentSchedule3[[#This Row],[Beginning
Balance]]*(InterestRate/PaymentsPerYear),"")</f>
        <v>1936.394338745554</v>
      </c>
      <c r="J16" s="25">
        <f ca="1">IF(PaymentSchedule3[[#This Row],[Payment Number]]&lt;&gt;"",IF(PaymentSchedule3[[#This Row],[Scheduled Payment]]+PaymentSchedule3[[#This Row],[Extra
Payment]]&lt;=PaymentSchedule3[[#This Row],[Beginning
Balance]],PaymentSchedule3[[#This Row],[Beginning
Balance]]-PaymentSchedule3[[#This Row],[Principal]],0),"")</f>
        <v>331677.57875579828</v>
      </c>
      <c r="K16" s="25">
        <f ca="1">IF(PaymentSchedule3[[#This Row],[Payment Number]]&lt;&gt;"",SUM(INDEX(PaymentSchedule3[Interest],1,1):PaymentSchedule3[[#This Row],[Interest]]),"")</f>
        <v>5813.9711452105857</v>
      </c>
      <c r="L16" s="25">
        <f ca="1">IF(PaymentSchedule3[[#This Row],[Payment Number]]&lt;&gt;"",SUM(INDEX(PaymentSchedule3[Principal],1,1):PaymentSchedule3[[#This Row],[Principal]]),"")</f>
        <v>822.42124420176719</v>
      </c>
    </row>
    <row r="17" spans="2:12" x14ac:dyDescent="0.25">
      <c r="B17" s="23">
        <f ca="1">IF(LoanIsGood,IF(ROW()-ROW(PaymentSchedule3[[#Headers],[Payment Number]])&gt;ScheduledNumberOfPayments,"",ROW()-ROW(PaymentSchedule3[[#Headers],[Payment Number]])),"")</f>
        <v>4</v>
      </c>
      <c r="C17" s="24">
        <f ca="1">IF(PaymentSchedule3[[#This Row],[Payment Number]]&lt;&gt;"",EOMONTH(LoanStartDate,ROW(PaymentSchedule3[[#This Row],[Payment Number]])-ROW(PaymentSchedule3[[#Headers],[Payment Number]])-2)+DAY(LoanStartDate),"")</f>
        <v>45559</v>
      </c>
      <c r="D17" s="25">
        <f ca="1">IF(PaymentSchedule3[[#This Row],[Payment Number]]&lt;&gt;"",IF(ROW()-ROW(PaymentSchedule3[[#Headers],[Beginning
Balance]])=1,LoanAmount,INDEX(PaymentSchedule3[Ending
Balance],ROW()-ROW(PaymentSchedule3[[#Headers],[Beginning
Balance]])-1)),"")</f>
        <v>331677.57875579828</v>
      </c>
      <c r="E17" s="25">
        <f ca="1">IF(PaymentSchedule3[[#This Row],[Payment Number]]&lt;&gt;"",ScheduledPayment,"")</f>
        <v>2212.1307964707844</v>
      </c>
      <c r="F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 s="25">
        <f ca="1">IF(PaymentSchedule3[[#This Row],[Payment Number]]&lt;&gt;"",PaymentSchedule3[[#This Row],[Total
Payment]]-PaymentSchedule3[[#This Row],[Interest]],"")</f>
        <v>277.34492039529437</v>
      </c>
      <c r="I17" s="25">
        <f ca="1">IF(PaymentSchedule3[[#This Row],[Payment Number]]&lt;&gt;"",PaymentSchedule3[[#This Row],[Beginning
Balance]]*(InterestRate/PaymentsPerYear),"")</f>
        <v>1934.78587607549</v>
      </c>
      <c r="J17" s="25">
        <f ca="1">IF(PaymentSchedule3[[#This Row],[Payment Number]]&lt;&gt;"",IF(PaymentSchedule3[[#This Row],[Scheduled Payment]]+PaymentSchedule3[[#This Row],[Extra
Payment]]&lt;=PaymentSchedule3[[#This Row],[Beginning
Balance]],PaymentSchedule3[[#This Row],[Beginning
Balance]]-PaymentSchedule3[[#This Row],[Principal]],0),"")</f>
        <v>331400.23383540299</v>
      </c>
      <c r="K17" s="25">
        <f ca="1">IF(PaymentSchedule3[[#This Row],[Payment Number]]&lt;&gt;"",SUM(INDEX(PaymentSchedule3[Interest],1,1):PaymentSchedule3[[#This Row],[Interest]]),"")</f>
        <v>7748.7570212860755</v>
      </c>
      <c r="L17" s="25">
        <f ca="1">IF(PaymentSchedule3[[#This Row],[Payment Number]]&lt;&gt;"",SUM(INDEX(PaymentSchedule3[Principal],1,1):PaymentSchedule3[[#This Row],[Principal]]),"")</f>
        <v>1099.7661645970616</v>
      </c>
    </row>
    <row r="18" spans="2:12" x14ac:dyDescent="0.25">
      <c r="B18" s="23">
        <f ca="1">IF(LoanIsGood,IF(ROW()-ROW(PaymentSchedule3[[#Headers],[Payment Number]])&gt;ScheduledNumberOfPayments,"",ROW()-ROW(PaymentSchedule3[[#Headers],[Payment Number]])),"")</f>
        <v>5</v>
      </c>
      <c r="C18" s="24">
        <f ca="1">IF(PaymentSchedule3[[#This Row],[Payment Number]]&lt;&gt;"",EOMONTH(LoanStartDate,ROW(PaymentSchedule3[[#This Row],[Payment Number]])-ROW(PaymentSchedule3[[#Headers],[Payment Number]])-2)+DAY(LoanStartDate),"")</f>
        <v>45589</v>
      </c>
      <c r="D18" s="25">
        <f ca="1">IF(PaymentSchedule3[[#This Row],[Payment Number]]&lt;&gt;"",IF(ROW()-ROW(PaymentSchedule3[[#Headers],[Beginning
Balance]])=1,LoanAmount,INDEX(PaymentSchedule3[Ending
Balance],ROW()-ROW(PaymentSchedule3[[#Headers],[Beginning
Balance]])-1)),"")</f>
        <v>331400.23383540299</v>
      </c>
      <c r="E18" s="25">
        <f ca="1">IF(PaymentSchedule3[[#This Row],[Payment Number]]&lt;&gt;"",ScheduledPayment,"")</f>
        <v>2212.1307964707844</v>
      </c>
      <c r="F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 s="25">
        <f ca="1">IF(PaymentSchedule3[[#This Row],[Payment Number]]&lt;&gt;"",PaymentSchedule3[[#This Row],[Total
Payment]]-PaymentSchedule3[[#This Row],[Interest]],"")</f>
        <v>278.96276576426681</v>
      </c>
      <c r="I18" s="25">
        <f ca="1">IF(PaymentSchedule3[[#This Row],[Payment Number]]&lt;&gt;"",PaymentSchedule3[[#This Row],[Beginning
Balance]]*(InterestRate/PaymentsPerYear),"")</f>
        <v>1933.1680307065176</v>
      </c>
      <c r="J18" s="25">
        <f ca="1">IF(PaymentSchedule3[[#This Row],[Payment Number]]&lt;&gt;"",IF(PaymentSchedule3[[#This Row],[Scheduled Payment]]+PaymentSchedule3[[#This Row],[Extra
Payment]]&lt;=PaymentSchedule3[[#This Row],[Beginning
Balance]],PaymentSchedule3[[#This Row],[Beginning
Balance]]-PaymentSchedule3[[#This Row],[Principal]],0),"")</f>
        <v>331121.27106963872</v>
      </c>
      <c r="K18" s="25">
        <f ca="1">IF(PaymentSchedule3[[#This Row],[Payment Number]]&lt;&gt;"",SUM(INDEX(PaymentSchedule3[Interest],1,1):PaymentSchedule3[[#This Row],[Interest]]),"")</f>
        <v>9681.9250519925936</v>
      </c>
      <c r="L18" s="25">
        <f ca="1">IF(PaymentSchedule3[[#This Row],[Payment Number]]&lt;&gt;"",SUM(INDEX(PaymentSchedule3[Principal],1,1):PaymentSchedule3[[#This Row],[Principal]]),"")</f>
        <v>1378.7289303613284</v>
      </c>
    </row>
    <row r="19" spans="2:12" x14ac:dyDescent="0.25">
      <c r="B19" s="23">
        <f ca="1">IF(LoanIsGood,IF(ROW()-ROW(PaymentSchedule3[[#Headers],[Payment Number]])&gt;ScheduledNumberOfPayments,"",ROW()-ROW(PaymentSchedule3[[#Headers],[Payment Number]])),"")</f>
        <v>6</v>
      </c>
      <c r="C19" s="24">
        <f ca="1">IF(PaymentSchedule3[[#This Row],[Payment Number]]&lt;&gt;"",EOMONTH(LoanStartDate,ROW(PaymentSchedule3[[#This Row],[Payment Number]])-ROW(PaymentSchedule3[[#Headers],[Payment Number]])-2)+DAY(LoanStartDate),"")</f>
        <v>45620</v>
      </c>
      <c r="D19" s="25">
        <f ca="1">IF(PaymentSchedule3[[#This Row],[Payment Number]]&lt;&gt;"",IF(ROW()-ROW(PaymentSchedule3[[#Headers],[Beginning
Balance]])=1,LoanAmount,INDEX(PaymentSchedule3[Ending
Balance],ROW()-ROW(PaymentSchedule3[[#Headers],[Beginning
Balance]])-1)),"")</f>
        <v>331121.27106963872</v>
      </c>
      <c r="E19" s="25">
        <f ca="1">IF(PaymentSchedule3[[#This Row],[Payment Number]]&lt;&gt;"",ScheduledPayment,"")</f>
        <v>2212.1307964707844</v>
      </c>
      <c r="F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 s="25">
        <f ca="1">IF(PaymentSchedule3[[#This Row],[Payment Number]]&lt;&gt;"",PaymentSchedule3[[#This Row],[Total
Payment]]-PaymentSchedule3[[#This Row],[Interest]],"")</f>
        <v>280.5900485645584</v>
      </c>
      <c r="I19" s="25">
        <f ca="1">IF(PaymentSchedule3[[#This Row],[Payment Number]]&lt;&gt;"",PaymentSchedule3[[#This Row],[Beginning
Balance]]*(InterestRate/PaymentsPerYear),"")</f>
        <v>1931.540747906226</v>
      </c>
      <c r="J19" s="25">
        <f ca="1">IF(PaymentSchedule3[[#This Row],[Payment Number]]&lt;&gt;"",IF(PaymentSchedule3[[#This Row],[Scheduled Payment]]+PaymentSchedule3[[#This Row],[Extra
Payment]]&lt;=PaymentSchedule3[[#This Row],[Beginning
Balance]],PaymentSchedule3[[#This Row],[Beginning
Balance]]-PaymentSchedule3[[#This Row],[Principal]],0),"")</f>
        <v>330840.68102107418</v>
      </c>
      <c r="K19" s="25">
        <f ca="1">IF(PaymentSchedule3[[#This Row],[Payment Number]]&lt;&gt;"",SUM(INDEX(PaymentSchedule3[Interest],1,1):PaymentSchedule3[[#This Row],[Interest]]),"")</f>
        <v>11613.465799898819</v>
      </c>
      <c r="L19" s="25">
        <f ca="1">IF(PaymentSchedule3[[#This Row],[Payment Number]]&lt;&gt;"",SUM(INDEX(PaymentSchedule3[Principal],1,1):PaymentSchedule3[[#This Row],[Principal]]),"")</f>
        <v>1659.3189789258868</v>
      </c>
    </row>
    <row r="20" spans="2:12" x14ac:dyDescent="0.25">
      <c r="B20" s="23">
        <f ca="1">IF(LoanIsGood,IF(ROW()-ROW(PaymentSchedule3[[#Headers],[Payment Number]])&gt;ScheduledNumberOfPayments,"",ROW()-ROW(PaymentSchedule3[[#Headers],[Payment Number]])),"")</f>
        <v>7</v>
      </c>
      <c r="C20" s="24">
        <f ca="1">IF(PaymentSchedule3[[#This Row],[Payment Number]]&lt;&gt;"",EOMONTH(LoanStartDate,ROW(PaymentSchedule3[[#This Row],[Payment Number]])-ROW(PaymentSchedule3[[#Headers],[Payment Number]])-2)+DAY(LoanStartDate),"")</f>
        <v>45650</v>
      </c>
      <c r="D20" s="25">
        <f ca="1">IF(PaymentSchedule3[[#This Row],[Payment Number]]&lt;&gt;"",IF(ROW()-ROW(PaymentSchedule3[[#Headers],[Beginning
Balance]])=1,LoanAmount,INDEX(PaymentSchedule3[Ending
Balance],ROW()-ROW(PaymentSchedule3[[#Headers],[Beginning
Balance]])-1)),"")</f>
        <v>330840.68102107418</v>
      </c>
      <c r="E20" s="25">
        <f ca="1">IF(PaymentSchedule3[[#This Row],[Payment Number]]&lt;&gt;"",ScheduledPayment,"")</f>
        <v>2212.1307964707844</v>
      </c>
      <c r="F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 s="25">
        <f ca="1">IF(PaymentSchedule3[[#This Row],[Payment Number]]&lt;&gt;"",PaymentSchedule3[[#This Row],[Total
Payment]]-PaymentSchedule3[[#This Row],[Interest]],"")</f>
        <v>282.22682384785162</v>
      </c>
      <c r="I20" s="25">
        <f ca="1">IF(PaymentSchedule3[[#This Row],[Payment Number]]&lt;&gt;"",PaymentSchedule3[[#This Row],[Beginning
Balance]]*(InterestRate/PaymentsPerYear),"")</f>
        <v>1929.9039726229328</v>
      </c>
      <c r="J20" s="25">
        <f ca="1">IF(PaymentSchedule3[[#This Row],[Payment Number]]&lt;&gt;"",IF(PaymentSchedule3[[#This Row],[Scheduled Payment]]+PaymentSchedule3[[#This Row],[Extra
Payment]]&lt;=PaymentSchedule3[[#This Row],[Beginning
Balance]],PaymentSchedule3[[#This Row],[Beginning
Balance]]-PaymentSchedule3[[#This Row],[Principal]],0),"")</f>
        <v>330558.45419722633</v>
      </c>
      <c r="K20" s="25">
        <f ca="1">IF(PaymentSchedule3[[#This Row],[Payment Number]]&lt;&gt;"",SUM(INDEX(PaymentSchedule3[Interest],1,1):PaymentSchedule3[[#This Row],[Interest]]),"")</f>
        <v>13543.369772521752</v>
      </c>
      <c r="L20" s="25">
        <f ca="1">IF(PaymentSchedule3[[#This Row],[Payment Number]]&lt;&gt;"",SUM(INDEX(PaymentSchedule3[Principal],1,1):PaymentSchedule3[[#This Row],[Principal]]),"")</f>
        <v>1941.5458027737384</v>
      </c>
    </row>
    <row r="21" spans="2:12" x14ac:dyDescent="0.25">
      <c r="B21" s="23">
        <f ca="1">IF(LoanIsGood,IF(ROW()-ROW(PaymentSchedule3[[#Headers],[Payment Number]])&gt;ScheduledNumberOfPayments,"",ROW()-ROW(PaymentSchedule3[[#Headers],[Payment Number]])),"")</f>
        <v>8</v>
      </c>
      <c r="C21" s="24">
        <f ca="1">IF(PaymentSchedule3[[#This Row],[Payment Number]]&lt;&gt;"",EOMONTH(LoanStartDate,ROW(PaymentSchedule3[[#This Row],[Payment Number]])-ROW(PaymentSchedule3[[#Headers],[Payment Number]])-2)+DAY(LoanStartDate),"")</f>
        <v>45681</v>
      </c>
      <c r="D21" s="25">
        <f ca="1">IF(PaymentSchedule3[[#This Row],[Payment Number]]&lt;&gt;"",IF(ROW()-ROW(PaymentSchedule3[[#Headers],[Beginning
Balance]])=1,LoanAmount,INDEX(PaymentSchedule3[Ending
Balance],ROW()-ROW(PaymentSchedule3[[#Headers],[Beginning
Balance]])-1)),"")</f>
        <v>330558.45419722633</v>
      </c>
      <c r="E21" s="25">
        <f ca="1">IF(PaymentSchedule3[[#This Row],[Payment Number]]&lt;&gt;"",ScheduledPayment,"")</f>
        <v>2212.1307964707844</v>
      </c>
      <c r="F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 s="25">
        <f ca="1">IF(PaymentSchedule3[[#This Row],[Payment Number]]&lt;&gt;"",PaymentSchedule3[[#This Row],[Total
Payment]]-PaymentSchedule3[[#This Row],[Interest]],"")</f>
        <v>283.873146986964</v>
      </c>
      <c r="I21" s="25">
        <f ca="1">IF(PaymentSchedule3[[#This Row],[Payment Number]]&lt;&gt;"",PaymentSchedule3[[#This Row],[Beginning
Balance]]*(InterestRate/PaymentsPerYear),"")</f>
        <v>1928.2576494838204</v>
      </c>
      <c r="J21" s="25">
        <f ca="1">IF(PaymentSchedule3[[#This Row],[Payment Number]]&lt;&gt;"",IF(PaymentSchedule3[[#This Row],[Scheduled Payment]]+PaymentSchedule3[[#This Row],[Extra
Payment]]&lt;=PaymentSchedule3[[#This Row],[Beginning
Balance]],PaymentSchedule3[[#This Row],[Beginning
Balance]]-PaymentSchedule3[[#This Row],[Principal]],0),"")</f>
        <v>330274.58105023939</v>
      </c>
      <c r="K21" s="25">
        <f ca="1">IF(PaymentSchedule3[[#This Row],[Payment Number]]&lt;&gt;"",SUM(INDEX(PaymentSchedule3[Interest],1,1):PaymentSchedule3[[#This Row],[Interest]]),"")</f>
        <v>15471.627422005571</v>
      </c>
      <c r="L21" s="25">
        <f ca="1">IF(PaymentSchedule3[[#This Row],[Payment Number]]&lt;&gt;"",SUM(INDEX(PaymentSchedule3[Principal],1,1):PaymentSchedule3[[#This Row],[Principal]]),"")</f>
        <v>2225.4189497607022</v>
      </c>
    </row>
    <row r="22" spans="2:12" x14ac:dyDescent="0.25">
      <c r="B22" s="23">
        <f ca="1">IF(LoanIsGood,IF(ROW()-ROW(PaymentSchedule3[[#Headers],[Payment Number]])&gt;ScheduledNumberOfPayments,"",ROW()-ROW(PaymentSchedule3[[#Headers],[Payment Number]])),"")</f>
        <v>9</v>
      </c>
      <c r="C22" s="24">
        <f ca="1">IF(PaymentSchedule3[[#This Row],[Payment Number]]&lt;&gt;"",EOMONTH(LoanStartDate,ROW(PaymentSchedule3[[#This Row],[Payment Number]])-ROW(PaymentSchedule3[[#Headers],[Payment Number]])-2)+DAY(LoanStartDate),"")</f>
        <v>45712</v>
      </c>
      <c r="D22" s="25">
        <f ca="1">IF(PaymentSchedule3[[#This Row],[Payment Number]]&lt;&gt;"",IF(ROW()-ROW(PaymentSchedule3[[#Headers],[Beginning
Balance]])=1,LoanAmount,INDEX(PaymentSchedule3[Ending
Balance],ROW()-ROW(PaymentSchedule3[[#Headers],[Beginning
Balance]])-1)),"")</f>
        <v>330274.58105023939</v>
      </c>
      <c r="E22" s="25">
        <f ca="1">IF(PaymentSchedule3[[#This Row],[Payment Number]]&lt;&gt;"",ScheduledPayment,"")</f>
        <v>2212.1307964707844</v>
      </c>
      <c r="F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 s="25">
        <f ca="1">IF(PaymentSchedule3[[#This Row],[Payment Number]]&lt;&gt;"",PaymentSchedule3[[#This Row],[Total
Payment]]-PaymentSchedule3[[#This Row],[Interest]],"")</f>
        <v>285.52907367772127</v>
      </c>
      <c r="I22" s="25">
        <f ca="1">IF(PaymentSchedule3[[#This Row],[Payment Number]]&lt;&gt;"",PaymentSchedule3[[#This Row],[Beginning
Balance]]*(InterestRate/PaymentsPerYear),"")</f>
        <v>1926.6017227930631</v>
      </c>
      <c r="J22" s="25">
        <f ca="1">IF(PaymentSchedule3[[#This Row],[Payment Number]]&lt;&gt;"",IF(PaymentSchedule3[[#This Row],[Scheduled Payment]]+PaymentSchedule3[[#This Row],[Extra
Payment]]&lt;=PaymentSchedule3[[#This Row],[Beginning
Balance]],PaymentSchedule3[[#This Row],[Beginning
Balance]]-PaymentSchedule3[[#This Row],[Principal]],0),"")</f>
        <v>329989.05197656166</v>
      </c>
      <c r="K22" s="25">
        <f ca="1">IF(PaymentSchedule3[[#This Row],[Payment Number]]&lt;&gt;"",SUM(INDEX(PaymentSchedule3[Interest],1,1):PaymentSchedule3[[#This Row],[Interest]]),"")</f>
        <v>17398.229144798635</v>
      </c>
      <c r="L22" s="25">
        <f ca="1">IF(PaymentSchedule3[[#This Row],[Payment Number]]&lt;&gt;"",SUM(INDEX(PaymentSchedule3[Principal],1,1):PaymentSchedule3[[#This Row],[Principal]]),"")</f>
        <v>2510.9480234384237</v>
      </c>
    </row>
    <row r="23" spans="2:12" x14ac:dyDescent="0.25">
      <c r="B23" s="23">
        <f ca="1">IF(LoanIsGood,IF(ROW()-ROW(PaymentSchedule3[[#Headers],[Payment Number]])&gt;ScheduledNumberOfPayments,"",ROW()-ROW(PaymentSchedule3[[#Headers],[Payment Number]])),"")</f>
        <v>10</v>
      </c>
      <c r="C23" s="24">
        <f ca="1">IF(PaymentSchedule3[[#This Row],[Payment Number]]&lt;&gt;"",EOMONTH(LoanStartDate,ROW(PaymentSchedule3[[#This Row],[Payment Number]])-ROW(PaymentSchedule3[[#Headers],[Payment Number]])-2)+DAY(LoanStartDate),"")</f>
        <v>45740</v>
      </c>
      <c r="D23" s="25">
        <f ca="1">IF(PaymentSchedule3[[#This Row],[Payment Number]]&lt;&gt;"",IF(ROW()-ROW(PaymentSchedule3[[#Headers],[Beginning
Balance]])=1,LoanAmount,INDEX(PaymentSchedule3[Ending
Balance],ROW()-ROW(PaymentSchedule3[[#Headers],[Beginning
Balance]])-1)),"")</f>
        <v>329989.05197656166</v>
      </c>
      <c r="E23" s="25">
        <f ca="1">IF(PaymentSchedule3[[#This Row],[Payment Number]]&lt;&gt;"",ScheduledPayment,"")</f>
        <v>2212.1307964707844</v>
      </c>
      <c r="F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 s="25">
        <f ca="1">IF(PaymentSchedule3[[#This Row],[Payment Number]]&lt;&gt;"",PaymentSchedule3[[#This Row],[Total
Payment]]-PaymentSchedule3[[#This Row],[Interest]],"")</f>
        <v>287.19465994084135</v>
      </c>
      <c r="I23" s="25">
        <f ca="1">IF(PaymentSchedule3[[#This Row],[Payment Number]]&lt;&gt;"",PaymentSchedule3[[#This Row],[Beginning
Balance]]*(InterestRate/PaymentsPerYear),"")</f>
        <v>1924.936136529943</v>
      </c>
      <c r="J23" s="25">
        <f ca="1">IF(PaymentSchedule3[[#This Row],[Payment Number]]&lt;&gt;"",IF(PaymentSchedule3[[#This Row],[Scheduled Payment]]+PaymentSchedule3[[#This Row],[Extra
Payment]]&lt;=PaymentSchedule3[[#This Row],[Beginning
Balance]],PaymentSchedule3[[#This Row],[Beginning
Balance]]-PaymentSchedule3[[#This Row],[Principal]],0),"")</f>
        <v>329701.85731662082</v>
      </c>
      <c r="K23" s="25">
        <f ca="1">IF(PaymentSchedule3[[#This Row],[Payment Number]]&lt;&gt;"",SUM(INDEX(PaymentSchedule3[Interest],1,1):PaymentSchedule3[[#This Row],[Interest]]),"")</f>
        <v>19323.16528132858</v>
      </c>
      <c r="L23" s="25">
        <f ca="1">IF(PaymentSchedule3[[#This Row],[Payment Number]]&lt;&gt;"",SUM(INDEX(PaymentSchedule3[Principal],1,1):PaymentSchedule3[[#This Row],[Principal]]),"")</f>
        <v>2798.1426833792648</v>
      </c>
    </row>
    <row r="24" spans="2:12" x14ac:dyDescent="0.25">
      <c r="B24" s="23">
        <f ca="1">IF(LoanIsGood,IF(ROW()-ROW(PaymentSchedule3[[#Headers],[Payment Number]])&gt;ScheduledNumberOfPayments,"",ROW()-ROW(PaymentSchedule3[[#Headers],[Payment Number]])),"")</f>
        <v>11</v>
      </c>
      <c r="C24" s="24">
        <f ca="1">IF(PaymentSchedule3[[#This Row],[Payment Number]]&lt;&gt;"",EOMONTH(LoanStartDate,ROW(PaymentSchedule3[[#This Row],[Payment Number]])-ROW(PaymentSchedule3[[#Headers],[Payment Number]])-2)+DAY(LoanStartDate),"")</f>
        <v>45771</v>
      </c>
      <c r="D24" s="25">
        <f ca="1">IF(PaymentSchedule3[[#This Row],[Payment Number]]&lt;&gt;"",IF(ROW()-ROW(PaymentSchedule3[[#Headers],[Beginning
Balance]])=1,LoanAmount,INDEX(PaymentSchedule3[Ending
Balance],ROW()-ROW(PaymentSchedule3[[#Headers],[Beginning
Balance]])-1)),"")</f>
        <v>329701.85731662082</v>
      </c>
      <c r="E24" s="25">
        <f ca="1">IF(PaymentSchedule3[[#This Row],[Payment Number]]&lt;&gt;"",ScheduledPayment,"")</f>
        <v>2212.1307964707844</v>
      </c>
      <c r="F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 s="25">
        <f ca="1">IF(PaymentSchedule3[[#This Row],[Payment Number]]&lt;&gt;"",PaymentSchedule3[[#This Row],[Total
Payment]]-PaymentSchedule3[[#This Row],[Interest]],"")</f>
        <v>288.86996212382951</v>
      </c>
      <c r="I24" s="25">
        <f ca="1">IF(PaymentSchedule3[[#This Row],[Payment Number]]&lt;&gt;"",PaymentSchedule3[[#This Row],[Beginning
Balance]]*(InterestRate/PaymentsPerYear),"")</f>
        <v>1923.2608343469549</v>
      </c>
      <c r="J24" s="25">
        <f ca="1">IF(PaymentSchedule3[[#This Row],[Payment Number]]&lt;&gt;"",IF(PaymentSchedule3[[#This Row],[Scheduled Payment]]+PaymentSchedule3[[#This Row],[Extra
Payment]]&lt;=PaymentSchedule3[[#This Row],[Beginning
Balance]],PaymentSchedule3[[#This Row],[Beginning
Balance]]-PaymentSchedule3[[#This Row],[Principal]],0),"")</f>
        <v>329412.98735449702</v>
      </c>
      <c r="K24" s="25">
        <f ca="1">IF(PaymentSchedule3[[#This Row],[Payment Number]]&lt;&gt;"",SUM(INDEX(PaymentSchedule3[Interest],1,1):PaymentSchedule3[[#This Row],[Interest]]),"")</f>
        <v>21246.426115675535</v>
      </c>
      <c r="L24" s="25">
        <f ca="1">IF(PaymentSchedule3[[#This Row],[Payment Number]]&lt;&gt;"",SUM(INDEX(PaymentSchedule3[Principal],1,1):PaymentSchedule3[[#This Row],[Principal]]),"")</f>
        <v>3087.0126455030941</v>
      </c>
    </row>
    <row r="25" spans="2:12" x14ac:dyDescent="0.25">
      <c r="B25" s="23">
        <f ca="1">IF(LoanIsGood,IF(ROW()-ROW(PaymentSchedule3[[#Headers],[Payment Number]])&gt;ScheduledNumberOfPayments,"",ROW()-ROW(PaymentSchedule3[[#Headers],[Payment Number]])),"")</f>
        <v>12</v>
      </c>
      <c r="C25" s="24">
        <f ca="1">IF(PaymentSchedule3[[#This Row],[Payment Number]]&lt;&gt;"",EOMONTH(LoanStartDate,ROW(PaymentSchedule3[[#This Row],[Payment Number]])-ROW(PaymentSchedule3[[#Headers],[Payment Number]])-2)+DAY(LoanStartDate),"")</f>
        <v>45801</v>
      </c>
      <c r="D25" s="25">
        <f ca="1">IF(PaymentSchedule3[[#This Row],[Payment Number]]&lt;&gt;"",IF(ROW()-ROW(PaymentSchedule3[[#Headers],[Beginning
Balance]])=1,LoanAmount,INDEX(PaymentSchedule3[Ending
Balance],ROW()-ROW(PaymentSchedule3[[#Headers],[Beginning
Balance]])-1)),"")</f>
        <v>329412.98735449702</v>
      </c>
      <c r="E25" s="25">
        <f ca="1">IF(PaymentSchedule3[[#This Row],[Payment Number]]&lt;&gt;"",ScheduledPayment,"")</f>
        <v>2212.1307964707844</v>
      </c>
      <c r="F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 s="25">
        <f ca="1">IF(PaymentSchedule3[[#This Row],[Payment Number]]&lt;&gt;"",PaymentSchedule3[[#This Row],[Total
Payment]]-PaymentSchedule3[[#This Row],[Interest]],"")</f>
        <v>290.55503690288492</v>
      </c>
      <c r="I25" s="25">
        <f ca="1">IF(PaymentSchedule3[[#This Row],[Payment Number]]&lt;&gt;"",PaymentSchedule3[[#This Row],[Beginning
Balance]]*(InterestRate/PaymentsPerYear),"")</f>
        <v>1921.5757595678995</v>
      </c>
      <c r="J25" s="25">
        <f ca="1">IF(PaymentSchedule3[[#This Row],[Payment Number]]&lt;&gt;"",IF(PaymentSchedule3[[#This Row],[Scheduled Payment]]+PaymentSchedule3[[#This Row],[Extra
Payment]]&lt;=PaymentSchedule3[[#This Row],[Beginning
Balance]],PaymentSchedule3[[#This Row],[Beginning
Balance]]-PaymentSchedule3[[#This Row],[Principal]],0),"")</f>
        <v>329122.43231759412</v>
      </c>
      <c r="K25" s="25">
        <f ca="1">IF(PaymentSchedule3[[#This Row],[Payment Number]]&lt;&gt;"",SUM(INDEX(PaymentSchedule3[Interest],1,1):PaymentSchedule3[[#This Row],[Interest]]),"")</f>
        <v>23168.001875243433</v>
      </c>
      <c r="L25" s="25">
        <f ca="1">IF(PaymentSchedule3[[#This Row],[Payment Number]]&lt;&gt;"",SUM(INDEX(PaymentSchedule3[Principal],1,1):PaymentSchedule3[[#This Row],[Principal]]),"")</f>
        <v>3377.5676824059792</v>
      </c>
    </row>
    <row r="26" spans="2:12" x14ac:dyDescent="0.25">
      <c r="B26" s="23">
        <f ca="1">IF(LoanIsGood,IF(ROW()-ROW(PaymentSchedule3[[#Headers],[Payment Number]])&gt;ScheduledNumberOfPayments,"",ROW()-ROW(PaymentSchedule3[[#Headers],[Payment Number]])),"")</f>
        <v>13</v>
      </c>
      <c r="C26" s="24">
        <f ca="1">IF(PaymentSchedule3[[#This Row],[Payment Number]]&lt;&gt;"",EOMONTH(LoanStartDate,ROW(PaymentSchedule3[[#This Row],[Payment Number]])-ROW(PaymentSchedule3[[#Headers],[Payment Number]])-2)+DAY(LoanStartDate),"")</f>
        <v>45832</v>
      </c>
      <c r="D26" s="25">
        <f ca="1">IF(PaymentSchedule3[[#This Row],[Payment Number]]&lt;&gt;"",IF(ROW()-ROW(PaymentSchedule3[[#Headers],[Beginning
Balance]])=1,LoanAmount,INDEX(PaymentSchedule3[Ending
Balance],ROW()-ROW(PaymentSchedule3[[#Headers],[Beginning
Balance]])-1)),"")</f>
        <v>329122.43231759412</v>
      </c>
      <c r="E26" s="25">
        <f ca="1">IF(PaymentSchedule3[[#This Row],[Payment Number]]&lt;&gt;"",ScheduledPayment,"")</f>
        <v>2212.1307964707844</v>
      </c>
      <c r="F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 s="25">
        <f ca="1">IF(PaymentSchedule3[[#This Row],[Payment Number]]&lt;&gt;"",PaymentSchedule3[[#This Row],[Total
Payment]]-PaymentSchedule3[[#This Row],[Interest]],"")</f>
        <v>292.24994128481853</v>
      </c>
      <c r="I26" s="25">
        <f ca="1">IF(PaymentSchedule3[[#This Row],[Payment Number]]&lt;&gt;"",PaymentSchedule3[[#This Row],[Beginning
Balance]]*(InterestRate/PaymentsPerYear),"")</f>
        <v>1919.8808551859659</v>
      </c>
      <c r="J26" s="25">
        <f ca="1">IF(PaymentSchedule3[[#This Row],[Payment Number]]&lt;&gt;"",IF(PaymentSchedule3[[#This Row],[Scheduled Payment]]+PaymentSchedule3[[#This Row],[Extra
Payment]]&lt;=PaymentSchedule3[[#This Row],[Beginning
Balance]],PaymentSchedule3[[#This Row],[Beginning
Balance]]-PaymentSchedule3[[#This Row],[Principal]],0),"")</f>
        <v>328830.1823763093</v>
      </c>
      <c r="K26" s="25">
        <f ca="1">IF(PaymentSchedule3[[#This Row],[Payment Number]]&lt;&gt;"",SUM(INDEX(PaymentSchedule3[Interest],1,1):PaymentSchedule3[[#This Row],[Interest]]),"")</f>
        <v>25087.882730429399</v>
      </c>
      <c r="L26" s="25">
        <f ca="1">IF(PaymentSchedule3[[#This Row],[Payment Number]]&lt;&gt;"",SUM(INDEX(PaymentSchedule3[Principal],1,1):PaymentSchedule3[[#This Row],[Principal]]),"")</f>
        <v>3669.8176236907975</v>
      </c>
    </row>
    <row r="27" spans="2:12" x14ac:dyDescent="0.25">
      <c r="B27" s="23">
        <f ca="1">IF(LoanIsGood,IF(ROW()-ROW(PaymentSchedule3[[#Headers],[Payment Number]])&gt;ScheduledNumberOfPayments,"",ROW()-ROW(PaymentSchedule3[[#Headers],[Payment Number]])),"")</f>
        <v>14</v>
      </c>
      <c r="C27" s="24">
        <f ca="1">IF(PaymentSchedule3[[#This Row],[Payment Number]]&lt;&gt;"",EOMONTH(LoanStartDate,ROW(PaymentSchedule3[[#This Row],[Payment Number]])-ROW(PaymentSchedule3[[#Headers],[Payment Number]])-2)+DAY(LoanStartDate),"")</f>
        <v>45862</v>
      </c>
      <c r="D27" s="25">
        <f ca="1">IF(PaymentSchedule3[[#This Row],[Payment Number]]&lt;&gt;"",IF(ROW()-ROW(PaymentSchedule3[[#Headers],[Beginning
Balance]])=1,LoanAmount,INDEX(PaymentSchedule3[Ending
Balance],ROW()-ROW(PaymentSchedule3[[#Headers],[Beginning
Balance]])-1)),"")</f>
        <v>328830.1823763093</v>
      </c>
      <c r="E27" s="25">
        <f ca="1">IF(PaymentSchedule3[[#This Row],[Payment Number]]&lt;&gt;"",ScheduledPayment,"")</f>
        <v>2212.1307964707844</v>
      </c>
      <c r="F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 s="25">
        <f ca="1">IF(PaymentSchedule3[[#This Row],[Payment Number]]&lt;&gt;"",PaymentSchedule3[[#This Row],[Total
Payment]]-PaymentSchedule3[[#This Row],[Interest]],"")</f>
        <v>293.95473260898007</v>
      </c>
      <c r="I27" s="25">
        <f ca="1">IF(PaymentSchedule3[[#This Row],[Payment Number]]&lt;&gt;"",PaymentSchedule3[[#This Row],[Beginning
Balance]]*(InterestRate/PaymentsPerYear),"")</f>
        <v>1918.1760638618043</v>
      </c>
      <c r="J27" s="25">
        <f ca="1">IF(PaymentSchedule3[[#This Row],[Payment Number]]&lt;&gt;"",IF(PaymentSchedule3[[#This Row],[Scheduled Payment]]+PaymentSchedule3[[#This Row],[Extra
Payment]]&lt;=PaymentSchedule3[[#This Row],[Beginning
Balance]],PaymentSchedule3[[#This Row],[Beginning
Balance]]-PaymentSchedule3[[#This Row],[Principal]],0),"")</f>
        <v>328536.22764370032</v>
      </c>
      <c r="K27" s="25">
        <f ca="1">IF(PaymentSchedule3[[#This Row],[Payment Number]]&lt;&gt;"",SUM(INDEX(PaymentSchedule3[Interest],1,1):PaymentSchedule3[[#This Row],[Interest]]),"")</f>
        <v>27006.058794291203</v>
      </c>
      <c r="L27" s="25">
        <f ca="1">IF(PaymentSchedule3[[#This Row],[Payment Number]]&lt;&gt;"",SUM(INDEX(PaymentSchedule3[Principal],1,1):PaymentSchedule3[[#This Row],[Principal]]),"")</f>
        <v>3963.7723562997776</v>
      </c>
    </row>
    <row r="28" spans="2:12" x14ac:dyDescent="0.25">
      <c r="B28" s="23">
        <f ca="1">IF(LoanIsGood,IF(ROW()-ROW(PaymentSchedule3[[#Headers],[Payment Number]])&gt;ScheduledNumberOfPayments,"",ROW()-ROW(PaymentSchedule3[[#Headers],[Payment Number]])),"")</f>
        <v>15</v>
      </c>
      <c r="C28" s="24">
        <f ca="1">IF(PaymentSchedule3[[#This Row],[Payment Number]]&lt;&gt;"",EOMONTH(LoanStartDate,ROW(PaymentSchedule3[[#This Row],[Payment Number]])-ROW(PaymentSchedule3[[#Headers],[Payment Number]])-2)+DAY(LoanStartDate),"")</f>
        <v>45893</v>
      </c>
      <c r="D28" s="25">
        <f ca="1">IF(PaymentSchedule3[[#This Row],[Payment Number]]&lt;&gt;"",IF(ROW()-ROW(PaymentSchedule3[[#Headers],[Beginning
Balance]])=1,LoanAmount,INDEX(PaymentSchedule3[Ending
Balance],ROW()-ROW(PaymentSchedule3[[#Headers],[Beginning
Balance]])-1)),"")</f>
        <v>328536.22764370032</v>
      </c>
      <c r="E28" s="25">
        <f ca="1">IF(PaymentSchedule3[[#This Row],[Payment Number]]&lt;&gt;"",ScheduledPayment,"")</f>
        <v>2212.1307964707844</v>
      </c>
      <c r="F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 s="25">
        <f ca="1">IF(PaymentSchedule3[[#This Row],[Payment Number]]&lt;&gt;"",PaymentSchedule3[[#This Row],[Total
Payment]]-PaymentSchedule3[[#This Row],[Interest]],"")</f>
        <v>295.66946854919911</v>
      </c>
      <c r="I28" s="25">
        <f ca="1">IF(PaymentSchedule3[[#This Row],[Payment Number]]&lt;&gt;"",PaymentSchedule3[[#This Row],[Beginning
Balance]]*(InterestRate/PaymentsPerYear),"")</f>
        <v>1916.4613279215853</v>
      </c>
      <c r="J28" s="25">
        <f ca="1">IF(PaymentSchedule3[[#This Row],[Payment Number]]&lt;&gt;"",IF(PaymentSchedule3[[#This Row],[Scheduled Payment]]+PaymentSchedule3[[#This Row],[Extra
Payment]]&lt;=PaymentSchedule3[[#This Row],[Beginning
Balance]],PaymentSchedule3[[#This Row],[Beginning
Balance]]-PaymentSchedule3[[#This Row],[Principal]],0),"")</f>
        <v>328240.55817515112</v>
      </c>
      <c r="K28" s="25">
        <f ca="1">IF(PaymentSchedule3[[#This Row],[Payment Number]]&lt;&gt;"",SUM(INDEX(PaymentSchedule3[Interest],1,1):PaymentSchedule3[[#This Row],[Interest]]),"")</f>
        <v>28922.520122212787</v>
      </c>
      <c r="L28" s="25">
        <f ca="1">IF(PaymentSchedule3[[#This Row],[Payment Number]]&lt;&gt;"",SUM(INDEX(PaymentSchedule3[Principal],1,1):PaymentSchedule3[[#This Row],[Principal]]),"")</f>
        <v>4259.4418248489765</v>
      </c>
    </row>
    <row r="29" spans="2:12" x14ac:dyDescent="0.25">
      <c r="B29" s="23">
        <f ca="1">IF(LoanIsGood,IF(ROW()-ROW(PaymentSchedule3[[#Headers],[Payment Number]])&gt;ScheduledNumberOfPayments,"",ROW()-ROW(PaymentSchedule3[[#Headers],[Payment Number]])),"")</f>
        <v>16</v>
      </c>
      <c r="C29" s="24">
        <f ca="1">IF(PaymentSchedule3[[#This Row],[Payment Number]]&lt;&gt;"",EOMONTH(LoanStartDate,ROW(PaymentSchedule3[[#This Row],[Payment Number]])-ROW(PaymentSchedule3[[#Headers],[Payment Number]])-2)+DAY(LoanStartDate),"")</f>
        <v>45924</v>
      </c>
      <c r="D29" s="25">
        <f ca="1">IF(PaymentSchedule3[[#This Row],[Payment Number]]&lt;&gt;"",IF(ROW()-ROW(PaymentSchedule3[[#Headers],[Beginning
Balance]])=1,LoanAmount,INDEX(PaymentSchedule3[Ending
Balance],ROW()-ROW(PaymentSchedule3[[#Headers],[Beginning
Balance]])-1)),"")</f>
        <v>328240.55817515112</v>
      </c>
      <c r="E29" s="25">
        <f ca="1">IF(PaymentSchedule3[[#This Row],[Payment Number]]&lt;&gt;"",ScheduledPayment,"")</f>
        <v>2212.1307964707844</v>
      </c>
      <c r="F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 s="25">
        <f ca="1">IF(PaymentSchedule3[[#This Row],[Payment Number]]&lt;&gt;"",PaymentSchedule3[[#This Row],[Total
Payment]]-PaymentSchedule3[[#This Row],[Interest]],"")</f>
        <v>297.39420711573621</v>
      </c>
      <c r="I29" s="25">
        <f ca="1">IF(PaymentSchedule3[[#This Row],[Payment Number]]&lt;&gt;"",PaymentSchedule3[[#This Row],[Beginning
Balance]]*(InterestRate/PaymentsPerYear),"")</f>
        <v>1914.7365893550482</v>
      </c>
      <c r="J29" s="25">
        <f ca="1">IF(PaymentSchedule3[[#This Row],[Payment Number]]&lt;&gt;"",IF(PaymentSchedule3[[#This Row],[Scheduled Payment]]+PaymentSchedule3[[#This Row],[Extra
Payment]]&lt;=PaymentSchedule3[[#This Row],[Beginning
Balance]],PaymentSchedule3[[#This Row],[Beginning
Balance]]-PaymentSchedule3[[#This Row],[Principal]],0),"")</f>
        <v>327943.16396803537</v>
      </c>
      <c r="K29" s="25">
        <f ca="1">IF(PaymentSchedule3[[#This Row],[Payment Number]]&lt;&gt;"",SUM(INDEX(PaymentSchedule3[Interest],1,1):PaymentSchedule3[[#This Row],[Interest]]),"")</f>
        <v>30837.256711567836</v>
      </c>
      <c r="L29" s="25">
        <f ca="1">IF(PaymentSchedule3[[#This Row],[Payment Number]]&lt;&gt;"",SUM(INDEX(PaymentSchedule3[Principal],1,1):PaymentSchedule3[[#This Row],[Principal]]),"")</f>
        <v>4556.8360319647127</v>
      </c>
    </row>
    <row r="30" spans="2:12" x14ac:dyDescent="0.25">
      <c r="B30" s="23">
        <f ca="1">IF(LoanIsGood,IF(ROW()-ROW(PaymentSchedule3[[#Headers],[Payment Number]])&gt;ScheduledNumberOfPayments,"",ROW()-ROW(PaymentSchedule3[[#Headers],[Payment Number]])),"")</f>
        <v>17</v>
      </c>
      <c r="C30" s="24">
        <f ca="1">IF(PaymentSchedule3[[#This Row],[Payment Number]]&lt;&gt;"",EOMONTH(LoanStartDate,ROW(PaymentSchedule3[[#This Row],[Payment Number]])-ROW(PaymentSchedule3[[#Headers],[Payment Number]])-2)+DAY(LoanStartDate),"")</f>
        <v>45954</v>
      </c>
      <c r="D30" s="25">
        <f ca="1">IF(PaymentSchedule3[[#This Row],[Payment Number]]&lt;&gt;"",IF(ROW()-ROW(PaymentSchedule3[[#Headers],[Beginning
Balance]])=1,LoanAmount,INDEX(PaymentSchedule3[Ending
Balance],ROW()-ROW(PaymentSchedule3[[#Headers],[Beginning
Balance]])-1)),"")</f>
        <v>327943.16396803537</v>
      </c>
      <c r="E30" s="25">
        <f ca="1">IF(PaymentSchedule3[[#This Row],[Payment Number]]&lt;&gt;"",ScheduledPayment,"")</f>
        <v>2212.1307964707844</v>
      </c>
      <c r="F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 s="25">
        <f ca="1">IF(PaymentSchedule3[[#This Row],[Payment Number]]&lt;&gt;"",PaymentSchedule3[[#This Row],[Total
Payment]]-PaymentSchedule3[[#This Row],[Interest]],"")</f>
        <v>299.12900665724464</v>
      </c>
      <c r="I30" s="25">
        <f ca="1">IF(PaymentSchedule3[[#This Row],[Payment Number]]&lt;&gt;"",PaymentSchedule3[[#This Row],[Beginning
Balance]]*(InterestRate/PaymentsPerYear),"")</f>
        <v>1913.0017898135397</v>
      </c>
      <c r="J30" s="25">
        <f ca="1">IF(PaymentSchedule3[[#This Row],[Payment Number]]&lt;&gt;"",IF(PaymentSchedule3[[#This Row],[Scheduled Payment]]+PaymentSchedule3[[#This Row],[Extra
Payment]]&lt;=PaymentSchedule3[[#This Row],[Beginning
Balance]],PaymentSchedule3[[#This Row],[Beginning
Balance]]-PaymentSchedule3[[#This Row],[Principal]],0),"")</f>
        <v>327644.03496137814</v>
      </c>
      <c r="K30" s="25">
        <f ca="1">IF(PaymentSchedule3[[#This Row],[Payment Number]]&lt;&gt;"",SUM(INDEX(PaymentSchedule3[Interest],1,1):PaymentSchedule3[[#This Row],[Interest]]),"")</f>
        <v>32750.258501381377</v>
      </c>
      <c r="L30" s="25">
        <f ca="1">IF(PaymentSchedule3[[#This Row],[Payment Number]]&lt;&gt;"",SUM(INDEX(PaymentSchedule3[Principal],1,1):PaymentSchedule3[[#This Row],[Principal]]),"")</f>
        <v>4855.9650386219573</v>
      </c>
    </row>
    <row r="31" spans="2:12" x14ac:dyDescent="0.25">
      <c r="B31" s="23">
        <f ca="1">IF(LoanIsGood,IF(ROW()-ROW(PaymentSchedule3[[#Headers],[Payment Number]])&gt;ScheduledNumberOfPayments,"",ROW()-ROW(PaymentSchedule3[[#Headers],[Payment Number]])),"")</f>
        <v>18</v>
      </c>
      <c r="C31" s="24">
        <f ca="1">IF(PaymentSchedule3[[#This Row],[Payment Number]]&lt;&gt;"",EOMONTH(LoanStartDate,ROW(PaymentSchedule3[[#This Row],[Payment Number]])-ROW(PaymentSchedule3[[#Headers],[Payment Number]])-2)+DAY(LoanStartDate),"")</f>
        <v>45985</v>
      </c>
      <c r="D31" s="25">
        <f ca="1">IF(PaymentSchedule3[[#This Row],[Payment Number]]&lt;&gt;"",IF(ROW()-ROW(PaymentSchedule3[[#Headers],[Beginning
Balance]])=1,LoanAmount,INDEX(PaymentSchedule3[Ending
Balance],ROW()-ROW(PaymentSchedule3[[#Headers],[Beginning
Balance]])-1)),"")</f>
        <v>327644.03496137814</v>
      </c>
      <c r="E31" s="25">
        <f ca="1">IF(PaymentSchedule3[[#This Row],[Payment Number]]&lt;&gt;"",ScheduledPayment,"")</f>
        <v>2212.1307964707844</v>
      </c>
      <c r="F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 s="25">
        <f ca="1">IF(PaymentSchedule3[[#This Row],[Payment Number]]&lt;&gt;"",PaymentSchedule3[[#This Row],[Total
Payment]]-PaymentSchedule3[[#This Row],[Interest]],"")</f>
        <v>300.87392586274518</v>
      </c>
      <c r="I31" s="25">
        <f ca="1">IF(PaymentSchedule3[[#This Row],[Payment Number]]&lt;&gt;"",PaymentSchedule3[[#This Row],[Beginning
Balance]]*(InterestRate/PaymentsPerYear),"")</f>
        <v>1911.2568706080392</v>
      </c>
      <c r="J31" s="25">
        <f ca="1">IF(PaymentSchedule3[[#This Row],[Payment Number]]&lt;&gt;"",IF(PaymentSchedule3[[#This Row],[Scheduled Payment]]+PaymentSchedule3[[#This Row],[Extra
Payment]]&lt;=PaymentSchedule3[[#This Row],[Beginning
Balance]],PaymentSchedule3[[#This Row],[Beginning
Balance]]-PaymentSchedule3[[#This Row],[Principal]],0),"")</f>
        <v>327343.16103551543</v>
      </c>
      <c r="K31" s="25">
        <f ca="1">IF(PaymentSchedule3[[#This Row],[Payment Number]]&lt;&gt;"",SUM(INDEX(PaymentSchedule3[Interest],1,1):PaymentSchedule3[[#This Row],[Interest]]),"")</f>
        <v>34661.515371989415</v>
      </c>
      <c r="L31" s="25">
        <f ca="1">IF(PaymentSchedule3[[#This Row],[Payment Number]]&lt;&gt;"",SUM(INDEX(PaymentSchedule3[Principal],1,1):PaymentSchedule3[[#This Row],[Principal]]),"")</f>
        <v>5156.838964484703</v>
      </c>
    </row>
    <row r="32" spans="2:12" x14ac:dyDescent="0.25">
      <c r="B32" s="23">
        <f ca="1">IF(LoanIsGood,IF(ROW()-ROW(PaymentSchedule3[[#Headers],[Payment Number]])&gt;ScheduledNumberOfPayments,"",ROW()-ROW(PaymentSchedule3[[#Headers],[Payment Number]])),"")</f>
        <v>19</v>
      </c>
      <c r="C32" s="24">
        <f ca="1">IF(PaymentSchedule3[[#This Row],[Payment Number]]&lt;&gt;"",EOMONTH(LoanStartDate,ROW(PaymentSchedule3[[#This Row],[Payment Number]])-ROW(PaymentSchedule3[[#Headers],[Payment Number]])-2)+DAY(LoanStartDate),"")</f>
        <v>46015</v>
      </c>
      <c r="D32" s="25">
        <f ca="1">IF(PaymentSchedule3[[#This Row],[Payment Number]]&lt;&gt;"",IF(ROW()-ROW(PaymentSchedule3[[#Headers],[Beginning
Balance]])=1,LoanAmount,INDEX(PaymentSchedule3[Ending
Balance],ROW()-ROW(PaymentSchedule3[[#Headers],[Beginning
Balance]])-1)),"")</f>
        <v>327343.16103551543</v>
      </c>
      <c r="E32" s="25">
        <f ca="1">IF(PaymentSchedule3[[#This Row],[Payment Number]]&lt;&gt;"",ScheduledPayment,"")</f>
        <v>2212.1307964707844</v>
      </c>
      <c r="F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 s="25">
        <f ca="1">IF(PaymentSchedule3[[#This Row],[Payment Number]]&lt;&gt;"",PaymentSchedule3[[#This Row],[Total
Payment]]-PaymentSchedule3[[#This Row],[Interest]],"")</f>
        <v>302.62902376361103</v>
      </c>
      <c r="I32" s="25">
        <f ca="1">IF(PaymentSchedule3[[#This Row],[Payment Number]]&lt;&gt;"",PaymentSchedule3[[#This Row],[Beginning
Balance]]*(InterestRate/PaymentsPerYear),"")</f>
        <v>1909.5017727071734</v>
      </c>
      <c r="J32" s="25">
        <f ca="1">IF(PaymentSchedule3[[#This Row],[Payment Number]]&lt;&gt;"",IF(PaymentSchedule3[[#This Row],[Scheduled Payment]]+PaymentSchedule3[[#This Row],[Extra
Payment]]&lt;=PaymentSchedule3[[#This Row],[Beginning
Balance]],PaymentSchedule3[[#This Row],[Beginning
Balance]]-PaymentSchedule3[[#This Row],[Principal]],0),"")</f>
        <v>327040.53201175184</v>
      </c>
      <c r="K32" s="25">
        <f ca="1">IF(PaymentSchedule3[[#This Row],[Payment Number]]&lt;&gt;"",SUM(INDEX(PaymentSchedule3[Interest],1,1):PaymentSchedule3[[#This Row],[Interest]]),"")</f>
        <v>36571.017144696591</v>
      </c>
      <c r="L32" s="25">
        <f ca="1">IF(PaymentSchedule3[[#This Row],[Payment Number]]&lt;&gt;"",SUM(INDEX(PaymentSchedule3[Principal],1,1):PaymentSchedule3[[#This Row],[Principal]]),"")</f>
        <v>5459.4679882483142</v>
      </c>
    </row>
    <row r="33" spans="2:12" x14ac:dyDescent="0.25">
      <c r="B33" s="23">
        <f ca="1">IF(LoanIsGood,IF(ROW()-ROW(PaymentSchedule3[[#Headers],[Payment Number]])&gt;ScheduledNumberOfPayments,"",ROW()-ROW(PaymentSchedule3[[#Headers],[Payment Number]])),"")</f>
        <v>20</v>
      </c>
      <c r="C33" s="24">
        <f ca="1">IF(PaymentSchedule3[[#This Row],[Payment Number]]&lt;&gt;"",EOMONTH(LoanStartDate,ROW(PaymentSchedule3[[#This Row],[Payment Number]])-ROW(PaymentSchedule3[[#Headers],[Payment Number]])-2)+DAY(LoanStartDate),"")</f>
        <v>46046</v>
      </c>
      <c r="D33" s="25">
        <f ca="1">IF(PaymentSchedule3[[#This Row],[Payment Number]]&lt;&gt;"",IF(ROW()-ROW(PaymentSchedule3[[#Headers],[Beginning
Balance]])=1,LoanAmount,INDEX(PaymentSchedule3[Ending
Balance],ROW()-ROW(PaymentSchedule3[[#Headers],[Beginning
Balance]])-1)),"")</f>
        <v>327040.53201175184</v>
      </c>
      <c r="E33" s="25">
        <f ca="1">IF(PaymentSchedule3[[#This Row],[Payment Number]]&lt;&gt;"",ScheduledPayment,"")</f>
        <v>2212.1307964707844</v>
      </c>
      <c r="F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 s="25">
        <f ca="1">IF(PaymentSchedule3[[#This Row],[Payment Number]]&lt;&gt;"",PaymentSchedule3[[#This Row],[Total
Payment]]-PaymentSchedule3[[#This Row],[Interest]],"")</f>
        <v>304.39435973556533</v>
      </c>
      <c r="I33" s="25">
        <f ca="1">IF(PaymentSchedule3[[#This Row],[Payment Number]]&lt;&gt;"",PaymentSchedule3[[#This Row],[Beginning
Balance]]*(InterestRate/PaymentsPerYear),"")</f>
        <v>1907.7364367352191</v>
      </c>
      <c r="J33" s="25">
        <f ca="1">IF(PaymentSchedule3[[#This Row],[Payment Number]]&lt;&gt;"",IF(PaymentSchedule3[[#This Row],[Scheduled Payment]]+PaymentSchedule3[[#This Row],[Extra
Payment]]&lt;=PaymentSchedule3[[#This Row],[Beginning
Balance]],PaymentSchedule3[[#This Row],[Beginning
Balance]]-PaymentSchedule3[[#This Row],[Principal]],0),"")</f>
        <v>326736.1376520163</v>
      </c>
      <c r="K33" s="25">
        <f ca="1">IF(PaymentSchedule3[[#This Row],[Payment Number]]&lt;&gt;"",SUM(INDEX(PaymentSchedule3[Interest],1,1):PaymentSchedule3[[#This Row],[Interest]]),"")</f>
        <v>38478.753581431811</v>
      </c>
      <c r="L33" s="25">
        <f ca="1">IF(PaymentSchedule3[[#This Row],[Payment Number]]&lt;&gt;"",SUM(INDEX(PaymentSchedule3[Principal],1,1):PaymentSchedule3[[#This Row],[Principal]]),"")</f>
        <v>5763.8623479838798</v>
      </c>
    </row>
    <row r="34" spans="2:12" x14ac:dyDescent="0.25">
      <c r="B34" s="23">
        <f ca="1">IF(LoanIsGood,IF(ROW()-ROW(PaymentSchedule3[[#Headers],[Payment Number]])&gt;ScheduledNumberOfPayments,"",ROW()-ROW(PaymentSchedule3[[#Headers],[Payment Number]])),"")</f>
        <v>21</v>
      </c>
      <c r="C34" s="24">
        <f ca="1">IF(PaymentSchedule3[[#This Row],[Payment Number]]&lt;&gt;"",EOMONTH(LoanStartDate,ROW(PaymentSchedule3[[#This Row],[Payment Number]])-ROW(PaymentSchedule3[[#Headers],[Payment Number]])-2)+DAY(LoanStartDate),"")</f>
        <v>46077</v>
      </c>
      <c r="D34" s="25">
        <f ca="1">IF(PaymentSchedule3[[#This Row],[Payment Number]]&lt;&gt;"",IF(ROW()-ROW(PaymentSchedule3[[#Headers],[Beginning
Balance]])=1,LoanAmount,INDEX(PaymentSchedule3[Ending
Balance],ROW()-ROW(PaymentSchedule3[[#Headers],[Beginning
Balance]])-1)),"")</f>
        <v>326736.1376520163</v>
      </c>
      <c r="E34" s="25">
        <f ca="1">IF(PaymentSchedule3[[#This Row],[Payment Number]]&lt;&gt;"",ScheduledPayment,"")</f>
        <v>2212.1307964707844</v>
      </c>
      <c r="F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 s="25">
        <f ca="1">IF(PaymentSchedule3[[#This Row],[Payment Number]]&lt;&gt;"",PaymentSchedule3[[#This Row],[Total
Payment]]-PaymentSchedule3[[#This Row],[Interest]],"")</f>
        <v>306.16999350068909</v>
      </c>
      <c r="I34" s="25">
        <f ca="1">IF(PaymentSchedule3[[#This Row],[Payment Number]]&lt;&gt;"",PaymentSchedule3[[#This Row],[Beginning
Balance]]*(InterestRate/PaymentsPerYear),"")</f>
        <v>1905.9608029700953</v>
      </c>
      <c r="J34" s="25">
        <f ca="1">IF(PaymentSchedule3[[#This Row],[Payment Number]]&lt;&gt;"",IF(PaymentSchedule3[[#This Row],[Scheduled Payment]]+PaymentSchedule3[[#This Row],[Extra
Payment]]&lt;=PaymentSchedule3[[#This Row],[Beginning
Balance]],PaymentSchedule3[[#This Row],[Beginning
Balance]]-PaymentSchedule3[[#This Row],[Principal]],0),"")</f>
        <v>326429.96765851561</v>
      </c>
      <c r="K34" s="25">
        <f ca="1">IF(PaymentSchedule3[[#This Row],[Payment Number]]&lt;&gt;"",SUM(INDEX(PaymentSchedule3[Interest],1,1):PaymentSchedule3[[#This Row],[Interest]]),"")</f>
        <v>40384.714384401908</v>
      </c>
      <c r="L34" s="25">
        <f ca="1">IF(PaymentSchedule3[[#This Row],[Payment Number]]&lt;&gt;"",SUM(INDEX(PaymentSchedule3[Principal],1,1):PaymentSchedule3[[#This Row],[Principal]]),"")</f>
        <v>6070.0323414845689</v>
      </c>
    </row>
    <row r="35" spans="2:12" x14ac:dyDescent="0.25">
      <c r="B35" s="23">
        <f ca="1">IF(LoanIsGood,IF(ROW()-ROW(PaymentSchedule3[[#Headers],[Payment Number]])&gt;ScheduledNumberOfPayments,"",ROW()-ROW(PaymentSchedule3[[#Headers],[Payment Number]])),"")</f>
        <v>22</v>
      </c>
      <c r="C35" s="24">
        <f ca="1">IF(PaymentSchedule3[[#This Row],[Payment Number]]&lt;&gt;"",EOMONTH(LoanStartDate,ROW(PaymentSchedule3[[#This Row],[Payment Number]])-ROW(PaymentSchedule3[[#Headers],[Payment Number]])-2)+DAY(LoanStartDate),"")</f>
        <v>46105</v>
      </c>
      <c r="D35" s="25">
        <f ca="1">IF(PaymentSchedule3[[#This Row],[Payment Number]]&lt;&gt;"",IF(ROW()-ROW(PaymentSchedule3[[#Headers],[Beginning
Balance]])=1,LoanAmount,INDEX(PaymentSchedule3[Ending
Balance],ROW()-ROW(PaymentSchedule3[[#Headers],[Beginning
Balance]])-1)),"")</f>
        <v>326429.96765851561</v>
      </c>
      <c r="E35" s="25">
        <f ca="1">IF(PaymentSchedule3[[#This Row],[Payment Number]]&lt;&gt;"",ScheduledPayment,"")</f>
        <v>2212.1307964707844</v>
      </c>
      <c r="F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 s="25">
        <f ca="1">IF(PaymentSchedule3[[#This Row],[Payment Number]]&lt;&gt;"",PaymentSchedule3[[#This Row],[Total
Payment]]-PaymentSchedule3[[#This Row],[Interest]],"")</f>
        <v>307.95598512944321</v>
      </c>
      <c r="I35" s="25">
        <f ca="1">IF(PaymentSchedule3[[#This Row],[Payment Number]]&lt;&gt;"",PaymentSchedule3[[#This Row],[Beginning
Balance]]*(InterestRate/PaymentsPerYear),"")</f>
        <v>1904.1748113413412</v>
      </c>
      <c r="J35" s="25">
        <f ca="1">IF(PaymentSchedule3[[#This Row],[Payment Number]]&lt;&gt;"",IF(PaymentSchedule3[[#This Row],[Scheduled Payment]]+PaymentSchedule3[[#This Row],[Extra
Payment]]&lt;=PaymentSchedule3[[#This Row],[Beginning
Balance]],PaymentSchedule3[[#This Row],[Beginning
Balance]]-PaymentSchedule3[[#This Row],[Principal]],0),"")</f>
        <v>326122.01167338615</v>
      </c>
      <c r="K35" s="25">
        <f ca="1">IF(PaymentSchedule3[[#This Row],[Payment Number]]&lt;&gt;"",SUM(INDEX(PaymentSchedule3[Interest],1,1):PaymentSchedule3[[#This Row],[Interest]]),"")</f>
        <v>42288.88919574325</v>
      </c>
      <c r="L35" s="25">
        <f ca="1">IF(PaymentSchedule3[[#This Row],[Payment Number]]&lt;&gt;"",SUM(INDEX(PaymentSchedule3[Principal],1,1):PaymentSchedule3[[#This Row],[Principal]]),"")</f>
        <v>6377.9883266140123</v>
      </c>
    </row>
    <row r="36" spans="2:12" x14ac:dyDescent="0.25">
      <c r="B36" s="23">
        <f ca="1">IF(LoanIsGood,IF(ROW()-ROW(PaymentSchedule3[[#Headers],[Payment Number]])&gt;ScheduledNumberOfPayments,"",ROW()-ROW(PaymentSchedule3[[#Headers],[Payment Number]])),"")</f>
        <v>23</v>
      </c>
      <c r="C36" s="24">
        <f ca="1">IF(PaymentSchedule3[[#This Row],[Payment Number]]&lt;&gt;"",EOMONTH(LoanStartDate,ROW(PaymentSchedule3[[#This Row],[Payment Number]])-ROW(PaymentSchedule3[[#Headers],[Payment Number]])-2)+DAY(LoanStartDate),"")</f>
        <v>46136</v>
      </c>
      <c r="D36" s="25">
        <f ca="1">IF(PaymentSchedule3[[#This Row],[Payment Number]]&lt;&gt;"",IF(ROW()-ROW(PaymentSchedule3[[#Headers],[Beginning
Balance]])=1,LoanAmount,INDEX(PaymentSchedule3[Ending
Balance],ROW()-ROW(PaymentSchedule3[[#Headers],[Beginning
Balance]])-1)),"")</f>
        <v>326122.01167338615</v>
      </c>
      <c r="E36" s="25">
        <f ca="1">IF(PaymentSchedule3[[#This Row],[Payment Number]]&lt;&gt;"",ScheduledPayment,"")</f>
        <v>2212.1307964707844</v>
      </c>
      <c r="F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 s="25">
        <f ca="1">IF(PaymentSchedule3[[#This Row],[Payment Number]]&lt;&gt;"",PaymentSchedule3[[#This Row],[Total
Payment]]-PaymentSchedule3[[#This Row],[Interest]],"")</f>
        <v>309.75239504269848</v>
      </c>
      <c r="I36" s="25">
        <f ca="1">IF(PaymentSchedule3[[#This Row],[Payment Number]]&lt;&gt;"",PaymentSchedule3[[#This Row],[Beginning
Balance]]*(InterestRate/PaymentsPerYear),"")</f>
        <v>1902.3784014280859</v>
      </c>
      <c r="J36" s="25">
        <f ca="1">IF(PaymentSchedule3[[#This Row],[Payment Number]]&lt;&gt;"",IF(PaymentSchedule3[[#This Row],[Scheduled Payment]]+PaymentSchedule3[[#This Row],[Extra
Payment]]&lt;=PaymentSchedule3[[#This Row],[Beginning
Balance]],PaymentSchedule3[[#This Row],[Beginning
Balance]]-PaymentSchedule3[[#This Row],[Principal]],0),"")</f>
        <v>325812.25927834347</v>
      </c>
      <c r="K36" s="25">
        <f ca="1">IF(PaymentSchedule3[[#This Row],[Payment Number]]&lt;&gt;"",SUM(INDEX(PaymentSchedule3[Interest],1,1):PaymentSchedule3[[#This Row],[Interest]]),"")</f>
        <v>44191.267597171332</v>
      </c>
      <c r="L36" s="25">
        <f ca="1">IF(PaymentSchedule3[[#This Row],[Payment Number]]&lt;&gt;"",SUM(INDEX(PaymentSchedule3[Principal],1,1):PaymentSchedule3[[#This Row],[Principal]]),"")</f>
        <v>6687.7407216567108</v>
      </c>
    </row>
    <row r="37" spans="2:12" x14ac:dyDescent="0.25">
      <c r="B37" s="23">
        <f ca="1">IF(LoanIsGood,IF(ROW()-ROW(PaymentSchedule3[[#Headers],[Payment Number]])&gt;ScheduledNumberOfPayments,"",ROW()-ROW(PaymentSchedule3[[#Headers],[Payment Number]])),"")</f>
        <v>24</v>
      </c>
      <c r="C37" s="24">
        <f ca="1">IF(PaymentSchedule3[[#This Row],[Payment Number]]&lt;&gt;"",EOMONTH(LoanStartDate,ROW(PaymentSchedule3[[#This Row],[Payment Number]])-ROW(PaymentSchedule3[[#Headers],[Payment Number]])-2)+DAY(LoanStartDate),"")</f>
        <v>46166</v>
      </c>
      <c r="D37" s="25">
        <f ca="1">IF(PaymentSchedule3[[#This Row],[Payment Number]]&lt;&gt;"",IF(ROW()-ROW(PaymentSchedule3[[#Headers],[Beginning
Balance]])=1,LoanAmount,INDEX(PaymentSchedule3[Ending
Balance],ROW()-ROW(PaymentSchedule3[[#Headers],[Beginning
Balance]])-1)),"")</f>
        <v>325812.25927834347</v>
      </c>
      <c r="E37" s="25">
        <f ca="1">IF(PaymentSchedule3[[#This Row],[Payment Number]]&lt;&gt;"",ScheduledPayment,"")</f>
        <v>2212.1307964707844</v>
      </c>
      <c r="F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7" s="25">
        <f ca="1">IF(PaymentSchedule3[[#This Row],[Payment Number]]&lt;&gt;"",PaymentSchedule3[[#This Row],[Total
Payment]]-PaymentSchedule3[[#This Row],[Interest]],"")</f>
        <v>311.55928401378083</v>
      </c>
      <c r="I37" s="25">
        <f ca="1">IF(PaymentSchedule3[[#This Row],[Payment Number]]&lt;&gt;"",PaymentSchedule3[[#This Row],[Beginning
Balance]]*(InterestRate/PaymentsPerYear),"")</f>
        <v>1900.5715124570036</v>
      </c>
      <c r="J37" s="25">
        <f ca="1">IF(PaymentSchedule3[[#This Row],[Payment Number]]&lt;&gt;"",IF(PaymentSchedule3[[#This Row],[Scheduled Payment]]+PaymentSchedule3[[#This Row],[Extra
Payment]]&lt;=PaymentSchedule3[[#This Row],[Beginning
Balance]],PaymentSchedule3[[#This Row],[Beginning
Balance]]-PaymentSchedule3[[#This Row],[Principal]],0),"")</f>
        <v>325500.69999432971</v>
      </c>
      <c r="K37" s="25">
        <f ca="1">IF(PaymentSchedule3[[#This Row],[Payment Number]]&lt;&gt;"",SUM(INDEX(PaymentSchedule3[Interest],1,1):PaymentSchedule3[[#This Row],[Interest]]),"")</f>
        <v>46091.839109628338</v>
      </c>
      <c r="L37" s="25">
        <f ca="1">IF(PaymentSchedule3[[#This Row],[Payment Number]]&lt;&gt;"",SUM(INDEX(PaymentSchedule3[Principal],1,1):PaymentSchedule3[[#This Row],[Principal]]),"")</f>
        <v>6999.3000056704914</v>
      </c>
    </row>
    <row r="38" spans="2:12" x14ac:dyDescent="0.25">
      <c r="B38" s="23">
        <f ca="1">IF(LoanIsGood,IF(ROW()-ROW(PaymentSchedule3[[#Headers],[Payment Number]])&gt;ScheduledNumberOfPayments,"",ROW()-ROW(PaymentSchedule3[[#Headers],[Payment Number]])),"")</f>
        <v>25</v>
      </c>
      <c r="C38" s="24">
        <f ca="1">IF(PaymentSchedule3[[#This Row],[Payment Number]]&lt;&gt;"",EOMONTH(LoanStartDate,ROW(PaymentSchedule3[[#This Row],[Payment Number]])-ROW(PaymentSchedule3[[#Headers],[Payment Number]])-2)+DAY(LoanStartDate),"")</f>
        <v>46197</v>
      </c>
      <c r="D38" s="25">
        <f ca="1">IF(PaymentSchedule3[[#This Row],[Payment Number]]&lt;&gt;"",IF(ROW()-ROW(PaymentSchedule3[[#Headers],[Beginning
Balance]])=1,LoanAmount,INDEX(PaymentSchedule3[Ending
Balance],ROW()-ROW(PaymentSchedule3[[#Headers],[Beginning
Balance]])-1)),"")</f>
        <v>325500.69999432971</v>
      </c>
      <c r="E38" s="25">
        <f ca="1">IF(PaymentSchedule3[[#This Row],[Payment Number]]&lt;&gt;"",ScheduledPayment,"")</f>
        <v>2212.1307964707844</v>
      </c>
      <c r="F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8" s="25">
        <f ca="1">IF(PaymentSchedule3[[#This Row],[Payment Number]]&lt;&gt;"",PaymentSchedule3[[#This Row],[Total
Payment]]-PaymentSchedule3[[#This Row],[Interest]],"")</f>
        <v>313.37671317052764</v>
      </c>
      <c r="I38" s="25">
        <f ca="1">IF(PaymentSchedule3[[#This Row],[Payment Number]]&lt;&gt;"",PaymentSchedule3[[#This Row],[Beginning
Balance]]*(InterestRate/PaymentsPerYear),"")</f>
        <v>1898.7540833002568</v>
      </c>
      <c r="J38" s="25">
        <f ca="1">IF(PaymentSchedule3[[#This Row],[Payment Number]]&lt;&gt;"",IF(PaymentSchedule3[[#This Row],[Scheduled Payment]]+PaymentSchedule3[[#This Row],[Extra
Payment]]&lt;=PaymentSchedule3[[#This Row],[Beginning
Balance]],PaymentSchedule3[[#This Row],[Beginning
Balance]]-PaymentSchedule3[[#This Row],[Principal]],0),"")</f>
        <v>325187.32328115916</v>
      </c>
      <c r="K38" s="25">
        <f ca="1">IF(PaymentSchedule3[[#This Row],[Payment Number]]&lt;&gt;"",SUM(INDEX(PaymentSchedule3[Interest],1,1):PaymentSchedule3[[#This Row],[Interest]]),"")</f>
        <v>47990.593192928594</v>
      </c>
      <c r="L38" s="25">
        <f ca="1">IF(PaymentSchedule3[[#This Row],[Payment Number]]&lt;&gt;"",SUM(INDEX(PaymentSchedule3[Principal],1,1):PaymentSchedule3[[#This Row],[Principal]]),"")</f>
        <v>7312.6767188410195</v>
      </c>
    </row>
    <row r="39" spans="2:12" x14ac:dyDescent="0.25">
      <c r="B39" s="23">
        <f ca="1">IF(LoanIsGood,IF(ROW()-ROW(PaymentSchedule3[[#Headers],[Payment Number]])&gt;ScheduledNumberOfPayments,"",ROW()-ROW(PaymentSchedule3[[#Headers],[Payment Number]])),"")</f>
        <v>26</v>
      </c>
      <c r="C39" s="24">
        <f ca="1">IF(PaymentSchedule3[[#This Row],[Payment Number]]&lt;&gt;"",EOMONTH(LoanStartDate,ROW(PaymentSchedule3[[#This Row],[Payment Number]])-ROW(PaymentSchedule3[[#Headers],[Payment Number]])-2)+DAY(LoanStartDate),"")</f>
        <v>46227</v>
      </c>
      <c r="D39" s="25">
        <f ca="1">IF(PaymentSchedule3[[#This Row],[Payment Number]]&lt;&gt;"",IF(ROW()-ROW(PaymentSchedule3[[#Headers],[Beginning
Balance]])=1,LoanAmount,INDEX(PaymentSchedule3[Ending
Balance],ROW()-ROW(PaymentSchedule3[[#Headers],[Beginning
Balance]])-1)),"")</f>
        <v>325187.32328115916</v>
      </c>
      <c r="E39" s="25">
        <f ca="1">IF(PaymentSchedule3[[#This Row],[Payment Number]]&lt;&gt;"",ScheduledPayment,"")</f>
        <v>2212.1307964707844</v>
      </c>
      <c r="F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9" s="25">
        <f ca="1">IF(PaymentSchedule3[[#This Row],[Payment Number]]&lt;&gt;"",PaymentSchedule3[[#This Row],[Total
Payment]]-PaymentSchedule3[[#This Row],[Interest]],"")</f>
        <v>315.20474399735576</v>
      </c>
      <c r="I39" s="25">
        <f ca="1">IF(PaymentSchedule3[[#This Row],[Payment Number]]&lt;&gt;"",PaymentSchedule3[[#This Row],[Beginning
Balance]]*(InterestRate/PaymentsPerYear),"")</f>
        <v>1896.9260524734286</v>
      </c>
      <c r="J39" s="25">
        <f ca="1">IF(PaymentSchedule3[[#This Row],[Payment Number]]&lt;&gt;"",IF(PaymentSchedule3[[#This Row],[Scheduled Payment]]+PaymentSchedule3[[#This Row],[Extra
Payment]]&lt;=PaymentSchedule3[[#This Row],[Beginning
Balance]],PaymentSchedule3[[#This Row],[Beginning
Balance]]-PaymentSchedule3[[#This Row],[Principal]],0),"")</f>
        <v>324872.11853716179</v>
      </c>
      <c r="K39" s="25">
        <f ca="1">IF(PaymentSchedule3[[#This Row],[Payment Number]]&lt;&gt;"",SUM(INDEX(PaymentSchedule3[Interest],1,1):PaymentSchedule3[[#This Row],[Interest]]),"")</f>
        <v>49887.519245402022</v>
      </c>
      <c r="L39" s="25">
        <f ca="1">IF(PaymentSchedule3[[#This Row],[Payment Number]]&lt;&gt;"",SUM(INDEX(PaymentSchedule3[Principal],1,1):PaymentSchedule3[[#This Row],[Principal]]),"")</f>
        <v>7627.8814628383752</v>
      </c>
    </row>
    <row r="40" spans="2:12" x14ac:dyDescent="0.25">
      <c r="B40" s="23">
        <f ca="1">IF(LoanIsGood,IF(ROW()-ROW(PaymentSchedule3[[#Headers],[Payment Number]])&gt;ScheduledNumberOfPayments,"",ROW()-ROW(PaymentSchedule3[[#Headers],[Payment Number]])),"")</f>
        <v>27</v>
      </c>
      <c r="C40" s="24">
        <f ca="1">IF(PaymentSchedule3[[#This Row],[Payment Number]]&lt;&gt;"",EOMONTH(LoanStartDate,ROW(PaymentSchedule3[[#This Row],[Payment Number]])-ROW(PaymentSchedule3[[#Headers],[Payment Number]])-2)+DAY(LoanStartDate),"")</f>
        <v>46258</v>
      </c>
      <c r="D40" s="25">
        <f ca="1">IF(PaymentSchedule3[[#This Row],[Payment Number]]&lt;&gt;"",IF(ROW()-ROW(PaymentSchedule3[[#Headers],[Beginning
Balance]])=1,LoanAmount,INDEX(PaymentSchedule3[Ending
Balance],ROW()-ROW(PaymentSchedule3[[#Headers],[Beginning
Balance]])-1)),"")</f>
        <v>324872.11853716179</v>
      </c>
      <c r="E40" s="25">
        <f ca="1">IF(PaymentSchedule3[[#This Row],[Payment Number]]&lt;&gt;"",ScheduledPayment,"")</f>
        <v>2212.1307964707844</v>
      </c>
      <c r="F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0" s="25">
        <f ca="1">IF(PaymentSchedule3[[#This Row],[Payment Number]]&lt;&gt;"",PaymentSchedule3[[#This Row],[Total
Payment]]-PaymentSchedule3[[#This Row],[Interest]],"")</f>
        <v>317.0434383373406</v>
      </c>
      <c r="I40" s="25">
        <f ca="1">IF(PaymentSchedule3[[#This Row],[Payment Number]]&lt;&gt;"",PaymentSchedule3[[#This Row],[Beginning
Balance]]*(InterestRate/PaymentsPerYear),"")</f>
        <v>1895.0873581334438</v>
      </c>
      <c r="J40" s="25">
        <f ca="1">IF(PaymentSchedule3[[#This Row],[Payment Number]]&lt;&gt;"",IF(PaymentSchedule3[[#This Row],[Scheduled Payment]]+PaymentSchedule3[[#This Row],[Extra
Payment]]&lt;=PaymentSchedule3[[#This Row],[Beginning
Balance]],PaymentSchedule3[[#This Row],[Beginning
Balance]]-PaymentSchedule3[[#This Row],[Principal]],0),"")</f>
        <v>324555.07509882445</v>
      </c>
      <c r="K40" s="25">
        <f ca="1">IF(PaymentSchedule3[[#This Row],[Payment Number]]&lt;&gt;"",SUM(INDEX(PaymentSchedule3[Interest],1,1):PaymentSchedule3[[#This Row],[Interest]]),"")</f>
        <v>51782.606603535467</v>
      </c>
      <c r="L40" s="25">
        <f ca="1">IF(PaymentSchedule3[[#This Row],[Payment Number]]&lt;&gt;"",SUM(INDEX(PaymentSchedule3[Principal],1,1):PaymentSchedule3[[#This Row],[Principal]]),"")</f>
        <v>7944.9249011757156</v>
      </c>
    </row>
    <row r="41" spans="2:12" x14ac:dyDescent="0.25">
      <c r="B41" s="23">
        <f ca="1">IF(LoanIsGood,IF(ROW()-ROW(PaymentSchedule3[[#Headers],[Payment Number]])&gt;ScheduledNumberOfPayments,"",ROW()-ROW(PaymentSchedule3[[#Headers],[Payment Number]])),"")</f>
        <v>28</v>
      </c>
      <c r="C41" s="24">
        <f ca="1">IF(PaymentSchedule3[[#This Row],[Payment Number]]&lt;&gt;"",EOMONTH(LoanStartDate,ROW(PaymentSchedule3[[#This Row],[Payment Number]])-ROW(PaymentSchedule3[[#Headers],[Payment Number]])-2)+DAY(LoanStartDate),"")</f>
        <v>46289</v>
      </c>
      <c r="D41" s="25">
        <f ca="1">IF(PaymentSchedule3[[#This Row],[Payment Number]]&lt;&gt;"",IF(ROW()-ROW(PaymentSchedule3[[#Headers],[Beginning
Balance]])=1,LoanAmount,INDEX(PaymentSchedule3[Ending
Balance],ROW()-ROW(PaymentSchedule3[[#Headers],[Beginning
Balance]])-1)),"")</f>
        <v>324555.07509882445</v>
      </c>
      <c r="E41" s="25">
        <f ca="1">IF(PaymentSchedule3[[#This Row],[Payment Number]]&lt;&gt;"",ScheduledPayment,"")</f>
        <v>2212.1307964707844</v>
      </c>
      <c r="F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1" s="25">
        <f ca="1">IF(PaymentSchedule3[[#This Row],[Payment Number]]&lt;&gt;"",PaymentSchedule3[[#This Row],[Total
Payment]]-PaymentSchedule3[[#This Row],[Interest]],"")</f>
        <v>318.8928583943084</v>
      </c>
      <c r="I41" s="25">
        <f ca="1">IF(PaymentSchedule3[[#This Row],[Payment Number]]&lt;&gt;"",PaymentSchedule3[[#This Row],[Beginning
Balance]]*(InterestRate/PaymentsPerYear),"")</f>
        <v>1893.237938076476</v>
      </c>
      <c r="J41" s="25">
        <f ca="1">IF(PaymentSchedule3[[#This Row],[Payment Number]]&lt;&gt;"",IF(PaymentSchedule3[[#This Row],[Scheduled Payment]]+PaymentSchedule3[[#This Row],[Extra
Payment]]&lt;=PaymentSchedule3[[#This Row],[Beginning
Balance]],PaymentSchedule3[[#This Row],[Beginning
Balance]]-PaymentSchedule3[[#This Row],[Principal]],0),"")</f>
        <v>324236.18224043015</v>
      </c>
      <c r="K41" s="25">
        <f ca="1">IF(PaymentSchedule3[[#This Row],[Payment Number]]&lt;&gt;"",SUM(INDEX(PaymentSchedule3[Interest],1,1):PaymentSchedule3[[#This Row],[Interest]]),"")</f>
        <v>53675.844541611943</v>
      </c>
      <c r="L41" s="25">
        <f ca="1">IF(PaymentSchedule3[[#This Row],[Payment Number]]&lt;&gt;"",SUM(INDEX(PaymentSchedule3[Principal],1,1):PaymentSchedule3[[#This Row],[Principal]]),"")</f>
        <v>8263.8177595700236</v>
      </c>
    </row>
    <row r="42" spans="2:12" x14ac:dyDescent="0.25">
      <c r="B42" s="23">
        <f ca="1">IF(LoanIsGood,IF(ROW()-ROW(PaymentSchedule3[[#Headers],[Payment Number]])&gt;ScheduledNumberOfPayments,"",ROW()-ROW(PaymentSchedule3[[#Headers],[Payment Number]])),"")</f>
        <v>29</v>
      </c>
      <c r="C42" s="24">
        <f ca="1">IF(PaymentSchedule3[[#This Row],[Payment Number]]&lt;&gt;"",EOMONTH(LoanStartDate,ROW(PaymentSchedule3[[#This Row],[Payment Number]])-ROW(PaymentSchedule3[[#Headers],[Payment Number]])-2)+DAY(LoanStartDate),"")</f>
        <v>46319</v>
      </c>
      <c r="D42" s="25">
        <f ca="1">IF(PaymentSchedule3[[#This Row],[Payment Number]]&lt;&gt;"",IF(ROW()-ROW(PaymentSchedule3[[#Headers],[Beginning
Balance]])=1,LoanAmount,INDEX(PaymentSchedule3[Ending
Balance],ROW()-ROW(PaymentSchedule3[[#Headers],[Beginning
Balance]])-1)),"")</f>
        <v>324236.18224043015</v>
      </c>
      <c r="E42" s="25">
        <f ca="1">IF(PaymentSchedule3[[#This Row],[Payment Number]]&lt;&gt;"",ScheduledPayment,"")</f>
        <v>2212.1307964707844</v>
      </c>
      <c r="F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2" s="25">
        <f ca="1">IF(PaymentSchedule3[[#This Row],[Payment Number]]&lt;&gt;"",PaymentSchedule3[[#This Row],[Total
Payment]]-PaymentSchedule3[[#This Row],[Interest]],"")</f>
        <v>320.75306673494174</v>
      </c>
      <c r="I42" s="25">
        <f ca="1">IF(PaymentSchedule3[[#This Row],[Payment Number]]&lt;&gt;"",PaymentSchedule3[[#This Row],[Beginning
Balance]]*(InterestRate/PaymentsPerYear),"")</f>
        <v>1891.3777297358426</v>
      </c>
      <c r="J42" s="25">
        <f ca="1">IF(PaymentSchedule3[[#This Row],[Payment Number]]&lt;&gt;"",IF(PaymentSchedule3[[#This Row],[Scheduled Payment]]+PaymentSchedule3[[#This Row],[Extra
Payment]]&lt;=PaymentSchedule3[[#This Row],[Beginning
Balance]],PaymentSchedule3[[#This Row],[Beginning
Balance]]-PaymentSchedule3[[#This Row],[Principal]],0),"")</f>
        <v>323915.42917369521</v>
      </c>
      <c r="K42" s="25">
        <f ca="1">IF(PaymentSchedule3[[#This Row],[Payment Number]]&lt;&gt;"",SUM(INDEX(PaymentSchedule3[Interest],1,1):PaymentSchedule3[[#This Row],[Interest]]),"")</f>
        <v>55567.222271347782</v>
      </c>
      <c r="L42" s="25">
        <f ca="1">IF(PaymentSchedule3[[#This Row],[Payment Number]]&lt;&gt;"",SUM(INDEX(PaymentSchedule3[Principal],1,1):PaymentSchedule3[[#This Row],[Principal]]),"")</f>
        <v>8584.5708263049655</v>
      </c>
    </row>
    <row r="43" spans="2:12" x14ac:dyDescent="0.25">
      <c r="B43" s="23">
        <f ca="1">IF(LoanIsGood,IF(ROW()-ROW(PaymentSchedule3[[#Headers],[Payment Number]])&gt;ScheduledNumberOfPayments,"",ROW()-ROW(PaymentSchedule3[[#Headers],[Payment Number]])),"")</f>
        <v>30</v>
      </c>
      <c r="C43" s="24">
        <f ca="1">IF(PaymentSchedule3[[#This Row],[Payment Number]]&lt;&gt;"",EOMONTH(LoanStartDate,ROW(PaymentSchedule3[[#This Row],[Payment Number]])-ROW(PaymentSchedule3[[#Headers],[Payment Number]])-2)+DAY(LoanStartDate),"")</f>
        <v>46350</v>
      </c>
      <c r="D43" s="25">
        <f ca="1">IF(PaymentSchedule3[[#This Row],[Payment Number]]&lt;&gt;"",IF(ROW()-ROW(PaymentSchedule3[[#Headers],[Beginning
Balance]])=1,LoanAmount,INDEX(PaymentSchedule3[Ending
Balance],ROW()-ROW(PaymentSchedule3[[#Headers],[Beginning
Balance]])-1)),"")</f>
        <v>323915.42917369521</v>
      </c>
      <c r="E43" s="25">
        <f ca="1">IF(PaymentSchedule3[[#This Row],[Payment Number]]&lt;&gt;"",ScheduledPayment,"")</f>
        <v>2212.1307964707844</v>
      </c>
      <c r="F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3" s="25">
        <f ca="1">IF(PaymentSchedule3[[#This Row],[Payment Number]]&lt;&gt;"",PaymentSchedule3[[#This Row],[Total
Payment]]-PaymentSchedule3[[#This Row],[Interest]],"")</f>
        <v>322.62412629089545</v>
      </c>
      <c r="I43" s="25">
        <f ca="1">IF(PaymentSchedule3[[#This Row],[Payment Number]]&lt;&gt;"",PaymentSchedule3[[#This Row],[Beginning
Balance]]*(InterestRate/PaymentsPerYear),"")</f>
        <v>1889.5066701798889</v>
      </c>
      <c r="J43" s="25">
        <f ca="1">IF(PaymentSchedule3[[#This Row],[Payment Number]]&lt;&gt;"",IF(PaymentSchedule3[[#This Row],[Scheduled Payment]]+PaymentSchedule3[[#This Row],[Extra
Payment]]&lt;=PaymentSchedule3[[#This Row],[Beginning
Balance]],PaymentSchedule3[[#This Row],[Beginning
Balance]]-PaymentSchedule3[[#This Row],[Principal]],0),"")</f>
        <v>323592.80504740431</v>
      </c>
      <c r="K43" s="25">
        <f ca="1">IF(PaymentSchedule3[[#This Row],[Payment Number]]&lt;&gt;"",SUM(INDEX(PaymentSchedule3[Interest],1,1):PaymentSchedule3[[#This Row],[Interest]]),"")</f>
        <v>57456.728941527668</v>
      </c>
      <c r="L43" s="25">
        <f ca="1">IF(PaymentSchedule3[[#This Row],[Payment Number]]&lt;&gt;"",SUM(INDEX(PaymentSchedule3[Principal],1,1):PaymentSchedule3[[#This Row],[Principal]]),"")</f>
        <v>8907.1949525958607</v>
      </c>
    </row>
    <row r="44" spans="2:12" x14ac:dyDescent="0.25">
      <c r="B44" s="23">
        <f ca="1">IF(LoanIsGood,IF(ROW()-ROW(PaymentSchedule3[[#Headers],[Payment Number]])&gt;ScheduledNumberOfPayments,"",ROW()-ROW(PaymentSchedule3[[#Headers],[Payment Number]])),"")</f>
        <v>31</v>
      </c>
      <c r="C44" s="24">
        <f ca="1">IF(PaymentSchedule3[[#This Row],[Payment Number]]&lt;&gt;"",EOMONTH(LoanStartDate,ROW(PaymentSchedule3[[#This Row],[Payment Number]])-ROW(PaymentSchedule3[[#Headers],[Payment Number]])-2)+DAY(LoanStartDate),"")</f>
        <v>46380</v>
      </c>
      <c r="D44" s="25">
        <f ca="1">IF(PaymentSchedule3[[#This Row],[Payment Number]]&lt;&gt;"",IF(ROW()-ROW(PaymentSchedule3[[#Headers],[Beginning
Balance]])=1,LoanAmount,INDEX(PaymentSchedule3[Ending
Balance],ROW()-ROW(PaymentSchedule3[[#Headers],[Beginning
Balance]])-1)),"")</f>
        <v>323592.80504740431</v>
      </c>
      <c r="E44" s="25">
        <f ca="1">IF(PaymentSchedule3[[#This Row],[Payment Number]]&lt;&gt;"",ScheduledPayment,"")</f>
        <v>2212.1307964707844</v>
      </c>
      <c r="F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4" s="25">
        <f ca="1">IF(PaymentSchedule3[[#This Row],[Payment Number]]&lt;&gt;"",PaymentSchedule3[[#This Row],[Total
Payment]]-PaymentSchedule3[[#This Row],[Interest]],"")</f>
        <v>324.50610036092576</v>
      </c>
      <c r="I44" s="25">
        <f ca="1">IF(PaymentSchedule3[[#This Row],[Payment Number]]&lt;&gt;"",PaymentSchedule3[[#This Row],[Beginning
Balance]]*(InterestRate/PaymentsPerYear),"")</f>
        <v>1887.6246961098586</v>
      </c>
      <c r="J44" s="25">
        <f ca="1">IF(PaymentSchedule3[[#This Row],[Payment Number]]&lt;&gt;"",IF(PaymentSchedule3[[#This Row],[Scheduled Payment]]+PaymentSchedule3[[#This Row],[Extra
Payment]]&lt;=PaymentSchedule3[[#This Row],[Beginning
Balance]],PaymentSchedule3[[#This Row],[Beginning
Balance]]-PaymentSchedule3[[#This Row],[Principal]],0),"")</f>
        <v>323268.29894704337</v>
      </c>
      <c r="K44" s="25">
        <f ca="1">IF(PaymentSchedule3[[#This Row],[Payment Number]]&lt;&gt;"",SUM(INDEX(PaymentSchedule3[Interest],1,1):PaymentSchedule3[[#This Row],[Interest]]),"")</f>
        <v>59344.353637637527</v>
      </c>
      <c r="L44" s="25">
        <f ca="1">IF(PaymentSchedule3[[#This Row],[Payment Number]]&lt;&gt;"",SUM(INDEX(PaymentSchedule3[Principal],1,1):PaymentSchedule3[[#This Row],[Principal]]),"")</f>
        <v>9231.701052956787</v>
      </c>
    </row>
    <row r="45" spans="2:12" x14ac:dyDescent="0.25">
      <c r="B45" s="23">
        <f ca="1">IF(LoanIsGood,IF(ROW()-ROW(PaymentSchedule3[[#Headers],[Payment Number]])&gt;ScheduledNumberOfPayments,"",ROW()-ROW(PaymentSchedule3[[#Headers],[Payment Number]])),"")</f>
        <v>32</v>
      </c>
      <c r="C45" s="24">
        <f ca="1">IF(PaymentSchedule3[[#This Row],[Payment Number]]&lt;&gt;"",EOMONTH(LoanStartDate,ROW(PaymentSchedule3[[#This Row],[Payment Number]])-ROW(PaymentSchedule3[[#Headers],[Payment Number]])-2)+DAY(LoanStartDate),"")</f>
        <v>46411</v>
      </c>
      <c r="D45" s="25">
        <f ca="1">IF(PaymentSchedule3[[#This Row],[Payment Number]]&lt;&gt;"",IF(ROW()-ROW(PaymentSchedule3[[#Headers],[Beginning
Balance]])=1,LoanAmount,INDEX(PaymentSchedule3[Ending
Balance],ROW()-ROW(PaymentSchedule3[[#Headers],[Beginning
Balance]])-1)),"")</f>
        <v>323268.29894704337</v>
      </c>
      <c r="E45" s="25">
        <f ca="1">IF(PaymentSchedule3[[#This Row],[Payment Number]]&lt;&gt;"",ScheduledPayment,"")</f>
        <v>2212.1307964707844</v>
      </c>
      <c r="F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5" s="25">
        <f ca="1">IF(PaymentSchedule3[[#This Row],[Payment Number]]&lt;&gt;"",PaymentSchedule3[[#This Row],[Total
Payment]]-PaymentSchedule3[[#This Row],[Interest]],"")</f>
        <v>326.39905261303124</v>
      </c>
      <c r="I45" s="25">
        <f ca="1">IF(PaymentSchedule3[[#This Row],[Payment Number]]&lt;&gt;"",PaymentSchedule3[[#This Row],[Beginning
Balance]]*(InterestRate/PaymentsPerYear),"")</f>
        <v>1885.7317438577531</v>
      </c>
      <c r="J45" s="25">
        <f ca="1">IF(PaymentSchedule3[[#This Row],[Payment Number]]&lt;&gt;"",IF(PaymentSchedule3[[#This Row],[Scheduled Payment]]+PaymentSchedule3[[#This Row],[Extra
Payment]]&lt;=PaymentSchedule3[[#This Row],[Beginning
Balance]],PaymentSchedule3[[#This Row],[Beginning
Balance]]-PaymentSchedule3[[#This Row],[Principal]],0),"")</f>
        <v>322941.89989443036</v>
      </c>
      <c r="K45" s="25">
        <f ca="1">IF(PaymentSchedule3[[#This Row],[Payment Number]]&lt;&gt;"",SUM(INDEX(PaymentSchedule3[Interest],1,1):PaymentSchedule3[[#This Row],[Interest]]),"")</f>
        <v>61230.085381495279</v>
      </c>
      <c r="L45" s="25">
        <f ca="1">IF(PaymentSchedule3[[#This Row],[Payment Number]]&lt;&gt;"",SUM(INDEX(PaymentSchedule3[Principal],1,1):PaymentSchedule3[[#This Row],[Principal]]),"")</f>
        <v>9558.100105569818</v>
      </c>
    </row>
    <row r="46" spans="2:12" x14ac:dyDescent="0.25">
      <c r="B46" s="23">
        <f ca="1">IF(LoanIsGood,IF(ROW()-ROW(PaymentSchedule3[[#Headers],[Payment Number]])&gt;ScheduledNumberOfPayments,"",ROW()-ROW(PaymentSchedule3[[#Headers],[Payment Number]])),"")</f>
        <v>33</v>
      </c>
      <c r="C46" s="24">
        <f ca="1">IF(PaymentSchedule3[[#This Row],[Payment Number]]&lt;&gt;"",EOMONTH(LoanStartDate,ROW(PaymentSchedule3[[#This Row],[Payment Number]])-ROW(PaymentSchedule3[[#Headers],[Payment Number]])-2)+DAY(LoanStartDate),"")</f>
        <v>46442</v>
      </c>
      <c r="D46" s="25">
        <f ca="1">IF(PaymentSchedule3[[#This Row],[Payment Number]]&lt;&gt;"",IF(ROW()-ROW(PaymentSchedule3[[#Headers],[Beginning
Balance]])=1,LoanAmount,INDEX(PaymentSchedule3[Ending
Balance],ROW()-ROW(PaymentSchedule3[[#Headers],[Beginning
Balance]])-1)),"")</f>
        <v>322941.89989443036</v>
      </c>
      <c r="E46" s="25">
        <f ca="1">IF(PaymentSchedule3[[#This Row],[Payment Number]]&lt;&gt;"",ScheduledPayment,"")</f>
        <v>2212.1307964707844</v>
      </c>
      <c r="F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6" s="25">
        <f ca="1">IF(PaymentSchedule3[[#This Row],[Payment Number]]&lt;&gt;"",PaymentSchedule3[[#This Row],[Total
Payment]]-PaymentSchedule3[[#This Row],[Interest]],"")</f>
        <v>328.30304708660719</v>
      </c>
      <c r="I46" s="25">
        <f ca="1">IF(PaymentSchedule3[[#This Row],[Payment Number]]&lt;&gt;"",PaymentSchedule3[[#This Row],[Beginning
Balance]]*(InterestRate/PaymentsPerYear),"")</f>
        <v>1883.8277493841772</v>
      </c>
      <c r="J46" s="25">
        <f ca="1">IF(PaymentSchedule3[[#This Row],[Payment Number]]&lt;&gt;"",IF(PaymentSchedule3[[#This Row],[Scheduled Payment]]+PaymentSchedule3[[#This Row],[Extra
Payment]]&lt;=PaymentSchedule3[[#This Row],[Beginning
Balance]],PaymentSchedule3[[#This Row],[Beginning
Balance]]-PaymentSchedule3[[#This Row],[Principal]],0),"")</f>
        <v>322613.59684734372</v>
      </c>
      <c r="K46" s="25">
        <f ca="1">IF(PaymentSchedule3[[#This Row],[Payment Number]]&lt;&gt;"",SUM(INDEX(PaymentSchedule3[Interest],1,1):PaymentSchedule3[[#This Row],[Interest]]),"")</f>
        <v>63113.913130879453</v>
      </c>
      <c r="L46" s="25">
        <f ca="1">IF(PaymentSchedule3[[#This Row],[Payment Number]]&lt;&gt;"",SUM(INDEX(PaymentSchedule3[Principal],1,1):PaymentSchedule3[[#This Row],[Principal]]),"")</f>
        <v>9886.4031526564249</v>
      </c>
    </row>
    <row r="47" spans="2:12" x14ac:dyDescent="0.25">
      <c r="B47" s="23">
        <f ca="1">IF(LoanIsGood,IF(ROW()-ROW(PaymentSchedule3[[#Headers],[Payment Number]])&gt;ScheduledNumberOfPayments,"",ROW()-ROW(PaymentSchedule3[[#Headers],[Payment Number]])),"")</f>
        <v>34</v>
      </c>
      <c r="C47" s="24">
        <f ca="1">IF(PaymentSchedule3[[#This Row],[Payment Number]]&lt;&gt;"",EOMONTH(LoanStartDate,ROW(PaymentSchedule3[[#This Row],[Payment Number]])-ROW(PaymentSchedule3[[#Headers],[Payment Number]])-2)+DAY(LoanStartDate),"")</f>
        <v>46470</v>
      </c>
      <c r="D47" s="25">
        <f ca="1">IF(PaymentSchedule3[[#This Row],[Payment Number]]&lt;&gt;"",IF(ROW()-ROW(PaymentSchedule3[[#Headers],[Beginning
Balance]])=1,LoanAmount,INDEX(PaymentSchedule3[Ending
Balance],ROW()-ROW(PaymentSchedule3[[#Headers],[Beginning
Balance]])-1)),"")</f>
        <v>322613.59684734372</v>
      </c>
      <c r="E47" s="25">
        <f ca="1">IF(PaymentSchedule3[[#This Row],[Payment Number]]&lt;&gt;"",ScheduledPayment,"")</f>
        <v>2212.1307964707844</v>
      </c>
      <c r="F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7" s="25">
        <f ca="1">IF(PaymentSchedule3[[#This Row],[Payment Number]]&lt;&gt;"",PaymentSchedule3[[#This Row],[Total
Payment]]-PaymentSchedule3[[#This Row],[Interest]],"")</f>
        <v>330.21814819461247</v>
      </c>
      <c r="I47" s="25">
        <f ca="1">IF(PaymentSchedule3[[#This Row],[Payment Number]]&lt;&gt;"",PaymentSchedule3[[#This Row],[Beginning
Balance]]*(InterestRate/PaymentsPerYear),"")</f>
        <v>1881.9126482761719</v>
      </c>
      <c r="J47" s="25">
        <f ca="1">IF(PaymentSchedule3[[#This Row],[Payment Number]]&lt;&gt;"",IF(PaymentSchedule3[[#This Row],[Scheduled Payment]]+PaymentSchedule3[[#This Row],[Extra
Payment]]&lt;=PaymentSchedule3[[#This Row],[Beginning
Balance]],PaymentSchedule3[[#This Row],[Beginning
Balance]]-PaymentSchedule3[[#This Row],[Principal]],0),"")</f>
        <v>322283.37869914912</v>
      </c>
      <c r="K47" s="25">
        <f ca="1">IF(PaymentSchedule3[[#This Row],[Payment Number]]&lt;&gt;"",SUM(INDEX(PaymentSchedule3[Interest],1,1):PaymentSchedule3[[#This Row],[Interest]]),"")</f>
        <v>64995.825779155624</v>
      </c>
      <c r="L47" s="25">
        <f ca="1">IF(PaymentSchedule3[[#This Row],[Payment Number]]&lt;&gt;"",SUM(INDEX(PaymentSchedule3[Principal],1,1):PaymentSchedule3[[#This Row],[Principal]]),"")</f>
        <v>10216.621300851037</v>
      </c>
    </row>
    <row r="48" spans="2:12" x14ac:dyDescent="0.25">
      <c r="B48" s="23">
        <f ca="1">IF(LoanIsGood,IF(ROW()-ROW(PaymentSchedule3[[#Headers],[Payment Number]])&gt;ScheduledNumberOfPayments,"",ROW()-ROW(PaymentSchedule3[[#Headers],[Payment Number]])),"")</f>
        <v>35</v>
      </c>
      <c r="C48" s="24">
        <f ca="1">IF(PaymentSchedule3[[#This Row],[Payment Number]]&lt;&gt;"",EOMONTH(LoanStartDate,ROW(PaymentSchedule3[[#This Row],[Payment Number]])-ROW(PaymentSchedule3[[#Headers],[Payment Number]])-2)+DAY(LoanStartDate),"")</f>
        <v>46501</v>
      </c>
      <c r="D48" s="25">
        <f ca="1">IF(PaymentSchedule3[[#This Row],[Payment Number]]&lt;&gt;"",IF(ROW()-ROW(PaymentSchedule3[[#Headers],[Beginning
Balance]])=1,LoanAmount,INDEX(PaymentSchedule3[Ending
Balance],ROW()-ROW(PaymentSchedule3[[#Headers],[Beginning
Balance]])-1)),"")</f>
        <v>322283.37869914912</v>
      </c>
      <c r="E48" s="25">
        <f ca="1">IF(PaymentSchedule3[[#This Row],[Payment Number]]&lt;&gt;"",ScheduledPayment,"")</f>
        <v>2212.1307964707844</v>
      </c>
      <c r="F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8" s="25">
        <f ca="1">IF(PaymentSchedule3[[#This Row],[Payment Number]]&lt;&gt;"",PaymentSchedule3[[#This Row],[Total
Payment]]-PaymentSchedule3[[#This Row],[Interest]],"")</f>
        <v>332.14442072574775</v>
      </c>
      <c r="I48" s="25">
        <f ca="1">IF(PaymentSchedule3[[#This Row],[Payment Number]]&lt;&gt;"",PaymentSchedule3[[#This Row],[Beginning
Balance]]*(InterestRate/PaymentsPerYear),"")</f>
        <v>1879.9863757450366</v>
      </c>
      <c r="J48" s="25">
        <f ca="1">IF(PaymentSchedule3[[#This Row],[Payment Number]]&lt;&gt;"",IF(PaymentSchedule3[[#This Row],[Scheduled Payment]]+PaymentSchedule3[[#This Row],[Extra
Payment]]&lt;=PaymentSchedule3[[#This Row],[Beginning
Balance]],PaymentSchedule3[[#This Row],[Beginning
Balance]]-PaymentSchedule3[[#This Row],[Principal]],0),"")</f>
        <v>321951.23427842336</v>
      </c>
      <c r="K48" s="25">
        <f ca="1">IF(PaymentSchedule3[[#This Row],[Payment Number]]&lt;&gt;"",SUM(INDEX(PaymentSchedule3[Interest],1,1):PaymentSchedule3[[#This Row],[Interest]]),"")</f>
        <v>66875.812154900661</v>
      </c>
      <c r="L48" s="25">
        <f ca="1">IF(PaymentSchedule3[[#This Row],[Payment Number]]&lt;&gt;"",SUM(INDEX(PaymentSchedule3[Principal],1,1):PaymentSchedule3[[#This Row],[Principal]]),"")</f>
        <v>10548.765721576785</v>
      </c>
    </row>
    <row r="49" spans="2:12" x14ac:dyDescent="0.25">
      <c r="B49" s="23">
        <f ca="1">IF(LoanIsGood,IF(ROW()-ROW(PaymentSchedule3[[#Headers],[Payment Number]])&gt;ScheduledNumberOfPayments,"",ROW()-ROW(PaymentSchedule3[[#Headers],[Payment Number]])),"")</f>
        <v>36</v>
      </c>
      <c r="C49" s="24">
        <f ca="1">IF(PaymentSchedule3[[#This Row],[Payment Number]]&lt;&gt;"",EOMONTH(LoanStartDate,ROW(PaymentSchedule3[[#This Row],[Payment Number]])-ROW(PaymentSchedule3[[#Headers],[Payment Number]])-2)+DAY(LoanStartDate),"")</f>
        <v>46531</v>
      </c>
      <c r="D49" s="25">
        <f ca="1">IF(PaymentSchedule3[[#This Row],[Payment Number]]&lt;&gt;"",IF(ROW()-ROW(PaymentSchedule3[[#Headers],[Beginning
Balance]])=1,LoanAmount,INDEX(PaymentSchedule3[Ending
Balance],ROW()-ROW(PaymentSchedule3[[#Headers],[Beginning
Balance]])-1)),"")</f>
        <v>321951.23427842336</v>
      </c>
      <c r="E49" s="25">
        <f ca="1">IF(PaymentSchedule3[[#This Row],[Payment Number]]&lt;&gt;"",ScheduledPayment,"")</f>
        <v>2212.1307964707844</v>
      </c>
      <c r="F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49" s="25">
        <f ca="1">IF(PaymentSchedule3[[#This Row],[Payment Number]]&lt;&gt;"",PaymentSchedule3[[#This Row],[Total
Payment]]-PaymentSchedule3[[#This Row],[Interest]],"")</f>
        <v>334.08192984664811</v>
      </c>
      <c r="I49" s="25">
        <f ca="1">IF(PaymentSchedule3[[#This Row],[Payment Number]]&lt;&gt;"",PaymentSchedule3[[#This Row],[Beginning
Balance]]*(InterestRate/PaymentsPerYear),"")</f>
        <v>1878.0488666241363</v>
      </c>
      <c r="J49" s="25">
        <f ca="1">IF(PaymentSchedule3[[#This Row],[Payment Number]]&lt;&gt;"",IF(PaymentSchedule3[[#This Row],[Scheduled Payment]]+PaymentSchedule3[[#This Row],[Extra
Payment]]&lt;=PaymentSchedule3[[#This Row],[Beginning
Balance]],PaymentSchedule3[[#This Row],[Beginning
Balance]]-PaymentSchedule3[[#This Row],[Principal]],0),"")</f>
        <v>321617.1523485767</v>
      </c>
      <c r="K49" s="25">
        <f ca="1">IF(PaymentSchedule3[[#This Row],[Payment Number]]&lt;&gt;"",SUM(INDEX(PaymentSchedule3[Interest],1,1):PaymentSchedule3[[#This Row],[Interest]]),"")</f>
        <v>68753.86102152479</v>
      </c>
      <c r="L49" s="25">
        <f ca="1">IF(PaymentSchedule3[[#This Row],[Payment Number]]&lt;&gt;"",SUM(INDEX(PaymentSchedule3[Principal],1,1):PaymentSchedule3[[#This Row],[Principal]]),"")</f>
        <v>10882.847651423433</v>
      </c>
    </row>
    <row r="50" spans="2:12" x14ac:dyDescent="0.25">
      <c r="B50" s="23">
        <f ca="1">IF(LoanIsGood,IF(ROW()-ROW(PaymentSchedule3[[#Headers],[Payment Number]])&gt;ScheduledNumberOfPayments,"",ROW()-ROW(PaymentSchedule3[[#Headers],[Payment Number]])),"")</f>
        <v>37</v>
      </c>
      <c r="C50" s="24">
        <f ca="1">IF(PaymentSchedule3[[#This Row],[Payment Number]]&lt;&gt;"",EOMONTH(LoanStartDate,ROW(PaymentSchedule3[[#This Row],[Payment Number]])-ROW(PaymentSchedule3[[#Headers],[Payment Number]])-2)+DAY(LoanStartDate),"")</f>
        <v>46562</v>
      </c>
      <c r="D50" s="25">
        <f ca="1">IF(PaymentSchedule3[[#This Row],[Payment Number]]&lt;&gt;"",IF(ROW()-ROW(PaymentSchedule3[[#Headers],[Beginning
Balance]])=1,LoanAmount,INDEX(PaymentSchedule3[Ending
Balance],ROW()-ROW(PaymentSchedule3[[#Headers],[Beginning
Balance]])-1)),"")</f>
        <v>321617.1523485767</v>
      </c>
      <c r="E50" s="25">
        <f ca="1">IF(PaymentSchedule3[[#This Row],[Payment Number]]&lt;&gt;"",ScheduledPayment,"")</f>
        <v>2212.1307964707844</v>
      </c>
      <c r="F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0" s="25">
        <f ca="1">IF(PaymentSchedule3[[#This Row],[Payment Number]]&lt;&gt;"",PaymentSchedule3[[#This Row],[Total
Payment]]-PaymentSchedule3[[#This Row],[Interest]],"")</f>
        <v>336.03074110408693</v>
      </c>
      <c r="I50" s="25">
        <f ca="1">IF(PaymentSchedule3[[#This Row],[Payment Number]]&lt;&gt;"",PaymentSchedule3[[#This Row],[Beginning
Balance]]*(InterestRate/PaymentsPerYear),"")</f>
        <v>1876.1000553666975</v>
      </c>
      <c r="J50" s="25">
        <f ca="1">IF(PaymentSchedule3[[#This Row],[Payment Number]]&lt;&gt;"",IF(PaymentSchedule3[[#This Row],[Scheduled Payment]]+PaymentSchedule3[[#This Row],[Extra
Payment]]&lt;=PaymentSchedule3[[#This Row],[Beginning
Balance]],PaymentSchedule3[[#This Row],[Beginning
Balance]]-PaymentSchedule3[[#This Row],[Principal]],0),"")</f>
        <v>321281.1216074726</v>
      </c>
      <c r="K50" s="25">
        <f ca="1">IF(PaymentSchedule3[[#This Row],[Payment Number]]&lt;&gt;"",SUM(INDEX(PaymentSchedule3[Interest],1,1):PaymentSchedule3[[#This Row],[Interest]]),"")</f>
        <v>70629.961076891486</v>
      </c>
      <c r="L50" s="25">
        <f ca="1">IF(PaymentSchedule3[[#This Row],[Payment Number]]&lt;&gt;"",SUM(INDEX(PaymentSchedule3[Principal],1,1):PaymentSchedule3[[#This Row],[Principal]]),"")</f>
        <v>11218.87839252752</v>
      </c>
    </row>
    <row r="51" spans="2:12" x14ac:dyDescent="0.25">
      <c r="B51" s="23">
        <f ca="1">IF(LoanIsGood,IF(ROW()-ROW(PaymentSchedule3[[#Headers],[Payment Number]])&gt;ScheduledNumberOfPayments,"",ROW()-ROW(PaymentSchedule3[[#Headers],[Payment Number]])),"")</f>
        <v>38</v>
      </c>
      <c r="C51" s="24">
        <f ca="1">IF(PaymentSchedule3[[#This Row],[Payment Number]]&lt;&gt;"",EOMONTH(LoanStartDate,ROW(PaymentSchedule3[[#This Row],[Payment Number]])-ROW(PaymentSchedule3[[#Headers],[Payment Number]])-2)+DAY(LoanStartDate),"")</f>
        <v>46592</v>
      </c>
      <c r="D51" s="25">
        <f ca="1">IF(PaymentSchedule3[[#This Row],[Payment Number]]&lt;&gt;"",IF(ROW()-ROW(PaymentSchedule3[[#Headers],[Beginning
Balance]])=1,LoanAmount,INDEX(PaymentSchedule3[Ending
Balance],ROW()-ROW(PaymentSchedule3[[#Headers],[Beginning
Balance]])-1)),"")</f>
        <v>321281.1216074726</v>
      </c>
      <c r="E51" s="25">
        <f ca="1">IF(PaymentSchedule3[[#This Row],[Payment Number]]&lt;&gt;"",ScheduledPayment,"")</f>
        <v>2212.1307964707844</v>
      </c>
      <c r="F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1" s="25">
        <f ca="1">IF(PaymentSchedule3[[#This Row],[Payment Number]]&lt;&gt;"",PaymentSchedule3[[#This Row],[Total
Payment]]-PaymentSchedule3[[#This Row],[Interest]],"")</f>
        <v>337.99092042719417</v>
      </c>
      <c r="I51" s="25">
        <f ca="1">IF(PaymentSchedule3[[#This Row],[Payment Number]]&lt;&gt;"",PaymentSchedule3[[#This Row],[Beginning
Balance]]*(InterestRate/PaymentsPerYear),"")</f>
        <v>1874.1398760435902</v>
      </c>
      <c r="J51" s="25">
        <f ca="1">IF(PaymentSchedule3[[#This Row],[Payment Number]]&lt;&gt;"",IF(PaymentSchedule3[[#This Row],[Scheduled Payment]]+PaymentSchedule3[[#This Row],[Extra
Payment]]&lt;=PaymentSchedule3[[#This Row],[Beginning
Balance]],PaymentSchedule3[[#This Row],[Beginning
Balance]]-PaymentSchedule3[[#This Row],[Principal]],0),"")</f>
        <v>320943.1306870454</v>
      </c>
      <c r="K51" s="25">
        <f ca="1">IF(PaymentSchedule3[[#This Row],[Payment Number]]&lt;&gt;"",SUM(INDEX(PaymentSchedule3[Interest],1,1):PaymentSchedule3[[#This Row],[Interest]]),"")</f>
        <v>72504.10095293507</v>
      </c>
      <c r="L51" s="25">
        <f ca="1">IF(PaymentSchedule3[[#This Row],[Payment Number]]&lt;&gt;"",SUM(INDEX(PaymentSchedule3[Principal],1,1):PaymentSchedule3[[#This Row],[Principal]]),"")</f>
        <v>11556.869312954714</v>
      </c>
    </row>
    <row r="52" spans="2:12" x14ac:dyDescent="0.25">
      <c r="B52" s="23">
        <f ca="1">IF(LoanIsGood,IF(ROW()-ROW(PaymentSchedule3[[#Headers],[Payment Number]])&gt;ScheduledNumberOfPayments,"",ROW()-ROW(PaymentSchedule3[[#Headers],[Payment Number]])),"")</f>
        <v>39</v>
      </c>
      <c r="C52" s="24">
        <f ca="1">IF(PaymentSchedule3[[#This Row],[Payment Number]]&lt;&gt;"",EOMONTH(LoanStartDate,ROW(PaymentSchedule3[[#This Row],[Payment Number]])-ROW(PaymentSchedule3[[#Headers],[Payment Number]])-2)+DAY(LoanStartDate),"")</f>
        <v>46623</v>
      </c>
      <c r="D52" s="25">
        <f ca="1">IF(PaymentSchedule3[[#This Row],[Payment Number]]&lt;&gt;"",IF(ROW()-ROW(PaymentSchedule3[[#Headers],[Beginning
Balance]])=1,LoanAmount,INDEX(PaymentSchedule3[Ending
Balance],ROW()-ROW(PaymentSchedule3[[#Headers],[Beginning
Balance]])-1)),"")</f>
        <v>320943.1306870454</v>
      </c>
      <c r="E52" s="25">
        <f ca="1">IF(PaymentSchedule3[[#This Row],[Payment Number]]&lt;&gt;"",ScheduledPayment,"")</f>
        <v>2212.1307964707844</v>
      </c>
      <c r="F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2" s="25">
        <f ca="1">IF(PaymentSchedule3[[#This Row],[Payment Number]]&lt;&gt;"",PaymentSchedule3[[#This Row],[Total
Payment]]-PaymentSchedule3[[#This Row],[Interest]],"")</f>
        <v>339.96253412968622</v>
      </c>
      <c r="I52" s="25">
        <f ca="1">IF(PaymentSchedule3[[#This Row],[Payment Number]]&lt;&gt;"",PaymentSchedule3[[#This Row],[Beginning
Balance]]*(InterestRate/PaymentsPerYear),"")</f>
        <v>1872.1682623410982</v>
      </c>
      <c r="J52" s="25">
        <f ca="1">IF(PaymentSchedule3[[#This Row],[Payment Number]]&lt;&gt;"",IF(PaymentSchedule3[[#This Row],[Scheduled Payment]]+PaymentSchedule3[[#This Row],[Extra
Payment]]&lt;=PaymentSchedule3[[#This Row],[Beginning
Balance]],PaymentSchedule3[[#This Row],[Beginning
Balance]]-PaymentSchedule3[[#This Row],[Principal]],0),"")</f>
        <v>320603.16815291572</v>
      </c>
      <c r="K52" s="25">
        <f ca="1">IF(PaymentSchedule3[[#This Row],[Payment Number]]&lt;&gt;"",SUM(INDEX(PaymentSchedule3[Interest],1,1):PaymentSchedule3[[#This Row],[Interest]]),"")</f>
        <v>74376.269215276174</v>
      </c>
      <c r="L52" s="25">
        <f ca="1">IF(PaymentSchedule3[[#This Row],[Payment Number]]&lt;&gt;"",SUM(INDEX(PaymentSchedule3[Principal],1,1):PaymentSchedule3[[#This Row],[Principal]]),"")</f>
        <v>11896.831847084401</v>
      </c>
    </row>
    <row r="53" spans="2:12" x14ac:dyDescent="0.25">
      <c r="B53" s="23">
        <f ca="1">IF(LoanIsGood,IF(ROW()-ROW(PaymentSchedule3[[#Headers],[Payment Number]])&gt;ScheduledNumberOfPayments,"",ROW()-ROW(PaymentSchedule3[[#Headers],[Payment Number]])),"")</f>
        <v>40</v>
      </c>
      <c r="C53" s="24">
        <f ca="1">IF(PaymentSchedule3[[#This Row],[Payment Number]]&lt;&gt;"",EOMONTH(LoanStartDate,ROW(PaymentSchedule3[[#This Row],[Payment Number]])-ROW(PaymentSchedule3[[#Headers],[Payment Number]])-2)+DAY(LoanStartDate),"")</f>
        <v>46654</v>
      </c>
      <c r="D53" s="25">
        <f ca="1">IF(PaymentSchedule3[[#This Row],[Payment Number]]&lt;&gt;"",IF(ROW()-ROW(PaymentSchedule3[[#Headers],[Beginning
Balance]])=1,LoanAmount,INDEX(PaymentSchedule3[Ending
Balance],ROW()-ROW(PaymentSchedule3[[#Headers],[Beginning
Balance]])-1)),"")</f>
        <v>320603.16815291572</v>
      </c>
      <c r="E53" s="25">
        <f ca="1">IF(PaymentSchedule3[[#This Row],[Payment Number]]&lt;&gt;"",ScheduledPayment,"")</f>
        <v>2212.1307964707844</v>
      </c>
      <c r="F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3" s="25">
        <f ca="1">IF(PaymentSchedule3[[#This Row],[Payment Number]]&lt;&gt;"",PaymentSchedule3[[#This Row],[Total
Payment]]-PaymentSchedule3[[#This Row],[Interest]],"")</f>
        <v>341.94564891210916</v>
      </c>
      <c r="I53" s="25">
        <f ca="1">IF(PaymentSchedule3[[#This Row],[Payment Number]]&lt;&gt;"",PaymentSchedule3[[#This Row],[Beginning
Balance]]*(InterestRate/PaymentsPerYear),"")</f>
        <v>1870.1851475586752</v>
      </c>
      <c r="J53" s="25">
        <f ca="1">IF(PaymentSchedule3[[#This Row],[Payment Number]]&lt;&gt;"",IF(PaymentSchedule3[[#This Row],[Scheduled Payment]]+PaymentSchedule3[[#This Row],[Extra
Payment]]&lt;=PaymentSchedule3[[#This Row],[Beginning
Balance]],PaymentSchedule3[[#This Row],[Beginning
Balance]]-PaymentSchedule3[[#This Row],[Principal]],0),"")</f>
        <v>320261.22250400361</v>
      </c>
      <c r="K53" s="25">
        <f ca="1">IF(PaymentSchedule3[[#This Row],[Payment Number]]&lt;&gt;"",SUM(INDEX(PaymentSchedule3[Interest],1,1):PaymentSchedule3[[#This Row],[Interest]]),"")</f>
        <v>76246.454362834847</v>
      </c>
      <c r="L53" s="25">
        <f ca="1">IF(PaymentSchedule3[[#This Row],[Payment Number]]&lt;&gt;"",SUM(INDEX(PaymentSchedule3[Principal],1,1):PaymentSchedule3[[#This Row],[Principal]]),"")</f>
        <v>12238.77749599651</v>
      </c>
    </row>
    <row r="54" spans="2:12" x14ac:dyDescent="0.25">
      <c r="B54" s="23">
        <f ca="1">IF(LoanIsGood,IF(ROW()-ROW(PaymentSchedule3[[#Headers],[Payment Number]])&gt;ScheduledNumberOfPayments,"",ROW()-ROW(PaymentSchedule3[[#Headers],[Payment Number]])),"")</f>
        <v>41</v>
      </c>
      <c r="C54" s="24">
        <f ca="1">IF(PaymentSchedule3[[#This Row],[Payment Number]]&lt;&gt;"",EOMONTH(LoanStartDate,ROW(PaymentSchedule3[[#This Row],[Payment Number]])-ROW(PaymentSchedule3[[#Headers],[Payment Number]])-2)+DAY(LoanStartDate),"")</f>
        <v>46684</v>
      </c>
      <c r="D54" s="25">
        <f ca="1">IF(PaymentSchedule3[[#This Row],[Payment Number]]&lt;&gt;"",IF(ROW()-ROW(PaymentSchedule3[[#Headers],[Beginning
Balance]])=1,LoanAmount,INDEX(PaymentSchedule3[Ending
Balance],ROW()-ROW(PaymentSchedule3[[#Headers],[Beginning
Balance]])-1)),"")</f>
        <v>320261.22250400361</v>
      </c>
      <c r="E54" s="25">
        <f ca="1">IF(PaymentSchedule3[[#This Row],[Payment Number]]&lt;&gt;"",ScheduledPayment,"")</f>
        <v>2212.1307964707844</v>
      </c>
      <c r="F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4" s="25">
        <f ca="1">IF(PaymentSchedule3[[#This Row],[Payment Number]]&lt;&gt;"",PaymentSchedule3[[#This Row],[Total
Payment]]-PaymentSchedule3[[#This Row],[Interest]],"")</f>
        <v>343.94033186409661</v>
      </c>
      <c r="I54" s="25">
        <f ca="1">IF(PaymentSchedule3[[#This Row],[Payment Number]]&lt;&gt;"",PaymentSchedule3[[#This Row],[Beginning
Balance]]*(InterestRate/PaymentsPerYear),"")</f>
        <v>1868.1904646066878</v>
      </c>
      <c r="J54" s="25">
        <f ca="1">IF(PaymentSchedule3[[#This Row],[Payment Number]]&lt;&gt;"",IF(PaymentSchedule3[[#This Row],[Scheduled Payment]]+PaymentSchedule3[[#This Row],[Extra
Payment]]&lt;=PaymentSchedule3[[#This Row],[Beginning
Balance]],PaymentSchedule3[[#This Row],[Beginning
Balance]]-PaymentSchedule3[[#This Row],[Principal]],0),"")</f>
        <v>319917.2821721395</v>
      </c>
      <c r="K54" s="25">
        <f ca="1">IF(PaymentSchedule3[[#This Row],[Payment Number]]&lt;&gt;"",SUM(INDEX(PaymentSchedule3[Interest],1,1):PaymentSchedule3[[#This Row],[Interest]]),"")</f>
        <v>78114.644827441531</v>
      </c>
      <c r="L54" s="25">
        <f ca="1">IF(PaymentSchedule3[[#This Row],[Payment Number]]&lt;&gt;"",SUM(INDEX(PaymentSchedule3[Principal],1,1):PaymentSchedule3[[#This Row],[Principal]]),"")</f>
        <v>12582.717827860606</v>
      </c>
    </row>
    <row r="55" spans="2:12" x14ac:dyDescent="0.25">
      <c r="B55" s="23">
        <f ca="1">IF(LoanIsGood,IF(ROW()-ROW(PaymentSchedule3[[#Headers],[Payment Number]])&gt;ScheduledNumberOfPayments,"",ROW()-ROW(PaymentSchedule3[[#Headers],[Payment Number]])),"")</f>
        <v>42</v>
      </c>
      <c r="C55" s="24">
        <f ca="1">IF(PaymentSchedule3[[#This Row],[Payment Number]]&lt;&gt;"",EOMONTH(LoanStartDate,ROW(PaymentSchedule3[[#This Row],[Payment Number]])-ROW(PaymentSchedule3[[#Headers],[Payment Number]])-2)+DAY(LoanStartDate),"")</f>
        <v>46715</v>
      </c>
      <c r="D55" s="25">
        <f ca="1">IF(PaymentSchedule3[[#This Row],[Payment Number]]&lt;&gt;"",IF(ROW()-ROW(PaymentSchedule3[[#Headers],[Beginning
Balance]])=1,LoanAmount,INDEX(PaymentSchedule3[Ending
Balance],ROW()-ROW(PaymentSchedule3[[#Headers],[Beginning
Balance]])-1)),"")</f>
        <v>319917.2821721395</v>
      </c>
      <c r="E55" s="25">
        <f ca="1">IF(PaymentSchedule3[[#This Row],[Payment Number]]&lt;&gt;"",ScheduledPayment,"")</f>
        <v>2212.1307964707844</v>
      </c>
      <c r="F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5" s="25">
        <f ca="1">IF(PaymentSchedule3[[#This Row],[Payment Number]]&lt;&gt;"",PaymentSchedule3[[#This Row],[Total
Payment]]-PaymentSchedule3[[#This Row],[Interest]],"")</f>
        <v>345.94665046663727</v>
      </c>
      <c r="I55" s="25">
        <f ca="1">IF(PaymentSchedule3[[#This Row],[Payment Number]]&lt;&gt;"",PaymentSchedule3[[#This Row],[Beginning
Balance]]*(InterestRate/PaymentsPerYear),"")</f>
        <v>1866.1841460041471</v>
      </c>
      <c r="J55" s="25">
        <f ca="1">IF(PaymentSchedule3[[#This Row],[Payment Number]]&lt;&gt;"",IF(PaymentSchedule3[[#This Row],[Scheduled Payment]]+PaymentSchedule3[[#This Row],[Extra
Payment]]&lt;=PaymentSchedule3[[#This Row],[Beginning
Balance]],PaymentSchedule3[[#This Row],[Beginning
Balance]]-PaymentSchedule3[[#This Row],[Principal]],0),"")</f>
        <v>319571.33552167285</v>
      </c>
      <c r="K55" s="25">
        <f ca="1">IF(PaymentSchedule3[[#This Row],[Payment Number]]&lt;&gt;"",SUM(INDEX(PaymentSchedule3[Interest],1,1):PaymentSchedule3[[#This Row],[Interest]]),"")</f>
        <v>79980.828973445678</v>
      </c>
      <c r="L55" s="25">
        <f ca="1">IF(PaymentSchedule3[[#This Row],[Payment Number]]&lt;&gt;"",SUM(INDEX(PaymentSchedule3[Principal],1,1):PaymentSchedule3[[#This Row],[Principal]]),"")</f>
        <v>12928.664478327244</v>
      </c>
    </row>
    <row r="56" spans="2:12" x14ac:dyDescent="0.25">
      <c r="B56" s="23">
        <f ca="1">IF(LoanIsGood,IF(ROW()-ROW(PaymentSchedule3[[#Headers],[Payment Number]])&gt;ScheduledNumberOfPayments,"",ROW()-ROW(PaymentSchedule3[[#Headers],[Payment Number]])),"")</f>
        <v>43</v>
      </c>
      <c r="C56" s="24">
        <f ca="1">IF(PaymentSchedule3[[#This Row],[Payment Number]]&lt;&gt;"",EOMONTH(LoanStartDate,ROW(PaymentSchedule3[[#This Row],[Payment Number]])-ROW(PaymentSchedule3[[#Headers],[Payment Number]])-2)+DAY(LoanStartDate),"")</f>
        <v>46745</v>
      </c>
      <c r="D56" s="25">
        <f ca="1">IF(PaymentSchedule3[[#This Row],[Payment Number]]&lt;&gt;"",IF(ROW()-ROW(PaymentSchedule3[[#Headers],[Beginning
Balance]])=1,LoanAmount,INDEX(PaymentSchedule3[Ending
Balance],ROW()-ROW(PaymentSchedule3[[#Headers],[Beginning
Balance]])-1)),"")</f>
        <v>319571.33552167285</v>
      </c>
      <c r="E56" s="25">
        <f ca="1">IF(PaymentSchedule3[[#This Row],[Payment Number]]&lt;&gt;"",ScheduledPayment,"")</f>
        <v>2212.1307964707844</v>
      </c>
      <c r="F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6" s="25">
        <f ca="1">IF(PaymentSchedule3[[#This Row],[Payment Number]]&lt;&gt;"",PaymentSchedule3[[#This Row],[Total
Payment]]-PaymentSchedule3[[#This Row],[Interest]],"")</f>
        <v>347.9646725943594</v>
      </c>
      <c r="I56" s="25">
        <f ca="1">IF(PaymentSchedule3[[#This Row],[Payment Number]]&lt;&gt;"",PaymentSchedule3[[#This Row],[Beginning
Balance]]*(InterestRate/PaymentsPerYear),"")</f>
        <v>1864.166123876425</v>
      </c>
      <c r="J56" s="25">
        <f ca="1">IF(PaymentSchedule3[[#This Row],[Payment Number]]&lt;&gt;"",IF(PaymentSchedule3[[#This Row],[Scheduled Payment]]+PaymentSchedule3[[#This Row],[Extra
Payment]]&lt;=PaymentSchedule3[[#This Row],[Beginning
Balance]],PaymentSchedule3[[#This Row],[Beginning
Balance]]-PaymentSchedule3[[#This Row],[Principal]],0),"")</f>
        <v>319223.37084907852</v>
      </c>
      <c r="K56" s="25">
        <f ca="1">IF(PaymentSchedule3[[#This Row],[Payment Number]]&lt;&gt;"",SUM(INDEX(PaymentSchedule3[Interest],1,1):PaymentSchedule3[[#This Row],[Interest]]),"")</f>
        <v>81844.995097322098</v>
      </c>
      <c r="L56" s="25">
        <f ca="1">IF(PaymentSchedule3[[#This Row],[Payment Number]]&lt;&gt;"",SUM(INDEX(PaymentSchedule3[Principal],1,1):PaymentSchedule3[[#This Row],[Principal]]),"")</f>
        <v>13276.629150921603</v>
      </c>
    </row>
    <row r="57" spans="2:12" x14ac:dyDescent="0.25">
      <c r="B57" s="23">
        <f ca="1">IF(LoanIsGood,IF(ROW()-ROW(PaymentSchedule3[[#Headers],[Payment Number]])&gt;ScheduledNumberOfPayments,"",ROW()-ROW(PaymentSchedule3[[#Headers],[Payment Number]])),"")</f>
        <v>44</v>
      </c>
      <c r="C57" s="24">
        <f ca="1">IF(PaymentSchedule3[[#This Row],[Payment Number]]&lt;&gt;"",EOMONTH(LoanStartDate,ROW(PaymentSchedule3[[#This Row],[Payment Number]])-ROW(PaymentSchedule3[[#Headers],[Payment Number]])-2)+DAY(LoanStartDate),"")</f>
        <v>46776</v>
      </c>
      <c r="D57" s="25">
        <f ca="1">IF(PaymentSchedule3[[#This Row],[Payment Number]]&lt;&gt;"",IF(ROW()-ROW(PaymentSchedule3[[#Headers],[Beginning
Balance]])=1,LoanAmount,INDEX(PaymentSchedule3[Ending
Balance],ROW()-ROW(PaymentSchedule3[[#Headers],[Beginning
Balance]])-1)),"")</f>
        <v>319223.37084907852</v>
      </c>
      <c r="E57" s="25">
        <f ca="1">IF(PaymentSchedule3[[#This Row],[Payment Number]]&lt;&gt;"",ScheduledPayment,"")</f>
        <v>2212.1307964707844</v>
      </c>
      <c r="F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7" s="25">
        <f ca="1">IF(PaymentSchedule3[[#This Row],[Payment Number]]&lt;&gt;"",PaymentSchedule3[[#This Row],[Total
Payment]]-PaymentSchedule3[[#This Row],[Interest]],"")</f>
        <v>349.99446651782637</v>
      </c>
      <c r="I57" s="25">
        <f ca="1">IF(PaymentSchedule3[[#This Row],[Payment Number]]&lt;&gt;"",PaymentSchedule3[[#This Row],[Beginning
Balance]]*(InterestRate/PaymentsPerYear),"")</f>
        <v>1862.136329952958</v>
      </c>
      <c r="J57" s="25">
        <f ca="1">IF(PaymentSchedule3[[#This Row],[Payment Number]]&lt;&gt;"",IF(PaymentSchedule3[[#This Row],[Scheduled Payment]]+PaymentSchedule3[[#This Row],[Extra
Payment]]&lt;=PaymentSchedule3[[#This Row],[Beginning
Balance]],PaymentSchedule3[[#This Row],[Beginning
Balance]]-PaymentSchedule3[[#This Row],[Principal]],0),"")</f>
        <v>318873.3763825607</v>
      </c>
      <c r="K57" s="25">
        <f ca="1">IF(PaymentSchedule3[[#This Row],[Payment Number]]&lt;&gt;"",SUM(INDEX(PaymentSchedule3[Interest],1,1):PaymentSchedule3[[#This Row],[Interest]]),"")</f>
        <v>83707.131427275061</v>
      </c>
      <c r="L57" s="25">
        <f ca="1">IF(PaymentSchedule3[[#This Row],[Payment Number]]&lt;&gt;"",SUM(INDEX(PaymentSchedule3[Principal],1,1):PaymentSchedule3[[#This Row],[Principal]]),"")</f>
        <v>13626.623617439429</v>
      </c>
    </row>
    <row r="58" spans="2:12" x14ac:dyDescent="0.25">
      <c r="B58" s="23">
        <f ca="1">IF(LoanIsGood,IF(ROW()-ROW(PaymentSchedule3[[#Headers],[Payment Number]])&gt;ScheduledNumberOfPayments,"",ROW()-ROW(PaymentSchedule3[[#Headers],[Payment Number]])),"")</f>
        <v>45</v>
      </c>
      <c r="C58" s="24">
        <f ca="1">IF(PaymentSchedule3[[#This Row],[Payment Number]]&lt;&gt;"",EOMONTH(LoanStartDate,ROW(PaymentSchedule3[[#This Row],[Payment Number]])-ROW(PaymentSchedule3[[#Headers],[Payment Number]])-2)+DAY(LoanStartDate),"")</f>
        <v>46807</v>
      </c>
      <c r="D58" s="25">
        <f ca="1">IF(PaymentSchedule3[[#This Row],[Payment Number]]&lt;&gt;"",IF(ROW()-ROW(PaymentSchedule3[[#Headers],[Beginning
Balance]])=1,LoanAmount,INDEX(PaymentSchedule3[Ending
Balance],ROW()-ROW(PaymentSchedule3[[#Headers],[Beginning
Balance]])-1)),"")</f>
        <v>318873.3763825607</v>
      </c>
      <c r="E58" s="25">
        <f ca="1">IF(PaymentSchedule3[[#This Row],[Payment Number]]&lt;&gt;"",ScheduledPayment,"")</f>
        <v>2212.1307964707844</v>
      </c>
      <c r="F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8" s="25">
        <f ca="1">IF(PaymentSchedule3[[#This Row],[Payment Number]]&lt;&gt;"",PaymentSchedule3[[#This Row],[Total
Payment]]-PaymentSchedule3[[#This Row],[Interest]],"")</f>
        <v>352.03610090584698</v>
      </c>
      <c r="I58" s="25">
        <f ca="1">IF(PaymentSchedule3[[#This Row],[Payment Number]]&lt;&gt;"",PaymentSchedule3[[#This Row],[Beginning
Balance]]*(InterestRate/PaymentsPerYear),"")</f>
        <v>1860.0946955649374</v>
      </c>
      <c r="J58" s="25">
        <f ca="1">IF(PaymentSchedule3[[#This Row],[Payment Number]]&lt;&gt;"",IF(PaymentSchedule3[[#This Row],[Scheduled Payment]]+PaymentSchedule3[[#This Row],[Extra
Payment]]&lt;=PaymentSchedule3[[#This Row],[Beginning
Balance]],PaymentSchedule3[[#This Row],[Beginning
Balance]]-PaymentSchedule3[[#This Row],[Principal]],0),"")</f>
        <v>318521.34028165485</v>
      </c>
      <c r="K58" s="25">
        <f ca="1">IF(PaymentSchedule3[[#This Row],[Payment Number]]&lt;&gt;"",SUM(INDEX(PaymentSchedule3[Interest],1,1):PaymentSchedule3[[#This Row],[Interest]]),"")</f>
        <v>85567.226122840002</v>
      </c>
      <c r="L58" s="25">
        <f ca="1">IF(PaymentSchedule3[[#This Row],[Payment Number]]&lt;&gt;"",SUM(INDEX(PaymentSchedule3[Principal],1,1):PaymentSchedule3[[#This Row],[Principal]]),"")</f>
        <v>13978.659718345276</v>
      </c>
    </row>
    <row r="59" spans="2:12" x14ac:dyDescent="0.25">
      <c r="B59" s="23">
        <f ca="1">IF(LoanIsGood,IF(ROW()-ROW(PaymentSchedule3[[#Headers],[Payment Number]])&gt;ScheduledNumberOfPayments,"",ROW()-ROW(PaymentSchedule3[[#Headers],[Payment Number]])),"")</f>
        <v>46</v>
      </c>
      <c r="C59" s="24">
        <f ca="1">IF(PaymentSchedule3[[#This Row],[Payment Number]]&lt;&gt;"",EOMONTH(LoanStartDate,ROW(PaymentSchedule3[[#This Row],[Payment Number]])-ROW(PaymentSchedule3[[#Headers],[Payment Number]])-2)+DAY(LoanStartDate),"")</f>
        <v>46836</v>
      </c>
      <c r="D59" s="25">
        <f ca="1">IF(PaymentSchedule3[[#This Row],[Payment Number]]&lt;&gt;"",IF(ROW()-ROW(PaymentSchedule3[[#Headers],[Beginning
Balance]])=1,LoanAmount,INDEX(PaymentSchedule3[Ending
Balance],ROW()-ROW(PaymentSchedule3[[#Headers],[Beginning
Balance]])-1)),"")</f>
        <v>318521.34028165485</v>
      </c>
      <c r="E59" s="25">
        <f ca="1">IF(PaymentSchedule3[[#This Row],[Payment Number]]&lt;&gt;"",ScheduledPayment,"")</f>
        <v>2212.1307964707844</v>
      </c>
      <c r="F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59" s="25">
        <f ca="1">IF(PaymentSchedule3[[#This Row],[Payment Number]]&lt;&gt;"",PaymentSchedule3[[#This Row],[Total
Payment]]-PaymentSchedule3[[#This Row],[Interest]],"")</f>
        <v>354.08964482779766</v>
      </c>
      <c r="I59" s="25">
        <f ca="1">IF(PaymentSchedule3[[#This Row],[Payment Number]]&lt;&gt;"",PaymentSchedule3[[#This Row],[Beginning
Balance]]*(InterestRate/PaymentsPerYear),"")</f>
        <v>1858.0411516429867</v>
      </c>
      <c r="J59" s="25">
        <f ca="1">IF(PaymentSchedule3[[#This Row],[Payment Number]]&lt;&gt;"",IF(PaymentSchedule3[[#This Row],[Scheduled Payment]]+PaymentSchedule3[[#This Row],[Extra
Payment]]&lt;=PaymentSchedule3[[#This Row],[Beginning
Balance]],PaymentSchedule3[[#This Row],[Beginning
Balance]]-PaymentSchedule3[[#This Row],[Principal]],0),"")</f>
        <v>318167.25063682703</v>
      </c>
      <c r="K59" s="25">
        <f ca="1">IF(PaymentSchedule3[[#This Row],[Payment Number]]&lt;&gt;"",SUM(INDEX(PaymentSchedule3[Interest],1,1):PaymentSchedule3[[#This Row],[Interest]]),"")</f>
        <v>87425.267274482991</v>
      </c>
      <c r="L59" s="25">
        <f ca="1">IF(PaymentSchedule3[[#This Row],[Payment Number]]&lt;&gt;"",SUM(INDEX(PaymentSchedule3[Principal],1,1):PaymentSchedule3[[#This Row],[Principal]]),"")</f>
        <v>14332.749363173074</v>
      </c>
    </row>
    <row r="60" spans="2:12" x14ac:dyDescent="0.25">
      <c r="B60" s="23">
        <f ca="1">IF(LoanIsGood,IF(ROW()-ROW(PaymentSchedule3[[#Headers],[Payment Number]])&gt;ScheduledNumberOfPayments,"",ROW()-ROW(PaymentSchedule3[[#Headers],[Payment Number]])),"")</f>
        <v>47</v>
      </c>
      <c r="C60" s="24">
        <f ca="1">IF(PaymentSchedule3[[#This Row],[Payment Number]]&lt;&gt;"",EOMONTH(LoanStartDate,ROW(PaymentSchedule3[[#This Row],[Payment Number]])-ROW(PaymentSchedule3[[#Headers],[Payment Number]])-2)+DAY(LoanStartDate),"")</f>
        <v>46867</v>
      </c>
      <c r="D60" s="25">
        <f ca="1">IF(PaymentSchedule3[[#This Row],[Payment Number]]&lt;&gt;"",IF(ROW()-ROW(PaymentSchedule3[[#Headers],[Beginning
Balance]])=1,LoanAmount,INDEX(PaymentSchedule3[Ending
Balance],ROW()-ROW(PaymentSchedule3[[#Headers],[Beginning
Balance]])-1)),"")</f>
        <v>318167.25063682703</v>
      </c>
      <c r="E60" s="25">
        <f ca="1">IF(PaymentSchedule3[[#This Row],[Payment Number]]&lt;&gt;"",ScheduledPayment,"")</f>
        <v>2212.1307964707844</v>
      </c>
      <c r="F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0" s="25">
        <f ca="1">IF(PaymentSchedule3[[#This Row],[Payment Number]]&lt;&gt;"",PaymentSchedule3[[#This Row],[Total
Payment]]-PaymentSchedule3[[#This Row],[Interest]],"")</f>
        <v>356.15516775596006</v>
      </c>
      <c r="I60" s="25">
        <f ca="1">IF(PaymentSchedule3[[#This Row],[Payment Number]]&lt;&gt;"",PaymentSchedule3[[#This Row],[Beginning
Balance]]*(InterestRate/PaymentsPerYear),"")</f>
        <v>1855.9756287148243</v>
      </c>
      <c r="J60" s="25">
        <f ca="1">IF(PaymentSchedule3[[#This Row],[Payment Number]]&lt;&gt;"",IF(PaymentSchedule3[[#This Row],[Scheduled Payment]]+PaymentSchedule3[[#This Row],[Extra
Payment]]&lt;=PaymentSchedule3[[#This Row],[Beginning
Balance]],PaymentSchedule3[[#This Row],[Beginning
Balance]]-PaymentSchedule3[[#This Row],[Principal]],0),"")</f>
        <v>317811.09546907106</v>
      </c>
      <c r="K60" s="25">
        <f ca="1">IF(PaymentSchedule3[[#This Row],[Payment Number]]&lt;&gt;"",SUM(INDEX(PaymentSchedule3[Interest],1,1):PaymentSchedule3[[#This Row],[Interest]]),"")</f>
        <v>89281.24290319781</v>
      </c>
      <c r="L60" s="25">
        <f ca="1">IF(PaymentSchedule3[[#This Row],[Payment Number]]&lt;&gt;"",SUM(INDEX(PaymentSchedule3[Principal],1,1):PaymentSchedule3[[#This Row],[Principal]]),"")</f>
        <v>14688.904530929034</v>
      </c>
    </row>
    <row r="61" spans="2:12" x14ac:dyDescent="0.25">
      <c r="B61" s="23">
        <f ca="1">IF(LoanIsGood,IF(ROW()-ROW(PaymentSchedule3[[#Headers],[Payment Number]])&gt;ScheduledNumberOfPayments,"",ROW()-ROW(PaymentSchedule3[[#Headers],[Payment Number]])),"")</f>
        <v>48</v>
      </c>
      <c r="C61" s="24">
        <f ca="1">IF(PaymentSchedule3[[#This Row],[Payment Number]]&lt;&gt;"",EOMONTH(LoanStartDate,ROW(PaymentSchedule3[[#This Row],[Payment Number]])-ROW(PaymentSchedule3[[#Headers],[Payment Number]])-2)+DAY(LoanStartDate),"")</f>
        <v>46897</v>
      </c>
      <c r="D61" s="25">
        <f ca="1">IF(PaymentSchedule3[[#This Row],[Payment Number]]&lt;&gt;"",IF(ROW()-ROW(PaymentSchedule3[[#Headers],[Beginning
Balance]])=1,LoanAmount,INDEX(PaymentSchedule3[Ending
Balance],ROW()-ROW(PaymentSchedule3[[#Headers],[Beginning
Balance]])-1)),"")</f>
        <v>317811.09546907106</v>
      </c>
      <c r="E61" s="25">
        <f ca="1">IF(PaymentSchedule3[[#This Row],[Payment Number]]&lt;&gt;"",ScheduledPayment,"")</f>
        <v>2212.1307964707844</v>
      </c>
      <c r="F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1" s="25">
        <f ca="1">IF(PaymentSchedule3[[#This Row],[Payment Number]]&lt;&gt;"",PaymentSchedule3[[#This Row],[Total
Payment]]-PaymentSchedule3[[#This Row],[Interest]],"")</f>
        <v>358.23273956786966</v>
      </c>
      <c r="I61" s="25">
        <f ca="1">IF(PaymentSchedule3[[#This Row],[Payment Number]]&lt;&gt;"",PaymentSchedule3[[#This Row],[Beginning
Balance]]*(InterestRate/PaymentsPerYear),"")</f>
        <v>1853.8980569029147</v>
      </c>
      <c r="J61" s="25">
        <f ca="1">IF(PaymentSchedule3[[#This Row],[Payment Number]]&lt;&gt;"",IF(PaymentSchedule3[[#This Row],[Scheduled Payment]]+PaymentSchedule3[[#This Row],[Extra
Payment]]&lt;=PaymentSchedule3[[#This Row],[Beginning
Balance]],PaymentSchedule3[[#This Row],[Beginning
Balance]]-PaymentSchedule3[[#This Row],[Principal]],0),"")</f>
        <v>317452.86272950319</v>
      </c>
      <c r="K61" s="25">
        <f ca="1">IF(PaymentSchedule3[[#This Row],[Payment Number]]&lt;&gt;"",SUM(INDEX(PaymentSchedule3[Interest],1,1):PaymentSchedule3[[#This Row],[Interest]]),"")</f>
        <v>91135.140960100718</v>
      </c>
      <c r="L61" s="25">
        <f ca="1">IF(PaymentSchedule3[[#This Row],[Payment Number]]&lt;&gt;"",SUM(INDEX(PaymentSchedule3[Principal],1,1):PaymentSchedule3[[#This Row],[Principal]]),"")</f>
        <v>15047.137270496904</v>
      </c>
    </row>
    <row r="62" spans="2:12" x14ac:dyDescent="0.25">
      <c r="B62" s="23">
        <f ca="1">IF(LoanIsGood,IF(ROW()-ROW(PaymentSchedule3[[#Headers],[Payment Number]])&gt;ScheduledNumberOfPayments,"",ROW()-ROW(PaymentSchedule3[[#Headers],[Payment Number]])),"")</f>
        <v>49</v>
      </c>
      <c r="C62" s="24">
        <f ca="1">IF(PaymentSchedule3[[#This Row],[Payment Number]]&lt;&gt;"",EOMONTH(LoanStartDate,ROW(PaymentSchedule3[[#This Row],[Payment Number]])-ROW(PaymentSchedule3[[#Headers],[Payment Number]])-2)+DAY(LoanStartDate),"")</f>
        <v>46928</v>
      </c>
      <c r="D62" s="25">
        <f ca="1">IF(PaymentSchedule3[[#This Row],[Payment Number]]&lt;&gt;"",IF(ROW()-ROW(PaymentSchedule3[[#Headers],[Beginning
Balance]])=1,LoanAmount,INDEX(PaymentSchedule3[Ending
Balance],ROW()-ROW(PaymentSchedule3[[#Headers],[Beginning
Balance]])-1)),"")</f>
        <v>317452.86272950319</v>
      </c>
      <c r="E62" s="25">
        <f ca="1">IF(PaymentSchedule3[[#This Row],[Payment Number]]&lt;&gt;"",ScheduledPayment,"")</f>
        <v>2212.1307964707844</v>
      </c>
      <c r="F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2" s="25">
        <f ca="1">IF(PaymentSchedule3[[#This Row],[Payment Number]]&lt;&gt;"",PaymentSchedule3[[#This Row],[Total
Payment]]-PaymentSchedule3[[#This Row],[Interest]],"")</f>
        <v>360.32243054868241</v>
      </c>
      <c r="I62" s="25">
        <f ca="1">IF(PaymentSchedule3[[#This Row],[Payment Number]]&lt;&gt;"",PaymentSchedule3[[#This Row],[Beginning
Balance]]*(InterestRate/PaymentsPerYear),"")</f>
        <v>1851.808365922102</v>
      </c>
      <c r="J62" s="25">
        <f ca="1">IF(PaymentSchedule3[[#This Row],[Payment Number]]&lt;&gt;"",IF(PaymentSchedule3[[#This Row],[Scheduled Payment]]+PaymentSchedule3[[#This Row],[Extra
Payment]]&lt;=PaymentSchedule3[[#This Row],[Beginning
Balance]],PaymentSchedule3[[#This Row],[Beginning
Balance]]-PaymentSchedule3[[#This Row],[Principal]],0),"")</f>
        <v>317092.54029895453</v>
      </c>
      <c r="K62" s="25">
        <f ca="1">IF(PaymentSchedule3[[#This Row],[Payment Number]]&lt;&gt;"",SUM(INDEX(PaymentSchedule3[Interest],1,1):PaymentSchedule3[[#This Row],[Interest]]),"")</f>
        <v>92986.949326022819</v>
      </c>
      <c r="L62" s="25">
        <f ca="1">IF(PaymentSchedule3[[#This Row],[Payment Number]]&lt;&gt;"",SUM(INDEX(PaymentSchedule3[Principal],1,1):PaymentSchedule3[[#This Row],[Principal]]),"")</f>
        <v>15407.459701045585</v>
      </c>
    </row>
    <row r="63" spans="2:12" x14ac:dyDescent="0.25">
      <c r="B63" s="23">
        <f ca="1">IF(LoanIsGood,IF(ROW()-ROW(PaymentSchedule3[[#Headers],[Payment Number]])&gt;ScheduledNumberOfPayments,"",ROW()-ROW(PaymentSchedule3[[#Headers],[Payment Number]])),"")</f>
        <v>50</v>
      </c>
      <c r="C63" s="24">
        <f ca="1">IF(PaymentSchedule3[[#This Row],[Payment Number]]&lt;&gt;"",EOMONTH(LoanStartDate,ROW(PaymentSchedule3[[#This Row],[Payment Number]])-ROW(PaymentSchedule3[[#Headers],[Payment Number]])-2)+DAY(LoanStartDate),"")</f>
        <v>46958</v>
      </c>
      <c r="D63" s="25">
        <f ca="1">IF(PaymentSchedule3[[#This Row],[Payment Number]]&lt;&gt;"",IF(ROW()-ROW(PaymentSchedule3[[#Headers],[Beginning
Balance]])=1,LoanAmount,INDEX(PaymentSchedule3[Ending
Balance],ROW()-ROW(PaymentSchedule3[[#Headers],[Beginning
Balance]])-1)),"")</f>
        <v>317092.54029895453</v>
      </c>
      <c r="E63" s="25">
        <f ca="1">IF(PaymentSchedule3[[#This Row],[Payment Number]]&lt;&gt;"",ScheduledPayment,"")</f>
        <v>2212.1307964707844</v>
      </c>
      <c r="F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3" s="25">
        <f ca="1">IF(PaymentSchedule3[[#This Row],[Payment Number]]&lt;&gt;"",PaymentSchedule3[[#This Row],[Total
Payment]]-PaymentSchedule3[[#This Row],[Interest]],"")</f>
        <v>362.42431139354949</v>
      </c>
      <c r="I63" s="25">
        <f ca="1">IF(PaymentSchedule3[[#This Row],[Payment Number]]&lt;&gt;"",PaymentSchedule3[[#This Row],[Beginning
Balance]]*(InterestRate/PaymentsPerYear),"")</f>
        <v>1849.7064850772349</v>
      </c>
      <c r="J63" s="25">
        <f ca="1">IF(PaymentSchedule3[[#This Row],[Payment Number]]&lt;&gt;"",IF(PaymentSchedule3[[#This Row],[Scheduled Payment]]+PaymentSchedule3[[#This Row],[Extra
Payment]]&lt;=PaymentSchedule3[[#This Row],[Beginning
Balance]],PaymentSchedule3[[#This Row],[Beginning
Balance]]-PaymentSchedule3[[#This Row],[Principal]],0),"")</f>
        <v>316730.115987561</v>
      </c>
      <c r="K63" s="25">
        <f ca="1">IF(PaymentSchedule3[[#This Row],[Payment Number]]&lt;&gt;"",SUM(INDEX(PaymentSchedule3[Interest],1,1):PaymentSchedule3[[#This Row],[Interest]]),"")</f>
        <v>94836.655811100049</v>
      </c>
      <c r="L63" s="25">
        <f ca="1">IF(PaymentSchedule3[[#This Row],[Payment Number]]&lt;&gt;"",SUM(INDEX(PaymentSchedule3[Principal],1,1):PaymentSchedule3[[#This Row],[Principal]]),"")</f>
        <v>15769.884012439135</v>
      </c>
    </row>
    <row r="64" spans="2:12" x14ac:dyDescent="0.25">
      <c r="B64" s="23">
        <f ca="1">IF(LoanIsGood,IF(ROW()-ROW(PaymentSchedule3[[#Headers],[Payment Number]])&gt;ScheduledNumberOfPayments,"",ROW()-ROW(PaymentSchedule3[[#Headers],[Payment Number]])),"")</f>
        <v>51</v>
      </c>
      <c r="C64" s="24">
        <f ca="1">IF(PaymentSchedule3[[#This Row],[Payment Number]]&lt;&gt;"",EOMONTH(LoanStartDate,ROW(PaymentSchedule3[[#This Row],[Payment Number]])-ROW(PaymentSchedule3[[#Headers],[Payment Number]])-2)+DAY(LoanStartDate),"")</f>
        <v>46989</v>
      </c>
      <c r="D64" s="25">
        <f ca="1">IF(PaymentSchedule3[[#This Row],[Payment Number]]&lt;&gt;"",IF(ROW()-ROW(PaymentSchedule3[[#Headers],[Beginning
Balance]])=1,LoanAmount,INDEX(PaymentSchedule3[Ending
Balance],ROW()-ROW(PaymentSchedule3[[#Headers],[Beginning
Balance]])-1)),"")</f>
        <v>316730.115987561</v>
      </c>
      <c r="E64" s="25">
        <f ca="1">IF(PaymentSchedule3[[#This Row],[Payment Number]]&lt;&gt;"",ScheduledPayment,"")</f>
        <v>2212.1307964707844</v>
      </c>
      <c r="F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4" s="25">
        <f ca="1">IF(PaymentSchedule3[[#This Row],[Payment Number]]&lt;&gt;"",PaymentSchedule3[[#This Row],[Total
Payment]]-PaymentSchedule3[[#This Row],[Interest]],"")</f>
        <v>364.53845321001177</v>
      </c>
      <c r="I64" s="25">
        <f ca="1">IF(PaymentSchedule3[[#This Row],[Payment Number]]&lt;&gt;"",PaymentSchedule3[[#This Row],[Beginning
Balance]]*(InterestRate/PaymentsPerYear),"")</f>
        <v>1847.5923432607726</v>
      </c>
      <c r="J64" s="25">
        <f ca="1">IF(PaymentSchedule3[[#This Row],[Payment Number]]&lt;&gt;"",IF(PaymentSchedule3[[#This Row],[Scheduled Payment]]+PaymentSchedule3[[#This Row],[Extra
Payment]]&lt;=PaymentSchedule3[[#This Row],[Beginning
Balance]],PaymentSchedule3[[#This Row],[Beginning
Balance]]-PaymentSchedule3[[#This Row],[Principal]],0),"")</f>
        <v>316365.57753435097</v>
      </c>
      <c r="K64" s="25">
        <f ca="1">IF(PaymentSchedule3[[#This Row],[Payment Number]]&lt;&gt;"",SUM(INDEX(PaymentSchedule3[Interest],1,1):PaymentSchedule3[[#This Row],[Interest]]),"")</f>
        <v>96684.248154360816</v>
      </c>
      <c r="L64" s="25">
        <f ca="1">IF(PaymentSchedule3[[#This Row],[Payment Number]]&lt;&gt;"",SUM(INDEX(PaymentSchedule3[Principal],1,1):PaymentSchedule3[[#This Row],[Principal]]),"")</f>
        <v>16134.422465649148</v>
      </c>
    </row>
    <row r="65" spans="2:12" x14ac:dyDescent="0.25">
      <c r="B65" s="23">
        <f ca="1">IF(LoanIsGood,IF(ROW()-ROW(PaymentSchedule3[[#Headers],[Payment Number]])&gt;ScheduledNumberOfPayments,"",ROW()-ROW(PaymentSchedule3[[#Headers],[Payment Number]])),"")</f>
        <v>52</v>
      </c>
      <c r="C65" s="24">
        <f ca="1">IF(PaymentSchedule3[[#This Row],[Payment Number]]&lt;&gt;"",EOMONTH(LoanStartDate,ROW(PaymentSchedule3[[#This Row],[Payment Number]])-ROW(PaymentSchedule3[[#Headers],[Payment Number]])-2)+DAY(LoanStartDate),"")</f>
        <v>47020</v>
      </c>
      <c r="D65" s="25">
        <f ca="1">IF(PaymentSchedule3[[#This Row],[Payment Number]]&lt;&gt;"",IF(ROW()-ROW(PaymentSchedule3[[#Headers],[Beginning
Balance]])=1,LoanAmount,INDEX(PaymentSchedule3[Ending
Balance],ROW()-ROW(PaymentSchedule3[[#Headers],[Beginning
Balance]])-1)),"")</f>
        <v>316365.57753435097</v>
      </c>
      <c r="E65" s="25">
        <f ca="1">IF(PaymentSchedule3[[#This Row],[Payment Number]]&lt;&gt;"",ScheduledPayment,"")</f>
        <v>2212.1307964707844</v>
      </c>
      <c r="F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5" s="25">
        <f ca="1">IF(PaymentSchedule3[[#This Row],[Payment Number]]&lt;&gt;"",PaymentSchedule3[[#This Row],[Total
Payment]]-PaymentSchedule3[[#This Row],[Interest]],"")</f>
        <v>366.66492752040358</v>
      </c>
      <c r="I65" s="25">
        <f ca="1">IF(PaymentSchedule3[[#This Row],[Payment Number]]&lt;&gt;"",PaymentSchedule3[[#This Row],[Beginning
Balance]]*(InterestRate/PaymentsPerYear),"")</f>
        <v>1845.4658689503808</v>
      </c>
      <c r="J65" s="25">
        <f ca="1">IF(PaymentSchedule3[[#This Row],[Payment Number]]&lt;&gt;"",IF(PaymentSchedule3[[#This Row],[Scheduled Payment]]+PaymentSchedule3[[#This Row],[Extra
Payment]]&lt;=PaymentSchedule3[[#This Row],[Beginning
Balance]],PaymentSchedule3[[#This Row],[Beginning
Balance]]-PaymentSchedule3[[#This Row],[Principal]],0),"")</f>
        <v>315998.91260683059</v>
      </c>
      <c r="K65" s="25">
        <f ca="1">IF(PaymentSchedule3[[#This Row],[Payment Number]]&lt;&gt;"",SUM(INDEX(PaymentSchedule3[Interest],1,1):PaymentSchedule3[[#This Row],[Interest]]),"")</f>
        <v>98529.7140233112</v>
      </c>
      <c r="L65" s="25">
        <f ca="1">IF(PaymentSchedule3[[#This Row],[Payment Number]]&lt;&gt;"",SUM(INDEX(PaymentSchedule3[Principal],1,1):PaymentSchedule3[[#This Row],[Principal]]),"")</f>
        <v>16501.087393169553</v>
      </c>
    </row>
    <row r="66" spans="2:12" x14ac:dyDescent="0.25">
      <c r="B66" s="23">
        <f ca="1">IF(LoanIsGood,IF(ROW()-ROW(PaymentSchedule3[[#Headers],[Payment Number]])&gt;ScheduledNumberOfPayments,"",ROW()-ROW(PaymentSchedule3[[#Headers],[Payment Number]])),"")</f>
        <v>53</v>
      </c>
      <c r="C66" s="24">
        <f ca="1">IF(PaymentSchedule3[[#This Row],[Payment Number]]&lt;&gt;"",EOMONTH(LoanStartDate,ROW(PaymentSchedule3[[#This Row],[Payment Number]])-ROW(PaymentSchedule3[[#Headers],[Payment Number]])-2)+DAY(LoanStartDate),"")</f>
        <v>47050</v>
      </c>
      <c r="D66" s="25">
        <f ca="1">IF(PaymentSchedule3[[#This Row],[Payment Number]]&lt;&gt;"",IF(ROW()-ROW(PaymentSchedule3[[#Headers],[Beginning
Balance]])=1,LoanAmount,INDEX(PaymentSchedule3[Ending
Balance],ROW()-ROW(PaymentSchedule3[[#Headers],[Beginning
Balance]])-1)),"")</f>
        <v>315998.91260683059</v>
      </c>
      <c r="E66" s="25">
        <f ca="1">IF(PaymentSchedule3[[#This Row],[Payment Number]]&lt;&gt;"",ScheduledPayment,"")</f>
        <v>2212.1307964707844</v>
      </c>
      <c r="F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6" s="25">
        <f ca="1">IF(PaymentSchedule3[[#This Row],[Payment Number]]&lt;&gt;"",PaymentSchedule3[[#This Row],[Total
Payment]]-PaymentSchedule3[[#This Row],[Interest]],"")</f>
        <v>368.80380626427245</v>
      </c>
      <c r="I66" s="25">
        <f ca="1">IF(PaymentSchedule3[[#This Row],[Payment Number]]&lt;&gt;"",PaymentSchedule3[[#This Row],[Beginning
Balance]]*(InterestRate/PaymentsPerYear),"")</f>
        <v>1843.3269902065119</v>
      </c>
      <c r="J66" s="25">
        <f ca="1">IF(PaymentSchedule3[[#This Row],[Payment Number]]&lt;&gt;"",IF(PaymentSchedule3[[#This Row],[Scheduled Payment]]+PaymentSchedule3[[#This Row],[Extra
Payment]]&lt;=PaymentSchedule3[[#This Row],[Beginning
Balance]],PaymentSchedule3[[#This Row],[Beginning
Balance]]-PaymentSchedule3[[#This Row],[Principal]],0),"")</f>
        <v>315630.10880056635</v>
      </c>
      <c r="K66" s="25">
        <f ca="1">IF(PaymentSchedule3[[#This Row],[Payment Number]]&lt;&gt;"",SUM(INDEX(PaymentSchedule3[Interest],1,1):PaymentSchedule3[[#This Row],[Interest]]),"")</f>
        <v>100373.04101351771</v>
      </c>
      <c r="L66" s="25">
        <f ca="1">IF(PaymentSchedule3[[#This Row],[Payment Number]]&lt;&gt;"",SUM(INDEX(PaymentSchedule3[Principal],1,1):PaymentSchedule3[[#This Row],[Principal]]),"")</f>
        <v>16869.891199433827</v>
      </c>
    </row>
    <row r="67" spans="2:12" x14ac:dyDescent="0.25">
      <c r="B67" s="23">
        <f ca="1">IF(LoanIsGood,IF(ROW()-ROW(PaymentSchedule3[[#Headers],[Payment Number]])&gt;ScheduledNumberOfPayments,"",ROW()-ROW(PaymentSchedule3[[#Headers],[Payment Number]])),"")</f>
        <v>54</v>
      </c>
      <c r="C67" s="24">
        <f ca="1">IF(PaymentSchedule3[[#This Row],[Payment Number]]&lt;&gt;"",EOMONTH(LoanStartDate,ROW(PaymentSchedule3[[#This Row],[Payment Number]])-ROW(PaymentSchedule3[[#Headers],[Payment Number]])-2)+DAY(LoanStartDate),"")</f>
        <v>47081</v>
      </c>
      <c r="D67" s="25">
        <f ca="1">IF(PaymentSchedule3[[#This Row],[Payment Number]]&lt;&gt;"",IF(ROW()-ROW(PaymentSchedule3[[#Headers],[Beginning
Balance]])=1,LoanAmount,INDEX(PaymentSchedule3[Ending
Balance],ROW()-ROW(PaymentSchedule3[[#Headers],[Beginning
Balance]])-1)),"")</f>
        <v>315630.10880056635</v>
      </c>
      <c r="E67" s="25">
        <f ca="1">IF(PaymentSchedule3[[#This Row],[Payment Number]]&lt;&gt;"",ScheduledPayment,"")</f>
        <v>2212.1307964707844</v>
      </c>
      <c r="F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7" s="25">
        <f ca="1">IF(PaymentSchedule3[[#This Row],[Payment Number]]&lt;&gt;"",PaymentSchedule3[[#This Row],[Total
Payment]]-PaymentSchedule3[[#This Row],[Interest]],"")</f>
        <v>370.95516180081404</v>
      </c>
      <c r="I67" s="25">
        <f ca="1">IF(PaymentSchedule3[[#This Row],[Payment Number]]&lt;&gt;"",PaymentSchedule3[[#This Row],[Beginning
Balance]]*(InterestRate/PaymentsPerYear),"")</f>
        <v>1841.1756346699703</v>
      </c>
      <c r="J67" s="25">
        <f ca="1">IF(PaymentSchedule3[[#This Row],[Payment Number]]&lt;&gt;"",IF(PaymentSchedule3[[#This Row],[Scheduled Payment]]+PaymentSchedule3[[#This Row],[Extra
Payment]]&lt;=PaymentSchedule3[[#This Row],[Beginning
Balance]],PaymentSchedule3[[#This Row],[Beginning
Balance]]-PaymentSchedule3[[#This Row],[Principal]],0),"")</f>
        <v>315259.15363876551</v>
      </c>
      <c r="K67" s="25">
        <f ca="1">IF(PaymentSchedule3[[#This Row],[Payment Number]]&lt;&gt;"",SUM(INDEX(PaymentSchedule3[Interest],1,1):PaymentSchedule3[[#This Row],[Interest]]),"")</f>
        <v>102214.21664818768</v>
      </c>
      <c r="L67" s="25">
        <f ca="1">IF(PaymentSchedule3[[#This Row],[Payment Number]]&lt;&gt;"",SUM(INDEX(PaymentSchedule3[Principal],1,1):PaymentSchedule3[[#This Row],[Principal]]),"")</f>
        <v>17240.846361234642</v>
      </c>
    </row>
    <row r="68" spans="2:12" x14ac:dyDescent="0.25">
      <c r="B68" s="23">
        <f ca="1">IF(LoanIsGood,IF(ROW()-ROW(PaymentSchedule3[[#Headers],[Payment Number]])&gt;ScheduledNumberOfPayments,"",ROW()-ROW(PaymentSchedule3[[#Headers],[Payment Number]])),"")</f>
        <v>55</v>
      </c>
      <c r="C68" s="24">
        <f ca="1">IF(PaymentSchedule3[[#This Row],[Payment Number]]&lt;&gt;"",EOMONTH(LoanStartDate,ROW(PaymentSchedule3[[#This Row],[Payment Number]])-ROW(PaymentSchedule3[[#Headers],[Payment Number]])-2)+DAY(LoanStartDate),"")</f>
        <v>47111</v>
      </c>
      <c r="D68" s="25">
        <f ca="1">IF(PaymentSchedule3[[#This Row],[Payment Number]]&lt;&gt;"",IF(ROW()-ROW(PaymentSchedule3[[#Headers],[Beginning
Balance]])=1,LoanAmount,INDEX(PaymentSchedule3[Ending
Balance],ROW()-ROW(PaymentSchedule3[[#Headers],[Beginning
Balance]])-1)),"")</f>
        <v>315259.15363876551</v>
      </c>
      <c r="E68" s="25">
        <f ca="1">IF(PaymentSchedule3[[#This Row],[Payment Number]]&lt;&gt;"",ScheduledPayment,"")</f>
        <v>2212.1307964707844</v>
      </c>
      <c r="F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8" s="25">
        <f ca="1">IF(PaymentSchedule3[[#This Row],[Payment Number]]&lt;&gt;"",PaymentSchedule3[[#This Row],[Total
Payment]]-PaymentSchedule3[[#This Row],[Interest]],"")</f>
        <v>373.1190669113189</v>
      </c>
      <c r="I68" s="25">
        <f ca="1">IF(PaymentSchedule3[[#This Row],[Payment Number]]&lt;&gt;"",PaymentSchedule3[[#This Row],[Beginning
Balance]]*(InterestRate/PaymentsPerYear),"")</f>
        <v>1839.0117295594655</v>
      </c>
      <c r="J68" s="25">
        <f ca="1">IF(PaymentSchedule3[[#This Row],[Payment Number]]&lt;&gt;"",IF(PaymentSchedule3[[#This Row],[Scheduled Payment]]+PaymentSchedule3[[#This Row],[Extra
Payment]]&lt;=PaymentSchedule3[[#This Row],[Beginning
Balance]],PaymentSchedule3[[#This Row],[Beginning
Balance]]-PaymentSchedule3[[#This Row],[Principal]],0),"")</f>
        <v>314886.03457185416</v>
      </c>
      <c r="K68" s="25">
        <f ca="1">IF(PaymentSchedule3[[#This Row],[Payment Number]]&lt;&gt;"",SUM(INDEX(PaymentSchedule3[Interest],1,1):PaymentSchedule3[[#This Row],[Interest]]),"")</f>
        <v>104053.22837774715</v>
      </c>
      <c r="L68" s="25">
        <f ca="1">IF(PaymentSchedule3[[#This Row],[Payment Number]]&lt;&gt;"",SUM(INDEX(PaymentSchedule3[Principal],1,1):PaymentSchedule3[[#This Row],[Principal]]),"")</f>
        <v>17613.965428145963</v>
      </c>
    </row>
    <row r="69" spans="2:12" x14ac:dyDescent="0.25">
      <c r="B69" s="23">
        <f ca="1">IF(LoanIsGood,IF(ROW()-ROW(PaymentSchedule3[[#Headers],[Payment Number]])&gt;ScheduledNumberOfPayments,"",ROW()-ROW(PaymentSchedule3[[#Headers],[Payment Number]])),"")</f>
        <v>56</v>
      </c>
      <c r="C69" s="24">
        <f ca="1">IF(PaymentSchedule3[[#This Row],[Payment Number]]&lt;&gt;"",EOMONTH(LoanStartDate,ROW(PaymentSchedule3[[#This Row],[Payment Number]])-ROW(PaymentSchedule3[[#Headers],[Payment Number]])-2)+DAY(LoanStartDate),"")</f>
        <v>47142</v>
      </c>
      <c r="D69" s="25">
        <f ca="1">IF(PaymentSchedule3[[#This Row],[Payment Number]]&lt;&gt;"",IF(ROW()-ROW(PaymentSchedule3[[#Headers],[Beginning
Balance]])=1,LoanAmount,INDEX(PaymentSchedule3[Ending
Balance],ROW()-ROW(PaymentSchedule3[[#Headers],[Beginning
Balance]])-1)),"")</f>
        <v>314886.03457185416</v>
      </c>
      <c r="E69" s="25">
        <f ca="1">IF(PaymentSchedule3[[#This Row],[Payment Number]]&lt;&gt;"",ScheduledPayment,"")</f>
        <v>2212.1307964707844</v>
      </c>
      <c r="F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69" s="25">
        <f ca="1">IF(PaymentSchedule3[[#This Row],[Payment Number]]&lt;&gt;"",PaymentSchedule3[[#This Row],[Total
Payment]]-PaymentSchedule3[[#This Row],[Interest]],"")</f>
        <v>375.29559480163493</v>
      </c>
      <c r="I69" s="25">
        <f ca="1">IF(PaymentSchedule3[[#This Row],[Payment Number]]&lt;&gt;"",PaymentSchedule3[[#This Row],[Beginning
Balance]]*(InterestRate/PaymentsPerYear),"")</f>
        <v>1836.8352016691495</v>
      </c>
      <c r="J69" s="25">
        <f ca="1">IF(PaymentSchedule3[[#This Row],[Payment Number]]&lt;&gt;"",IF(PaymentSchedule3[[#This Row],[Scheduled Payment]]+PaymentSchedule3[[#This Row],[Extra
Payment]]&lt;=PaymentSchedule3[[#This Row],[Beginning
Balance]],PaymentSchedule3[[#This Row],[Beginning
Balance]]-PaymentSchedule3[[#This Row],[Principal]],0),"")</f>
        <v>314510.7389770525</v>
      </c>
      <c r="K69" s="25">
        <f ca="1">IF(PaymentSchedule3[[#This Row],[Payment Number]]&lt;&gt;"",SUM(INDEX(PaymentSchedule3[Interest],1,1):PaymentSchedule3[[#This Row],[Interest]]),"")</f>
        <v>105890.0635794163</v>
      </c>
      <c r="L69" s="25">
        <f ca="1">IF(PaymentSchedule3[[#This Row],[Payment Number]]&lt;&gt;"",SUM(INDEX(PaymentSchedule3[Principal],1,1):PaymentSchedule3[[#This Row],[Principal]]),"")</f>
        <v>17989.261022947598</v>
      </c>
    </row>
    <row r="70" spans="2:12" x14ac:dyDescent="0.25">
      <c r="B70" s="23">
        <f ca="1">IF(LoanIsGood,IF(ROW()-ROW(PaymentSchedule3[[#Headers],[Payment Number]])&gt;ScheduledNumberOfPayments,"",ROW()-ROW(PaymentSchedule3[[#Headers],[Payment Number]])),"")</f>
        <v>57</v>
      </c>
      <c r="C70" s="24">
        <f ca="1">IF(PaymentSchedule3[[#This Row],[Payment Number]]&lt;&gt;"",EOMONTH(LoanStartDate,ROW(PaymentSchedule3[[#This Row],[Payment Number]])-ROW(PaymentSchedule3[[#Headers],[Payment Number]])-2)+DAY(LoanStartDate),"")</f>
        <v>47173</v>
      </c>
      <c r="D70" s="25">
        <f ca="1">IF(PaymentSchedule3[[#This Row],[Payment Number]]&lt;&gt;"",IF(ROW()-ROW(PaymentSchedule3[[#Headers],[Beginning
Balance]])=1,LoanAmount,INDEX(PaymentSchedule3[Ending
Balance],ROW()-ROW(PaymentSchedule3[[#Headers],[Beginning
Balance]])-1)),"")</f>
        <v>314510.7389770525</v>
      </c>
      <c r="E70" s="25">
        <f ca="1">IF(PaymentSchedule3[[#This Row],[Payment Number]]&lt;&gt;"",ScheduledPayment,"")</f>
        <v>2212.1307964707844</v>
      </c>
      <c r="F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0" s="25">
        <f ca="1">IF(PaymentSchedule3[[#This Row],[Payment Number]]&lt;&gt;"",PaymentSchedule3[[#This Row],[Total
Payment]]-PaymentSchedule3[[#This Row],[Interest]],"")</f>
        <v>377.48481910464466</v>
      </c>
      <c r="I70" s="25">
        <f ca="1">IF(PaymentSchedule3[[#This Row],[Payment Number]]&lt;&gt;"",PaymentSchedule3[[#This Row],[Beginning
Balance]]*(InterestRate/PaymentsPerYear),"")</f>
        <v>1834.6459773661397</v>
      </c>
      <c r="J70" s="25">
        <f ca="1">IF(PaymentSchedule3[[#This Row],[Payment Number]]&lt;&gt;"",IF(PaymentSchedule3[[#This Row],[Scheduled Payment]]+PaymentSchedule3[[#This Row],[Extra
Payment]]&lt;=PaymentSchedule3[[#This Row],[Beginning
Balance]],PaymentSchedule3[[#This Row],[Beginning
Balance]]-PaymentSchedule3[[#This Row],[Principal]],0),"")</f>
        <v>314133.25415794784</v>
      </c>
      <c r="K70" s="25">
        <f ca="1">IF(PaymentSchedule3[[#This Row],[Payment Number]]&lt;&gt;"",SUM(INDEX(PaymentSchedule3[Interest],1,1):PaymentSchedule3[[#This Row],[Interest]]),"")</f>
        <v>107724.70955678243</v>
      </c>
      <c r="L70" s="25">
        <f ca="1">IF(PaymentSchedule3[[#This Row],[Payment Number]]&lt;&gt;"",SUM(INDEX(PaymentSchedule3[Principal],1,1):PaymentSchedule3[[#This Row],[Principal]]),"")</f>
        <v>18366.745842052242</v>
      </c>
    </row>
    <row r="71" spans="2:12" x14ac:dyDescent="0.25">
      <c r="B71" s="23">
        <f ca="1">IF(LoanIsGood,IF(ROW()-ROW(PaymentSchedule3[[#Headers],[Payment Number]])&gt;ScheduledNumberOfPayments,"",ROW()-ROW(PaymentSchedule3[[#Headers],[Payment Number]])),"")</f>
        <v>58</v>
      </c>
      <c r="C71" s="24">
        <f ca="1">IF(PaymentSchedule3[[#This Row],[Payment Number]]&lt;&gt;"",EOMONTH(LoanStartDate,ROW(PaymentSchedule3[[#This Row],[Payment Number]])-ROW(PaymentSchedule3[[#Headers],[Payment Number]])-2)+DAY(LoanStartDate),"")</f>
        <v>47201</v>
      </c>
      <c r="D71" s="25">
        <f ca="1">IF(PaymentSchedule3[[#This Row],[Payment Number]]&lt;&gt;"",IF(ROW()-ROW(PaymentSchedule3[[#Headers],[Beginning
Balance]])=1,LoanAmount,INDEX(PaymentSchedule3[Ending
Balance],ROW()-ROW(PaymentSchedule3[[#Headers],[Beginning
Balance]])-1)),"")</f>
        <v>314133.25415794784</v>
      </c>
      <c r="E71" s="25">
        <f ca="1">IF(PaymentSchedule3[[#This Row],[Payment Number]]&lt;&gt;"",ScheduledPayment,"")</f>
        <v>2212.1307964707844</v>
      </c>
      <c r="F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1" s="25">
        <f ca="1">IF(PaymentSchedule3[[#This Row],[Payment Number]]&lt;&gt;"",PaymentSchedule3[[#This Row],[Total
Payment]]-PaymentSchedule3[[#This Row],[Interest]],"")</f>
        <v>379.68681388275513</v>
      </c>
      <c r="I71" s="25">
        <f ca="1">IF(PaymentSchedule3[[#This Row],[Payment Number]]&lt;&gt;"",PaymentSchedule3[[#This Row],[Beginning
Balance]]*(InterestRate/PaymentsPerYear),"")</f>
        <v>1832.4439825880293</v>
      </c>
      <c r="J71" s="25">
        <f ca="1">IF(PaymentSchedule3[[#This Row],[Payment Number]]&lt;&gt;"",IF(PaymentSchedule3[[#This Row],[Scheduled Payment]]+PaymentSchedule3[[#This Row],[Extra
Payment]]&lt;=PaymentSchedule3[[#This Row],[Beginning
Balance]],PaymentSchedule3[[#This Row],[Beginning
Balance]]-PaymentSchedule3[[#This Row],[Principal]],0),"")</f>
        <v>313753.56734406512</v>
      </c>
      <c r="K71" s="25">
        <f ca="1">IF(PaymentSchedule3[[#This Row],[Payment Number]]&lt;&gt;"",SUM(INDEX(PaymentSchedule3[Interest],1,1):PaymentSchedule3[[#This Row],[Interest]]),"")</f>
        <v>109557.15353937045</v>
      </c>
      <c r="L71" s="25">
        <f ca="1">IF(PaymentSchedule3[[#This Row],[Payment Number]]&lt;&gt;"",SUM(INDEX(PaymentSchedule3[Principal],1,1):PaymentSchedule3[[#This Row],[Principal]]),"")</f>
        <v>18746.432655934997</v>
      </c>
    </row>
    <row r="72" spans="2:12" x14ac:dyDescent="0.25">
      <c r="B72" s="23">
        <f ca="1">IF(LoanIsGood,IF(ROW()-ROW(PaymentSchedule3[[#Headers],[Payment Number]])&gt;ScheduledNumberOfPayments,"",ROW()-ROW(PaymentSchedule3[[#Headers],[Payment Number]])),"")</f>
        <v>59</v>
      </c>
      <c r="C72" s="24">
        <f ca="1">IF(PaymentSchedule3[[#This Row],[Payment Number]]&lt;&gt;"",EOMONTH(LoanStartDate,ROW(PaymentSchedule3[[#This Row],[Payment Number]])-ROW(PaymentSchedule3[[#Headers],[Payment Number]])-2)+DAY(LoanStartDate),"")</f>
        <v>47232</v>
      </c>
      <c r="D72" s="25">
        <f ca="1">IF(PaymentSchedule3[[#This Row],[Payment Number]]&lt;&gt;"",IF(ROW()-ROW(PaymentSchedule3[[#Headers],[Beginning
Balance]])=1,LoanAmount,INDEX(PaymentSchedule3[Ending
Balance],ROW()-ROW(PaymentSchedule3[[#Headers],[Beginning
Balance]])-1)),"")</f>
        <v>313753.56734406512</v>
      </c>
      <c r="E72" s="25">
        <f ca="1">IF(PaymentSchedule3[[#This Row],[Payment Number]]&lt;&gt;"",ScheduledPayment,"")</f>
        <v>2212.1307964707844</v>
      </c>
      <c r="F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2" s="25">
        <f ca="1">IF(PaymentSchedule3[[#This Row],[Payment Number]]&lt;&gt;"",PaymentSchedule3[[#This Row],[Total
Payment]]-PaymentSchedule3[[#This Row],[Interest]],"")</f>
        <v>381.90165363040455</v>
      </c>
      <c r="I72" s="25">
        <f ca="1">IF(PaymentSchedule3[[#This Row],[Payment Number]]&lt;&gt;"",PaymentSchedule3[[#This Row],[Beginning
Balance]]*(InterestRate/PaymentsPerYear),"")</f>
        <v>1830.2291428403798</v>
      </c>
      <c r="J72" s="25">
        <f ca="1">IF(PaymentSchedule3[[#This Row],[Payment Number]]&lt;&gt;"",IF(PaymentSchedule3[[#This Row],[Scheduled Payment]]+PaymentSchedule3[[#This Row],[Extra
Payment]]&lt;=PaymentSchedule3[[#This Row],[Beginning
Balance]],PaymentSchedule3[[#This Row],[Beginning
Balance]]-PaymentSchedule3[[#This Row],[Principal]],0),"")</f>
        <v>313371.66569043469</v>
      </c>
      <c r="K72" s="25">
        <f ca="1">IF(PaymentSchedule3[[#This Row],[Payment Number]]&lt;&gt;"",SUM(INDEX(PaymentSchedule3[Interest],1,1):PaymentSchedule3[[#This Row],[Interest]]),"")</f>
        <v>111387.38268221084</v>
      </c>
      <c r="L72" s="25">
        <f ca="1">IF(PaymentSchedule3[[#This Row],[Payment Number]]&lt;&gt;"",SUM(INDEX(PaymentSchedule3[Principal],1,1):PaymentSchedule3[[#This Row],[Principal]]),"")</f>
        <v>19128.334309565402</v>
      </c>
    </row>
    <row r="73" spans="2:12" x14ac:dyDescent="0.25">
      <c r="B73" s="23">
        <f ca="1">IF(LoanIsGood,IF(ROW()-ROW(PaymentSchedule3[[#Headers],[Payment Number]])&gt;ScheduledNumberOfPayments,"",ROW()-ROW(PaymentSchedule3[[#Headers],[Payment Number]])),"")</f>
        <v>60</v>
      </c>
      <c r="C73" s="24">
        <f ca="1">IF(PaymentSchedule3[[#This Row],[Payment Number]]&lt;&gt;"",EOMONTH(LoanStartDate,ROW(PaymentSchedule3[[#This Row],[Payment Number]])-ROW(PaymentSchedule3[[#Headers],[Payment Number]])-2)+DAY(LoanStartDate),"")</f>
        <v>47262</v>
      </c>
      <c r="D73" s="25">
        <f ca="1">IF(PaymentSchedule3[[#This Row],[Payment Number]]&lt;&gt;"",IF(ROW()-ROW(PaymentSchedule3[[#Headers],[Beginning
Balance]])=1,LoanAmount,INDEX(PaymentSchedule3[Ending
Balance],ROW()-ROW(PaymentSchedule3[[#Headers],[Beginning
Balance]])-1)),"")</f>
        <v>313371.66569043469</v>
      </c>
      <c r="E73" s="25">
        <f ca="1">IF(PaymentSchedule3[[#This Row],[Payment Number]]&lt;&gt;"",ScheduledPayment,"")</f>
        <v>2212.1307964707844</v>
      </c>
      <c r="F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3" s="25">
        <f ca="1">IF(PaymentSchedule3[[#This Row],[Payment Number]]&lt;&gt;"",PaymentSchedule3[[#This Row],[Total
Payment]]-PaymentSchedule3[[#This Row],[Interest]],"")</f>
        <v>384.129413276582</v>
      </c>
      <c r="I73" s="25">
        <f ca="1">IF(PaymentSchedule3[[#This Row],[Payment Number]]&lt;&gt;"",PaymentSchedule3[[#This Row],[Beginning
Balance]]*(InterestRate/PaymentsPerYear),"")</f>
        <v>1828.0013831942024</v>
      </c>
      <c r="J73" s="25">
        <f ca="1">IF(PaymentSchedule3[[#This Row],[Payment Number]]&lt;&gt;"",IF(PaymentSchedule3[[#This Row],[Scheduled Payment]]+PaymentSchedule3[[#This Row],[Extra
Payment]]&lt;=PaymentSchedule3[[#This Row],[Beginning
Balance]],PaymentSchedule3[[#This Row],[Beginning
Balance]]-PaymentSchedule3[[#This Row],[Principal]],0),"")</f>
        <v>312987.53627715813</v>
      </c>
      <c r="K73" s="25">
        <f ca="1">IF(PaymentSchedule3[[#This Row],[Payment Number]]&lt;&gt;"",SUM(INDEX(PaymentSchedule3[Interest],1,1):PaymentSchedule3[[#This Row],[Interest]]),"")</f>
        <v>113215.38406540504</v>
      </c>
      <c r="L73" s="25">
        <f ca="1">IF(PaymentSchedule3[[#This Row],[Payment Number]]&lt;&gt;"",SUM(INDEX(PaymentSchedule3[Principal],1,1):PaymentSchedule3[[#This Row],[Principal]]),"")</f>
        <v>19512.463722841985</v>
      </c>
    </row>
    <row r="74" spans="2:12" x14ac:dyDescent="0.25">
      <c r="B74" s="23">
        <f ca="1">IF(LoanIsGood,IF(ROW()-ROW(PaymentSchedule3[[#Headers],[Payment Number]])&gt;ScheduledNumberOfPayments,"",ROW()-ROW(PaymentSchedule3[[#Headers],[Payment Number]])),"")</f>
        <v>61</v>
      </c>
      <c r="C74" s="24">
        <f ca="1">IF(PaymentSchedule3[[#This Row],[Payment Number]]&lt;&gt;"",EOMONTH(LoanStartDate,ROW(PaymentSchedule3[[#This Row],[Payment Number]])-ROW(PaymentSchedule3[[#Headers],[Payment Number]])-2)+DAY(LoanStartDate),"")</f>
        <v>47293</v>
      </c>
      <c r="D74" s="25">
        <f ca="1">IF(PaymentSchedule3[[#This Row],[Payment Number]]&lt;&gt;"",IF(ROW()-ROW(PaymentSchedule3[[#Headers],[Beginning
Balance]])=1,LoanAmount,INDEX(PaymentSchedule3[Ending
Balance],ROW()-ROW(PaymentSchedule3[[#Headers],[Beginning
Balance]])-1)),"")</f>
        <v>312987.53627715813</v>
      </c>
      <c r="E74" s="25">
        <f ca="1">IF(PaymentSchedule3[[#This Row],[Payment Number]]&lt;&gt;"",ScheduledPayment,"")</f>
        <v>2212.1307964707844</v>
      </c>
      <c r="F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4" s="25">
        <f ca="1">IF(PaymentSchedule3[[#This Row],[Payment Number]]&lt;&gt;"",PaymentSchedule3[[#This Row],[Total
Payment]]-PaymentSchedule3[[#This Row],[Interest]],"")</f>
        <v>386.37016818736197</v>
      </c>
      <c r="I74" s="25">
        <f ca="1">IF(PaymentSchedule3[[#This Row],[Payment Number]]&lt;&gt;"",PaymentSchedule3[[#This Row],[Beginning
Balance]]*(InterestRate/PaymentsPerYear),"")</f>
        <v>1825.7606282834224</v>
      </c>
      <c r="J74" s="25">
        <f ca="1">IF(PaymentSchedule3[[#This Row],[Payment Number]]&lt;&gt;"",IF(PaymentSchedule3[[#This Row],[Scheduled Payment]]+PaymentSchedule3[[#This Row],[Extra
Payment]]&lt;=PaymentSchedule3[[#This Row],[Beginning
Balance]],PaymentSchedule3[[#This Row],[Beginning
Balance]]-PaymentSchedule3[[#This Row],[Principal]],0),"")</f>
        <v>312601.16610897076</v>
      </c>
      <c r="K74" s="25">
        <f ca="1">IF(PaymentSchedule3[[#This Row],[Payment Number]]&lt;&gt;"",SUM(INDEX(PaymentSchedule3[Interest],1,1):PaymentSchedule3[[#This Row],[Interest]]),"")</f>
        <v>115041.14469368846</v>
      </c>
      <c r="L74" s="25">
        <f ca="1">IF(PaymentSchedule3[[#This Row],[Payment Number]]&lt;&gt;"",SUM(INDEX(PaymentSchedule3[Principal],1,1):PaymentSchedule3[[#This Row],[Principal]]),"")</f>
        <v>19898.833891029346</v>
      </c>
    </row>
    <row r="75" spans="2:12" x14ac:dyDescent="0.25">
      <c r="B75" s="23">
        <f ca="1">IF(LoanIsGood,IF(ROW()-ROW(PaymentSchedule3[[#Headers],[Payment Number]])&gt;ScheduledNumberOfPayments,"",ROW()-ROW(PaymentSchedule3[[#Headers],[Payment Number]])),"")</f>
        <v>62</v>
      </c>
      <c r="C75" s="24">
        <f ca="1">IF(PaymentSchedule3[[#This Row],[Payment Number]]&lt;&gt;"",EOMONTH(LoanStartDate,ROW(PaymentSchedule3[[#This Row],[Payment Number]])-ROW(PaymentSchedule3[[#Headers],[Payment Number]])-2)+DAY(LoanStartDate),"")</f>
        <v>47323</v>
      </c>
      <c r="D75" s="25">
        <f ca="1">IF(PaymentSchedule3[[#This Row],[Payment Number]]&lt;&gt;"",IF(ROW()-ROW(PaymentSchedule3[[#Headers],[Beginning
Balance]])=1,LoanAmount,INDEX(PaymentSchedule3[Ending
Balance],ROW()-ROW(PaymentSchedule3[[#Headers],[Beginning
Balance]])-1)),"")</f>
        <v>312601.16610897076</v>
      </c>
      <c r="E75" s="25">
        <f ca="1">IF(PaymentSchedule3[[#This Row],[Payment Number]]&lt;&gt;"",ScheduledPayment,"")</f>
        <v>2212.1307964707844</v>
      </c>
      <c r="F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5" s="25">
        <f ca="1">IF(PaymentSchedule3[[#This Row],[Payment Number]]&lt;&gt;"",PaymentSchedule3[[#This Row],[Total
Payment]]-PaymentSchedule3[[#This Row],[Interest]],"")</f>
        <v>388.62399416845483</v>
      </c>
      <c r="I75" s="25">
        <f ca="1">IF(PaymentSchedule3[[#This Row],[Payment Number]]&lt;&gt;"",PaymentSchedule3[[#This Row],[Beginning
Balance]]*(InterestRate/PaymentsPerYear),"")</f>
        <v>1823.5068023023296</v>
      </c>
      <c r="J75" s="25">
        <f ca="1">IF(PaymentSchedule3[[#This Row],[Payment Number]]&lt;&gt;"",IF(PaymentSchedule3[[#This Row],[Scheduled Payment]]+PaymentSchedule3[[#This Row],[Extra
Payment]]&lt;=PaymentSchedule3[[#This Row],[Beginning
Balance]],PaymentSchedule3[[#This Row],[Beginning
Balance]]-PaymentSchedule3[[#This Row],[Principal]],0),"")</f>
        <v>312212.54211480229</v>
      </c>
      <c r="K75" s="25">
        <f ca="1">IF(PaymentSchedule3[[#This Row],[Payment Number]]&lt;&gt;"",SUM(INDEX(PaymentSchedule3[Interest],1,1):PaymentSchedule3[[#This Row],[Interest]]),"")</f>
        <v>116864.65149599079</v>
      </c>
      <c r="L75" s="25">
        <f ca="1">IF(PaymentSchedule3[[#This Row],[Payment Number]]&lt;&gt;"",SUM(INDEX(PaymentSchedule3[Principal],1,1):PaymentSchedule3[[#This Row],[Principal]]),"")</f>
        <v>20287.4578851978</v>
      </c>
    </row>
    <row r="76" spans="2:12" x14ac:dyDescent="0.25">
      <c r="B76" s="23">
        <f ca="1">IF(LoanIsGood,IF(ROW()-ROW(PaymentSchedule3[[#Headers],[Payment Number]])&gt;ScheduledNumberOfPayments,"",ROW()-ROW(PaymentSchedule3[[#Headers],[Payment Number]])),"")</f>
        <v>63</v>
      </c>
      <c r="C76" s="24">
        <f ca="1">IF(PaymentSchedule3[[#This Row],[Payment Number]]&lt;&gt;"",EOMONTH(LoanStartDate,ROW(PaymentSchedule3[[#This Row],[Payment Number]])-ROW(PaymentSchedule3[[#Headers],[Payment Number]])-2)+DAY(LoanStartDate),"")</f>
        <v>47354</v>
      </c>
      <c r="D76" s="25">
        <f ca="1">IF(PaymentSchedule3[[#This Row],[Payment Number]]&lt;&gt;"",IF(ROW()-ROW(PaymentSchedule3[[#Headers],[Beginning
Balance]])=1,LoanAmount,INDEX(PaymentSchedule3[Ending
Balance],ROW()-ROW(PaymentSchedule3[[#Headers],[Beginning
Balance]])-1)),"")</f>
        <v>312212.54211480229</v>
      </c>
      <c r="E76" s="25">
        <f ca="1">IF(PaymentSchedule3[[#This Row],[Payment Number]]&lt;&gt;"",ScheduledPayment,"")</f>
        <v>2212.1307964707844</v>
      </c>
      <c r="F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6" s="25">
        <f ca="1">IF(PaymentSchedule3[[#This Row],[Payment Number]]&lt;&gt;"",PaymentSchedule3[[#This Row],[Total
Payment]]-PaymentSchedule3[[#This Row],[Interest]],"")</f>
        <v>390.89096746777091</v>
      </c>
      <c r="I76" s="25">
        <f ca="1">IF(PaymentSchedule3[[#This Row],[Payment Number]]&lt;&gt;"",PaymentSchedule3[[#This Row],[Beginning
Balance]]*(InterestRate/PaymentsPerYear),"")</f>
        <v>1821.2398290030135</v>
      </c>
      <c r="J76" s="25">
        <f ca="1">IF(PaymentSchedule3[[#This Row],[Payment Number]]&lt;&gt;"",IF(PaymentSchedule3[[#This Row],[Scheduled Payment]]+PaymentSchedule3[[#This Row],[Extra
Payment]]&lt;=PaymentSchedule3[[#This Row],[Beginning
Balance]],PaymentSchedule3[[#This Row],[Beginning
Balance]]-PaymentSchedule3[[#This Row],[Principal]],0),"")</f>
        <v>311821.65114733449</v>
      </c>
      <c r="K76" s="25">
        <f ca="1">IF(PaymentSchedule3[[#This Row],[Payment Number]]&lt;&gt;"",SUM(INDEX(PaymentSchedule3[Interest],1,1):PaymentSchedule3[[#This Row],[Interest]]),"")</f>
        <v>118685.89132499381</v>
      </c>
      <c r="L76" s="25">
        <f ca="1">IF(PaymentSchedule3[[#This Row],[Payment Number]]&lt;&gt;"",SUM(INDEX(PaymentSchedule3[Principal],1,1):PaymentSchedule3[[#This Row],[Principal]]),"")</f>
        <v>20678.348852665571</v>
      </c>
    </row>
    <row r="77" spans="2:12" x14ac:dyDescent="0.25">
      <c r="B77" s="23">
        <f ca="1">IF(LoanIsGood,IF(ROW()-ROW(PaymentSchedule3[[#Headers],[Payment Number]])&gt;ScheduledNumberOfPayments,"",ROW()-ROW(PaymentSchedule3[[#Headers],[Payment Number]])),"")</f>
        <v>64</v>
      </c>
      <c r="C77" s="24">
        <f ca="1">IF(PaymentSchedule3[[#This Row],[Payment Number]]&lt;&gt;"",EOMONTH(LoanStartDate,ROW(PaymentSchedule3[[#This Row],[Payment Number]])-ROW(PaymentSchedule3[[#Headers],[Payment Number]])-2)+DAY(LoanStartDate),"")</f>
        <v>47385</v>
      </c>
      <c r="D77" s="25">
        <f ca="1">IF(PaymentSchedule3[[#This Row],[Payment Number]]&lt;&gt;"",IF(ROW()-ROW(PaymentSchedule3[[#Headers],[Beginning
Balance]])=1,LoanAmount,INDEX(PaymentSchedule3[Ending
Balance],ROW()-ROW(PaymentSchedule3[[#Headers],[Beginning
Balance]])-1)),"")</f>
        <v>311821.65114733449</v>
      </c>
      <c r="E77" s="25">
        <f ca="1">IF(PaymentSchedule3[[#This Row],[Payment Number]]&lt;&gt;"",ScheduledPayment,"")</f>
        <v>2212.1307964707844</v>
      </c>
      <c r="F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7" s="25">
        <f ca="1">IF(PaymentSchedule3[[#This Row],[Payment Number]]&lt;&gt;"",PaymentSchedule3[[#This Row],[Total
Payment]]-PaymentSchedule3[[#This Row],[Interest]],"")</f>
        <v>393.17116477799982</v>
      </c>
      <c r="I77" s="25">
        <f ca="1">IF(PaymentSchedule3[[#This Row],[Payment Number]]&lt;&gt;"",PaymentSchedule3[[#This Row],[Beginning
Balance]]*(InterestRate/PaymentsPerYear),"")</f>
        <v>1818.9596316927846</v>
      </c>
      <c r="J77" s="25">
        <f ca="1">IF(PaymentSchedule3[[#This Row],[Payment Number]]&lt;&gt;"",IF(PaymentSchedule3[[#This Row],[Scheduled Payment]]+PaymentSchedule3[[#This Row],[Extra
Payment]]&lt;=PaymentSchedule3[[#This Row],[Beginning
Balance]],PaymentSchedule3[[#This Row],[Beginning
Balance]]-PaymentSchedule3[[#This Row],[Principal]],0),"")</f>
        <v>311428.47998255648</v>
      </c>
      <c r="K77" s="25">
        <f ca="1">IF(PaymentSchedule3[[#This Row],[Payment Number]]&lt;&gt;"",SUM(INDEX(PaymentSchedule3[Interest],1,1):PaymentSchedule3[[#This Row],[Interest]]),"")</f>
        <v>120504.85095668658</v>
      </c>
      <c r="L77" s="25">
        <f ca="1">IF(PaymentSchedule3[[#This Row],[Payment Number]]&lt;&gt;"",SUM(INDEX(PaymentSchedule3[Principal],1,1):PaymentSchedule3[[#This Row],[Principal]]),"")</f>
        <v>21071.52001744357</v>
      </c>
    </row>
    <row r="78" spans="2:12" x14ac:dyDescent="0.25">
      <c r="B78" s="23">
        <f ca="1">IF(LoanIsGood,IF(ROW()-ROW(PaymentSchedule3[[#Headers],[Payment Number]])&gt;ScheduledNumberOfPayments,"",ROW()-ROW(PaymentSchedule3[[#Headers],[Payment Number]])),"")</f>
        <v>65</v>
      </c>
      <c r="C78" s="24">
        <f ca="1">IF(PaymentSchedule3[[#This Row],[Payment Number]]&lt;&gt;"",EOMONTH(LoanStartDate,ROW(PaymentSchedule3[[#This Row],[Payment Number]])-ROW(PaymentSchedule3[[#Headers],[Payment Number]])-2)+DAY(LoanStartDate),"")</f>
        <v>47415</v>
      </c>
      <c r="D78" s="25">
        <f ca="1">IF(PaymentSchedule3[[#This Row],[Payment Number]]&lt;&gt;"",IF(ROW()-ROW(PaymentSchedule3[[#Headers],[Beginning
Balance]])=1,LoanAmount,INDEX(PaymentSchedule3[Ending
Balance],ROW()-ROW(PaymentSchedule3[[#Headers],[Beginning
Balance]])-1)),"")</f>
        <v>311428.47998255648</v>
      </c>
      <c r="E78" s="25">
        <f ca="1">IF(PaymentSchedule3[[#This Row],[Payment Number]]&lt;&gt;"",ScheduledPayment,"")</f>
        <v>2212.1307964707844</v>
      </c>
      <c r="F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8" s="25">
        <f ca="1">IF(PaymentSchedule3[[#This Row],[Payment Number]]&lt;&gt;"",PaymentSchedule3[[#This Row],[Total
Payment]]-PaymentSchedule3[[#This Row],[Interest]],"")</f>
        <v>395.46466323920481</v>
      </c>
      <c r="I78" s="25">
        <f ca="1">IF(PaymentSchedule3[[#This Row],[Payment Number]]&lt;&gt;"",PaymentSchedule3[[#This Row],[Beginning
Balance]]*(InterestRate/PaymentsPerYear),"")</f>
        <v>1816.6661332315796</v>
      </c>
      <c r="J78" s="25">
        <f ca="1">IF(PaymentSchedule3[[#This Row],[Payment Number]]&lt;&gt;"",IF(PaymentSchedule3[[#This Row],[Scheduled Payment]]+PaymentSchedule3[[#This Row],[Extra
Payment]]&lt;=PaymentSchedule3[[#This Row],[Beginning
Balance]],PaymentSchedule3[[#This Row],[Beginning
Balance]]-PaymentSchedule3[[#This Row],[Principal]],0),"")</f>
        <v>311033.01531931729</v>
      </c>
      <c r="K78" s="25">
        <f ca="1">IF(PaymentSchedule3[[#This Row],[Payment Number]]&lt;&gt;"",SUM(INDEX(PaymentSchedule3[Interest],1,1):PaymentSchedule3[[#This Row],[Interest]]),"")</f>
        <v>122321.51708991817</v>
      </c>
      <c r="L78" s="25">
        <f ca="1">IF(PaymentSchedule3[[#This Row],[Payment Number]]&lt;&gt;"",SUM(INDEX(PaymentSchedule3[Principal],1,1):PaymentSchedule3[[#This Row],[Principal]]),"")</f>
        <v>21466.984680682774</v>
      </c>
    </row>
    <row r="79" spans="2:12" x14ac:dyDescent="0.25">
      <c r="B79" s="23">
        <f ca="1">IF(LoanIsGood,IF(ROW()-ROW(PaymentSchedule3[[#Headers],[Payment Number]])&gt;ScheduledNumberOfPayments,"",ROW()-ROW(PaymentSchedule3[[#Headers],[Payment Number]])),"")</f>
        <v>66</v>
      </c>
      <c r="C79" s="24">
        <f ca="1">IF(PaymentSchedule3[[#This Row],[Payment Number]]&lt;&gt;"",EOMONTH(LoanStartDate,ROW(PaymentSchedule3[[#This Row],[Payment Number]])-ROW(PaymentSchedule3[[#Headers],[Payment Number]])-2)+DAY(LoanStartDate),"")</f>
        <v>47446</v>
      </c>
      <c r="D79" s="25">
        <f ca="1">IF(PaymentSchedule3[[#This Row],[Payment Number]]&lt;&gt;"",IF(ROW()-ROW(PaymentSchedule3[[#Headers],[Beginning
Balance]])=1,LoanAmount,INDEX(PaymentSchedule3[Ending
Balance],ROW()-ROW(PaymentSchedule3[[#Headers],[Beginning
Balance]])-1)),"")</f>
        <v>311033.01531931729</v>
      </c>
      <c r="E79" s="25">
        <f ca="1">IF(PaymentSchedule3[[#This Row],[Payment Number]]&lt;&gt;"",ScheduledPayment,"")</f>
        <v>2212.1307964707844</v>
      </c>
      <c r="F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79" s="25">
        <f ca="1">IF(PaymentSchedule3[[#This Row],[Payment Number]]&lt;&gt;"",PaymentSchedule3[[#This Row],[Total
Payment]]-PaymentSchedule3[[#This Row],[Interest]],"")</f>
        <v>397.77154044143344</v>
      </c>
      <c r="I79" s="25">
        <f ca="1">IF(PaymentSchedule3[[#This Row],[Payment Number]]&lt;&gt;"",PaymentSchedule3[[#This Row],[Beginning
Balance]]*(InterestRate/PaymentsPerYear),"")</f>
        <v>1814.3592560293509</v>
      </c>
      <c r="J79" s="25">
        <f ca="1">IF(PaymentSchedule3[[#This Row],[Payment Number]]&lt;&gt;"",IF(PaymentSchedule3[[#This Row],[Scheduled Payment]]+PaymentSchedule3[[#This Row],[Extra
Payment]]&lt;=PaymentSchedule3[[#This Row],[Beginning
Balance]],PaymentSchedule3[[#This Row],[Beginning
Balance]]-PaymentSchedule3[[#This Row],[Principal]],0),"")</f>
        <v>310635.24377887585</v>
      </c>
      <c r="K79" s="25">
        <f ca="1">IF(PaymentSchedule3[[#This Row],[Payment Number]]&lt;&gt;"",SUM(INDEX(PaymentSchedule3[Interest],1,1):PaymentSchedule3[[#This Row],[Interest]]),"")</f>
        <v>124135.87634594752</v>
      </c>
      <c r="L79" s="25">
        <f ca="1">IF(PaymentSchedule3[[#This Row],[Payment Number]]&lt;&gt;"",SUM(INDEX(PaymentSchedule3[Principal],1,1):PaymentSchedule3[[#This Row],[Principal]]),"")</f>
        <v>21864.756221124208</v>
      </c>
    </row>
    <row r="80" spans="2:12" x14ac:dyDescent="0.25">
      <c r="B80" s="23">
        <f ca="1">IF(LoanIsGood,IF(ROW()-ROW(PaymentSchedule3[[#Headers],[Payment Number]])&gt;ScheduledNumberOfPayments,"",ROW()-ROW(PaymentSchedule3[[#Headers],[Payment Number]])),"")</f>
        <v>67</v>
      </c>
      <c r="C80" s="24">
        <f ca="1">IF(PaymentSchedule3[[#This Row],[Payment Number]]&lt;&gt;"",EOMONTH(LoanStartDate,ROW(PaymentSchedule3[[#This Row],[Payment Number]])-ROW(PaymentSchedule3[[#Headers],[Payment Number]])-2)+DAY(LoanStartDate),"")</f>
        <v>47476</v>
      </c>
      <c r="D80" s="25">
        <f ca="1">IF(PaymentSchedule3[[#This Row],[Payment Number]]&lt;&gt;"",IF(ROW()-ROW(PaymentSchedule3[[#Headers],[Beginning
Balance]])=1,LoanAmount,INDEX(PaymentSchedule3[Ending
Balance],ROW()-ROW(PaymentSchedule3[[#Headers],[Beginning
Balance]])-1)),"")</f>
        <v>310635.24377887585</v>
      </c>
      <c r="E80" s="25">
        <f ca="1">IF(PaymentSchedule3[[#This Row],[Payment Number]]&lt;&gt;"",ScheduledPayment,"")</f>
        <v>2212.1307964707844</v>
      </c>
      <c r="F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0" s="25">
        <f ca="1">IF(PaymentSchedule3[[#This Row],[Payment Number]]&lt;&gt;"",PaymentSchedule3[[#This Row],[Total
Payment]]-PaymentSchedule3[[#This Row],[Interest]],"")</f>
        <v>400.09187442734174</v>
      </c>
      <c r="I80" s="25">
        <f ca="1">IF(PaymentSchedule3[[#This Row],[Payment Number]]&lt;&gt;"",PaymentSchedule3[[#This Row],[Beginning
Balance]]*(InterestRate/PaymentsPerYear),"")</f>
        <v>1812.0389220434427</v>
      </c>
      <c r="J80" s="25">
        <f ca="1">IF(PaymentSchedule3[[#This Row],[Payment Number]]&lt;&gt;"",IF(PaymentSchedule3[[#This Row],[Scheduled Payment]]+PaymentSchedule3[[#This Row],[Extra
Payment]]&lt;=PaymentSchedule3[[#This Row],[Beginning
Balance]],PaymentSchedule3[[#This Row],[Beginning
Balance]]-PaymentSchedule3[[#This Row],[Principal]],0),"")</f>
        <v>310235.15190444852</v>
      </c>
      <c r="K80" s="25">
        <f ca="1">IF(PaymentSchedule3[[#This Row],[Payment Number]]&lt;&gt;"",SUM(INDEX(PaymentSchedule3[Interest],1,1):PaymentSchedule3[[#This Row],[Interest]]),"")</f>
        <v>125947.91526799096</v>
      </c>
      <c r="L80" s="25">
        <f ca="1">IF(PaymentSchedule3[[#This Row],[Payment Number]]&lt;&gt;"",SUM(INDEX(PaymentSchedule3[Principal],1,1):PaymentSchedule3[[#This Row],[Principal]]),"")</f>
        <v>22264.848095551548</v>
      </c>
    </row>
    <row r="81" spans="2:12" x14ac:dyDescent="0.25">
      <c r="B81" s="23">
        <f ca="1">IF(LoanIsGood,IF(ROW()-ROW(PaymentSchedule3[[#Headers],[Payment Number]])&gt;ScheduledNumberOfPayments,"",ROW()-ROW(PaymentSchedule3[[#Headers],[Payment Number]])),"")</f>
        <v>68</v>
      </c>
      <c r="C81" s="24">
        <f ca="1">IF(PaymentSchedule3[[#This Row],[Payment Number]]&lt;&gt;"",EOMONTH(LoanStartDate,ROW(PaymentSchedule3[[#This Row],[Payment Number]])-ROW(PaymentSchedule3[[#Headers],[Payment Number]])-2)+DAY(LoanStartDate),"")</f>
        <v>47507</v>
      </c>
      <c r="D81" s="25">
        <f ca="1">IF(PaymentSchedule3[[#This Row],[Payment Number]]&lt;&gt;"",IF(ROW()-ROW(PaymentSchedule3[[#Headers],[Beginning
Balance]])=1,LoanAmount,INDEX(PaymentSchedule3[Ending
Balance],ROW()-ROW(PaymentSchedule3[[#Headers],[Beginning
Balance]])-1)),"")</f>
        <v>310235.15190444852</v>
      </c>
      <c r="E81" s="25">
        <f ca="1">IF(PaymentSchedule3[[#This Row],[Payment Number]]&lt;&gt;"",ScheduledPayment,"")</f>
        <v>2212.1307964707844</v>
      </c>
      <c r="F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1" s="25">
        <f ca="1">IF(PaymentSchedule3[[#This Row],[Payment Number]]&lt;&gt;"",PaymentSchedule3[[#This Row],[Total
Payment]]-PaymentSchedule3[[#This Row],[Interest]],"")</f>
        <v>402.42574369483464</v>
      </c>
      <c r="I81" s="25">
        <f ca="1">IF(PaymentSchedule3[[#This Row],[Payment Number]]&lt;&gt;"",PaymentSchedule3[[#This Row],[Beginning
Balance]]*(InterestRate/PaymentsPerYear),"")</f>
        <v>1809.7050527759498</v>
      </c>
      <c r="J81" s="25">
        <f ca="1">IF(PaymentSchedule3[[#This Row],[Payment Number]]&lt;&gt;"",IF(PaymentSchedule3[[#This Row],[Scheduled Payment]]+PaymentSchedule3[[#This Row],[Extra
Payment]]&lt;=PaymentSchedule3[[#This Row],[Beginning
Balance]],PaymentSchedule3[[#This Row],[Beginning
Balance]]-PaymentSchedule3[[#This Row],[Principal]],0),"")</f>
        <v>309832.72616075369</v>
      </c>
      <c r="K81" s="25">
        <f ca="1">IF(PaymentSchedule3[[#This Row],[Payment Number]]&lt;&gt;"",SUM(INDEX(PaymentSchedule3[Interest],1,1):PaymentSchedule3[[#This Row],[Interest]]),"")</f>
        <v>127757.62032076692</v>
      </c>
      <c r="L81" s="25">
        <f ca="1">IF(PaymentSchedule3[[#This Row],[Payment Number]]&lt;&gt;"",SUM(INDEX(PaymentSchedule3[Principal],1,1):PaymentSchedule3[[#This Row],[Principal]]),"")</f>
        <v>22667.273839246383</v>
      </c>
    </row>
    <row r="82" spans="2:12" x14ac:dyDescent="0.25">
      <c r="B82" s="23">
        <f ca="1">IF(LoanIsGood,IF(ROW()-ROW(PaymentSchedule3[[#Headers],[Payment Number]])&gt;ScheduledNumberOfPayments,"",ROW()-ROW(PaymentSchedule3[[#Headers],[Payment Number]])),"")</f>
        <v>69</v>
      </c>
      <c r="C82" s="24">
        <f ca="1">IF(PaymentSchedule3[[#This Row],[Payment Number]]&lt;&gt;"",EOMONTH(LoanStartDate,ROW(PaymentSchedule3[[#This Row],[Payment Number]])-ROW(PaymentSchedule3[[#Headers],[Payment Number]])-2)+DAY(LoanStartDate),"")</f>
        <v>47538</v>
      </c>
      <c r="D82" s="25">
        <f ca="1">IF(PaymentSchedule3[[#This Row],[Payment Number]]&lt;&gt;"",IF(ROW()-ROW(PaymentSchedule3[[#Headers],[Beginning
Balance]])=1,LoanAmount,INDEX(PaymentSchedule3[Ending
Balance],ROW()-ROW(PaymentSchedule3[[#Headers],[Beginning
Balance]])-1)),"")</f>
        <v>309832.72616075369</v>
      </c>
      <c r="E82" s="25">
        <f ca="1">IF(PaymentSchedule3[[#This Row],[Payment Number]]&lt;&gt;"",ScheduledPayment,"")</f>
        <v>2212.1307964707844</v>
      </c>
      <c r="F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2" s="25">
        <f ca="1">IF(PaymentSchedule3[[#This Row],[Payment Number]]&lt;&gt;"",PaymentSchedule3[[#This Row],[Total
Payment]]-PaymentSchedule3[[#This Row],[Interest]],"")</f>
        <v>404.77322719972108</v>
      </c>
      <c r="I82" s="25">
        <f ca="1">IF(PaymentSchedule3[[#This Row],[Payment Number]]&lt;&gt;"",PaymentSchedule3[[#This Row],[Beginning
Balance]]*(InterestRate/PaymentsPerYear),"")</f>
        <v>1807.3575692710633</v>
      </c>
      <c r="J82" s="25">
        <f ca="1">IF(PaymentSchedule3[[#This Row],[Payment Number]]&lt;&gt;"",IF(PaymentSchedule3[[#This Row],[Scheduled Payment]]+PaymentSchedule3[[#This Row],[Extra
Payment]]&lt;=PaymentSchedule3[[#This Row],[Beginning
Balance]],PaymentSchedule3[[#This Row],[Beginning
Balance]]-PaymentSchedule3[[#This Row],[Principal]],0),"")</f>
        <v>309427.95293355396</v>
      </c>
      <c r="K82" s="25">
        <f ca="1">IF(PaymentSchedule3[[#This Row],[Payment Number]]&lt;&gt;"",SUM(INDEX(PaymentSchedule3[Interest],1,1):PaymentSchedule3[[#This Row],[Interest]]),"")</f>
        <v>129564.97789003798</v>
      </c>
      <c r="L82" s="25">
        <f ca="1">IF(PaymentSchedule3[[#This Row],[Payment Number]]&lt;&gt;"",SUM(INDEX(PaymentSchedule3[Principal],1,1):PaymentSchedule3[[#This Row],[Principal]]),"")</f>
        <v>23072.047066446103</v>
      </c>
    </row>
    <row r="83" spans="2:12" x14ac:dyDescent="0.25">
      <c r="B83" s="23">
        <f ca="1">IF(LoanIsGood,IF(ROW()-ROW(PaymentSchedule3[[#Headers],[Payment Number]])&gt;ScheduledNumberOfPayments,"",ROW()-ROW(PaymentSchedule3[[#Headers],[Payment Number]])),"")</f>
        <v>70</v>
      </c>
      <c r="C83" s="24">
        <f ca="1">IF(PaymentSchedule3[[#This Row],[Payment Number]]&lt;&gt;"",EOMONTH(LoanStartDate,ROW(PaymentSchedule3[[#This Row],[Payment Number]])-ROW(PaymentSchedule3[[#Headers],[Payment Number]])-2)+DAY(LoanStartDate),"")</f>
        <v>47566</v>
      </c>
      <c r="D83" s="25">
        <f ca="1">IF(PaymentSchedule3[[#This Row],[Payment Number]]&lt;&gt;"",IF(ROW()-ROW(PaymentSchedule3[[#Headers],[Beginning
Balance]])=1,LoanAmount,INDEX(PaymentSchedule3[Ending
Balance],ROW()-ROW(PaymentSchedule3[[#Headers],[Beginning
Balance]])-1)),"")</f>
        <v>309427.95293355396</v>
      </c>
      <c r="E83" s="25">
        <f ca="1">IF(PaymentSchedule3[[#This Row],[Payment Number]]&lt;&gt;"",ScheduledPayment,"")</f>
        <v>2212.1307964707844</v>
      </c>
      <c r="F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3" s="25">
        <f ca="1">IF(PaymentSchedule3[[#This Row],[Payment Number]]&lt;&gt;"",PaymentSchedule3[[#This Row],[Total
Payment]]-PaymentSchedule3[[#This Row],[Interest]],"")</f>
        <v>407.13440435838629</v>
      </c>
      <c r="I83" s="25">
        <f ca="1">IF(PaymentSchedule3[[#This Row],[Payment Number]]&lt;&gt;"",PaymentSchedule3[[#This Row],[Beginning
Balance]]*(InterestRate/PaymentsPerYear),"")</f>
        <v>1804.9963921123981</v>
      </c>
      <c r="J83" s="25">
        <f ca="1">IF(PaymentSchedule3[[#This Row],[Payment Number]]&lt;&gt;"",IF(PaymentSchedule3[[#This Row],[Scheduled Payment]]+PaymentSchedule3[[#This Row],[Extra
Payment]]&lt;=PaymentSchedule3[[#This Row],[Beginning
Balance]],PaymentSchedule3[[#This Row],[Beginning
Balance]]-PaymentSchedule3[[#This Row],[Principal]],0),"")</f>
        <v>309020.81852919556</v>
      </c>
      <c r="K83" s="25">
        <f ca="1">IF(PaymentSchedule3[[#This Row],[Payment Number]]&lt;&gt;"",SUM(INDEX(PaymentSchedule3[Interest],1,1):PaymentSchedule3[[#This Row],[Interest]]),"")</f>
        <v>131369.97428215036</v>
      </c>
      <c r="L83" s="25">
        <f ca="1">IF(PaymentSchedule3[[#This Row],[Payment Number]]&lt;&gt;"",SUM(INDEX(PaymentSchedule3[Principal],1,1):PaymentSchedule3[[#This Row],[Principal]]),"")</f>
        <v>23479.181470804488</v>
      </c>
    </row>
    <row r="84" spans="2:12" x14ac:dyDescent="0.25">
      <c r="B84" s="23">
        <f ca="1">IF(LoanIsGood,IF(ROW()-ROW(PaymentSchedule3[[#Headers],[Payment Number]])&gt;ScheduledNumberOfPayments,"",ROW()-ROW(PaymentSchedule3[[#Headers],[Payment Number]])),"")</f>
        <v>71</v>
      </c>
      <c r="C84" s="24">
        <f ca="1">IF(PaymentSchedule3[[#This Row],[Payment Number]]&lt;&gt;"",EOMONTH(LoanStartDate,ROW(PaymentSchedule3[[#This Row],[Payment Number]])-ROW(PaymentSchedule3[[#Headers],[Payment Number]])-2)+DAY(LoanStartDate),"")</f>
        <v>47597</v>
      </c>
      <c r="D84" s="25">
        <f ca="1">IF(PaymentSchedule3[[#This Row],[Payment Number]]&lt;&gt;"",IF(ROW()-ROW(PaymentSchedule3[[#Headers],[Beginning
Balance]])=1,LoanAmount,INDEX(PaymentSchedule3[Ending
Balance],ROW()-ROW(PaymentSchedule3[[#Headers],[Beginning
Balance]])-1)),"")</f>
        <v>309020.81852919556</v>
      </c>
      <c r="E84" s="25">
        <f ca="1">IF(PaymentSchedule3[[#This Row],[Payment Number]]&lt;&gt;"",ScheduledPayment,"")</f>
        <v>2212.1307964707844</v>
      </c>
      <c r="F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4" s="25">
        <f ca="1">IF(PaymentSchedule3[[#This Row],[Payment Number]]&lt;&gt;"",PaymentSchedule3[[#This Row],[Total
Payment]]-PaymentSchedule3[[#This Row],[Interest]],"")</f>
        <v>409.50935505047687</v>
      </c>
      <c r="I84" s="25">
        <f ca="1">IF(PaymentSchedule3[[#This Row],[Payment Number]]&lt;&gt;"",PaymentSchedule3[[#This Row],[Beginning
Balance]]*(InterestRate/PaymentsPerYear),"")</f>
        <v>1802.6214414203075</v>
      </c>
      <c r="J84" s="25">
        <f ca="1">IF(PaymentSchedule3[[#This Row],[Payment Number]]&lt;&gt;"",IF(PaymentSchedule3[[#This Row],[Scheduled Payment]]+PaymentSchedule3[[#This Row],[Extra
Payment]]&lt;=PaymentSchedule3[[#This Row],[Beginning
Balance]],PaymentSchedule3[[#This Row],[Beginning
Balance]]-PaymentSchedule3[[#This Row],[Principal]],0),"")</f>
        <v>308611.30917414511</v>
      </c>
      <c r="K84" s="25">
        <f ca="1">IF(PaymentSchedule3[[#This Row],[Payment Number]]&lt;&gt;"",SUM(INDEX(PaymentSchedule3[Interest],1,1):PaymentSchedule3[[#This Row],[Interest]]),"")</f>
        <v>133172.59572357067</v>
      </c>
      <c r="L84" s="25">
        <f ca="1">IF(PaymentSchedule3[[#This Row],[Payment Number]]&lt;&gt;"",SUM(INDEX(PaymentSchedule3[Principal],1,1):PaymentSchedule3[[#This Row],[Principal]]),"")</f>
        <v>23888.690825854963</v>
      </c>
    </row>
    <row r="85" spans="2:12" x14ac:dyDescent="0.25">
      <c r="B85" s="23">
        <f ca="1">IF(LoanIsGood,IF(ROW()-ROW(PaymentSchedule3[[#Headers],[Payment Number]])&gt;ScheduledNumberOfPayments,"",ROW()-ROW(PaymentSchedule3[[#Headers],[Payment Number]])),"")</f>
        <v>72</v>
      </c>
      <c r="C85" s="24">
        <f ca="1">IF(PaymentSchedule3[[#This Row],[Payment Number]]&lt;&gt;"",EOMONTH(LoanStartDate,ROW(PaymentSchedule3[[#This Row],[Payment Number]])-ROW(PaymentSchedule3[[#Headers],[Payment Number]])-2)+DAY(LoanStartDate),"")</f>
        <v>47627</v>
      </c>
      <c r="D85" s="25">
        <f ca="1">IF(PaymentSchedule3[[#This Row],[Payment Number]]&lt;&gt;"",IF(ROW()-ROW(PaymentSchedule3[[#Headers],[Beginning
Balance]])=1,LoanAmount,INDEX(PaymentSchedule3[Ending
Balance],ROW()-ROW(PaymentSchedule3[[#Headers],[Beginning
Balance]])-1)),"")</f>
        <v>308611.30917414511</v>
      </c>
      <c r="E85" s="25">
        <f ca="1">IF(PaymentSchedule3[[#This Row],[Payment Number]]&lt;&gt;"",ScheduledPayment,"")</f>
        <v>2212.1307964707844</v>
      </c>
      <c r="F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5" s="25">
        <f ca="1">IF(PaymentSchedule3[[#This Row],[Payment Number]]&lt;&gt;"",PaymentSchedule3[[#This Row],[Total
Payment]]-PaymentSchedule3[[#This Row],[Interest]],"")</f>
        <v>411.89815962160446</v>
      </c>
      <c r="I85" s="25">
        <f ca="1">IF(PaymentSchedule3[[#This Row],[Payment Number]]&lt;&gt;"",PaymentSchedule3[[#This Row],[Beginning
Balance]]*(InterestRate/PaymentsPerYear),"")</f>
        <v>1800.2326368491799</v>
      </c>
      <c r="J85" s="25">
        <f ca="1">IF(PaymentSchedule3[[#This Row],[Payment Number]]&lt;&gt;"",IF(PaymentSchedule3[[#This Row],[Scheduled Payment]]+PaymentSchedule3[[#This Row],[Extra
Payment]]&lt;=PaymentSchedule3[[#This Row],[Beginning
Balance]],PaymentSchedule3[[#This Row],[Beginning
Balance]]-PaymentSchedule3[[#This Row],[Principal]],0),"")</f>
        <v>308199.41101452347</v>
      </c>
      <c r="K85" s="25">
        <f ca="1">IF(PaymentSchedule3[[#This Row],[Payment Number]]&lt;&gt;"",SUM(INDEX(PaymentSchedule3[Interest],1,1):PaymentSchedule3[[#This Row],[Interest]]),"")</f>
        <v>134972.82836041987</v>
      </c>
      <c r="L85" s="25">
        <f ca="1">IF(PaymentSchedule3[[#This Row],[Payment Number]]&lt;&gt;"",SUM(INDEX(PaymentSchedule3[Principal],1,1):PaymentSchedule3[[#This Row],[Principal]]),"")</f>
        <v>24300.588985476566</v>
      </c>
    </row>
    <row r="86" spans="2:12" x14ac:dyDescent="0.25">
      <c r="B86" s="23">
        <f ca="1">IF(LoanIsGood,IF(ROW()-ROW(PaymentSchedule3[[#Headers],[Payment Number]])&gt;ScheduledNumberOfPayments,"",ROW()-ROW(PaymentSchedule3[[#Headers],[Payment Number]])),"")</f>
        <v>73</v>
      </c>
      <c r="C86" s="24">
        <f ca="1">IF(PaymentSchedule3[[#This Row],[Payment Number]]&lt;&gt;"",EOMONTH(LoanStartDate,ROW(PaymentSchedule3[[#This Row],[Payment Number]])-ROW(PaymentSchedule3[[#Headers],[Payment Number]])-2)+DAY(LoanStartDate),"")</f>
        <v>47658</v>
      </c>
      <c r="D86" s="25">
        <f ca="1">IF(PaymentSchedule3[[#This Row],[Payment Number]]&lt;&gt;"",IF(ROW()-ROW(PaymentSchedule3[[#Headers],[Beginning
Balance]])=1,LoanAmount,INDEX(PaymentSchedule3[Ending
Balance],ROW()-ROW(PaymentSchedule3[[#Headers],[Beginning
Balance]])-1)),"")</f>
        <v>308199.41101452347</v>
      </c>
      <c r="E86" s="25">
        <f ca="1">IF(PaymentSchedule3[[#This Row],[Payment Number]]&lt;&gt;"",ScheduledPayment,"")</f>
        <v>2212.1307964707844</v>
      </c>
      <c r="F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6" s="25">
        <f ca="1">IF(PaymentSchedule3[[#This Row],[Payment Number]]&lt;&gt;"",PaymentSchedule3[[#This Row],[Total
Payment]]-PaymentSchedule3[[#This Row],[Interest]],"")</f>
        <v>414.30089888606403</v>
      </c>
      <c r="I86" s="25">
        <f ca="1">IF(PaymentSchedule3[[#This Row],[Payment Number]]&lt;&gt;"",PaymentSchedule3[[#This Row],[Beginning
Balance]]*(InterestRate/PaymentsPerYear),"")</f>
        <v>1797.8298975847204</v>
      </c>
      <c r="J86" s="25">
        <f ca="1">IF(PaymentSchedule3[[#This Row],[Payment Number]]&lt;&gt;"",IF(PaymentSchedule3[[#This Row],[Scheduled Payment]]+PaymentSchedule3[[#This Row],[Extra
Payment]]&lt;=PaymentSchedule3[[#This Row],[Beginning
Balance]],PaymentSchedule3[[#This Row],[Beginning
Balance]]-PaymentSchedule3[[#This Row],[Principal]],0),"")</f>
        <v>307785.11011563742</v>
      </c>
      <c r="K86" s="25">
        <f ca="1">IF(PaymentSchedule3[[#This Row],[Payment Number]]&lt;&gt;"",SUM(INDEX(PaymentSchedule3[Interest],1,1):PaymentSchedule3[[#This Row],[Interest]]),"")</f>
        <v>136770.65825800458</v>
      </c>
      <c r="L86" s="25">
        <f ca="1">IF(PaymentSchedule3[[#This Row],[Payment Number]]&lt;&gt;"",SUM(INDEX(PaymentSchedule3[Principal],1,1):PaymentSchedule3[[#This Row],[Principal]]),"")</f>
        <v>24714.88988436263</v>
      </c>
    </row>
    <row r="87" spans="2:12" x14ac:dyDescent="0.25">
      <c r="B87" s="23">
        <f ca="1">IF(LoanIsGood,IF(ROW()-ROW(PaymentSchedule3[[#Headers],[Payment Number]])&gt;ScheduledNumberOfPayments,"",ROW()-ROW(PaymentSchedule3[[#Headers],[Payment Number]])),"")</f>
        <v>74</v>
      </c>
      <c r="C87" s="24">
        <f ca="1">IF(PaymentSchedule3[[#This Row],[Payment Number]]&lt;&gt;"",EOMONTH(LoanStartDate,ROW(PaymentSchedule3[[#This Row],[Payment Number]])-ROW(PaymentSchedule3[[#Headers],[Payment Number]])-2)+DAY(LoanStartDate),"")</f>
        <v>47688</v>
      </c>
      <c r="D87" s="25">
        <f ca="1">IF(PaymentSchedule3[[#This Row],[Payment Number]]&lt;&gt;"",IF(ROW()-ROW(PaymentSchedule3[[#Headers],[Beginning
Balance]])=1,LoanAmount,INDEX(PaymentSchedule3[Ending
Balance],ROW()-ROW(PaymentSchedule3[[#Headers],[Beginning
Balance]])-1)),"")</f>
        <v>307785.11011563742</v>
      </c>
      <c r="E87" s="25">
        <f ca="1">IF(PaymentSchedule3[[#This Row],[Payment Number]]&lt;&gt;"",ScheduledPayment,"")</f>
        <v>2212.1307964707844</v>
      </c>
      <c r="F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7" s="25">
        <f ca="1">IF(PaymentSchedule3[[#This Row],[Payment Number]]&lt;&gt;"",PaymentSchedule3[[#This Row],[Total
Payment]]-PaymentSchedule3[[#This Row],[Interest]],"")</f>
        <v>416.71765412956597</v>
      </c>
      <c r="I87" s="25">
        <f ca="1">IF(PaymentSchedule3[[#This Row],[Payment Number]]&lt;&gt;"",PaymentSchedule3[[#This Row],[Beginning
Balance]]*(InterestRate/PaymentsPerYear),"")</f>
        <v>1795.4131423412184</v>
      </c>
      <c r="J87" s="25">
        <f ca="1">IF(PaymentSchedule3[[#This Row],[Payment Number]]&lt;&gt;"",IF(PaymentSchedule3[[#This Row],[Scheduled Payment]]+PaymentSchedule3[[#This Row],[Extra
Payment]]&lt;=PaymentSchedule3[[#This Row],[Beginning
Balance]],PaymentSchedule3[[#This Row],[Beginning
Balance]]-PaymentSchedule3[[#This Row],[Principal]],0),"")</f>
        <v>307368.39246150787</v>
      </c>
      <c r="K87" s="25">
        <f ca="1">IF(PaymentSchedule3[[#This Row],[Payment Number]]&lt;&gt;"",SUM(INDEX(PaymentSchedule3[Interest],1,1):PaymentSchedule3[[#This Row],[Interest]]),"")</f>
        <v>138566.0714003458</v>
      </c>
      <c r="L87" s="25">
        <f ca="1">IF(PaymentSchedule3[[#This Row],[Payment Number]]&lt;&gt;"",SUM(INDEX(PaymentSchedule3[Principal],1,1):PaymentSchedule3[[#This Row],[Principal]]),"")</f>
        <v>25131.607538492197</v>
      </c>
    </row>
    <row r="88" spans="2:12" x14ac:dyDescent="0.25">
      <c r="B88" s="23">
        <f ca="1">IF(LoanIsGood,IF(ROW()-ROW(PaymentSchedule3[[#Headers],[Payment Number]])&gt;ScheduledNumberOfPayments,"",ROW()-ROW(PaymentSchedule3[[#Headers],[Payment Number]])),"")</f>
        <v>75</v>
      </c>
      <c r="C88" s="24">
        <f ca="1">IF(PaymentSchedule3[[#This Row],[Payment Number]]&lt;&gt;"",EOMONTH(LoanStartDate,ROW(PaymentSchedule3[[#This Row],[Payment Number]])-ROW(PaymentSchedule3[[#Headers],[Payment Number]])-2)+DAY(LoanStartDate),"")</f>
        <v>47719</v>
      </c>
      <c r="D88" s="25">
        <f ca="1">IF(PaymentSchedule3[[#This Row],[Payment Number]]&lt;&gt;"",IF(ROW()-ROW(PaymentSchedule3[[#Headers],[Beginning
Balance]])=1,LoanAmount,INDEX(PaymentSchedule3[Ending
Balance],ROW()-ROW(PaymentSchedule3[[#Headers],[Beginning
Balance]])-1)),"")</f>
        <v>307368.39246150787</v>
      </c>
      <c r="E88" s="25">
        <f ca="1">IF(PaymentSchedule3[[#This Row],[Payment Number]]&lt;&gt;"",ScheduledPayment,"")</f>
        <v>2212.1307964707844</v>
      </c>
      <c r="F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8" s="25">
        <f ca="1">IF(PaymentSchedule3[[#This Row],[Payment Number]]&lt;&gt;"",PaymentSchedule3[[#This Row],[Total
Payment]]-PaymentSchedule3[[#This Row],[Interest]],"")</f>
        <v>419.14850711198847</v>
      </c>
      <c r="I88" s="25">
        <f ca="1">IF(PaymentSchedule3[[#This Row],[Payment Number]]&lt;&gt;"",PaymentSchedule3[[#This Row],[Beginning
Balance]]*(InterestRate/PaymentsPerYear),"")</f>
        <v>1792.9822893587959</v>
      </c>
      <c r="J88" s="25">
        <f ca="1">IF(PaymentSchedule3[[#This Row],[Payment Number]]&lt;&gt;"",IF(PaymentSchedule3[[#This Row],[Scheduled Payment]]+PaymentSchedule3[[#This Row],[Extra
Payment]]&lt;=PaymentSchedule3[[#This Row],[Beginning
Balance]],PaymentSchedule3[[#This Row],[Beginning
Balance]]-PaymentSchedule3[[#This Row],[Principal]],0),"")</f>
        <v>306949.24395439588</v>
      </c>
      <c r="K88" s="25">
        <f ca="1">IF(PaymentSchedule3[[#This Row],[Payment Number]]&lt;&gt;"",SUM(INDEX(PaymentSchedule3[Interest],1,1):PaymentSchedule3[[#This Row],[Interest]]),"")</f>
        <v>140359.0536897046</v>
      </c>
      <c r="L88" s="25">
        <f ca="1">IF(PaymentSchedule3[[#This Row],[Payment Number]]&lt;&gt;"",SUM(INDEX(PaymentSchedule3[Principal],1,1):PaymentSchedule3[[#This Row],[Principal]]),"")</f>
        <v>25550.756045604187</v>
      </c>
    </row>
    <row r="89" spans="2:12" x14ac:dyDescent="0.25">
      <c r="B89" s="23">
        <f ca="1">IF(LoanIsGood,IF(ROW()-ROW(PaymentSchedule3[[#Headers],[Payment Number]])&gt;ScheduledNumberOfPayments,"",ROW()-ROW(PaymentSchedule3[[#Headers],[Payment Number]])),"")</f>
        <v>76</v>
      </c>
      <c r="C89" s="24">
        <f ca="1">IF(PaymentSchedule3[[#This Row],[Payment Number]]&lt;&gt;"",EOMONTH(LoanStartDate,ROW(PaymentSchedule3[[#This Row],[Payment Number]])-ROW(PaymentSchedule3[[#Headers],[Payment Number]])-2)+DAY(LoanStartDate),"")</f>
        <v>47750</v>
      </c>
      <c r="D89" s="25">
        <f ca="1">IF(PaymentSchedule3[[#This Row],[Payment Number]]&lt;&gt;"",IF(ROW()-ROW(PaymentSchedule3[[#Headers],[Beginning
Balance]])=1,LoanAmount,INDEX(PaymentSchedule3[Ending
Balance],ROW()-ROW(PaymentSchedule3[[#Headers],[Beginning
Balance]])-1)),"")</f>
        <v>306949.24395439588</v>
      </c>
      <c r="E89" s="25">
        <f ca="1">IF(PaymentSchedule3[[#This Row],[Payment Number]]&lt;&gt;"",ScheduledPayment,"")</f>
        <v>2212.1307964707844</v>
      </c>
      <c r="F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89" s="25">
        <f ca="1">IF(PaymentSchedule3[[#This Row],[Payment Number]]&lt;&gt;"",PaymentSchedule3[[#This Row],[Total
Payment]]-PaymentSchedule3[[#This Row],[Interest]],"")</f>
        <v>421.59354007014167</v>
      </c>
      <c r="I89" s="25">
        <f ca="1">IF(PaymentSchedule3[[#This Row],[Payment Number]]&lt;&gt;"",PaymentSchedule3[[#This Row],[Beginning
Balance]]*(InterestRate/PaymentsPerYear),"")</f>
        <v>1790.5372564006427</v>
      </c>
      <c r="J89" s="25">
        <f ca="1">IF(PaymentSchedule3[[#This Row],[Payment Number]]&lt;&gt;"",IF(PaymentSchedule3[[#This Row],[Scheduled Payment]]+PaymentSchedule3[[#This Row],[Extra
Payment]]&lt;=PaymentSchedule3[[#This Row],[Beginning
Balance]],PaymentSchedule3[[#This Row],[Beginning
Balance]]-PaymentSchedule3[[#This Row],[Principal]],0),"")</f>
        <v>306527.65041432576</v>
      </c>
      <c r="K89" s="25">
        <f ca="1">IF(PaymentSchedule3[[#This Row],[Payment Number]]&lt;&gt;"",SUM(INDEX(PaymentSchedule3[Interest],1,1):PaymentSchedule3[[#This Row],[Interest]]),"")</f>
        <v>142149.59094610525</v>
      </c>
      <c r="L89" s="25">
        <f ca="1">IF(PaymentSchedule3[[#This Row],[Payment Number]]&lt;&gt;"",SUM(INDEX(PaymentSchedule3[Principal],1,1):PaymentSchedule3[[#This Row],[Principal]]),"")</f>
        <v>25972.349585674328</v>
      </c>
    </row>
    <row r="90" spans="2:12" x14ac:dyDescent="0.25">
      <c r="B90" s="23">
        <f ca="1">IF(LoanIsGood,IF(ROW()-ROW(PaymentSchedule3[[#Headers],[Payment Number]])&gt;ScheduledNumberOfPayments,"",ROW()-ROW(PaymentSchedule3[[#Headers],[Payment Number]])),"")</f>
        <v>77</v>
      </c>
      <c r="C90" s="24">
        <f ca="1">IF(PaymentSchedule3[[#This Row],[Payment Number]]&lt;&gt;"",EOMONTH(LoanStartDate,ROW(PaymentSchedule3[[#This Row],[Payment Number]])-ROW(PaymentSchedule3[[#Headers],[Payment Number]])-2)+DAY(LoanStartDate),"")</f>
        <v>47780</v>
      </c>
      <c r="D90" s="25">
        <f ca="1">IF(PaymentSchedule3[[#This Row],[Payment Number]]&lt;&gt;"",IF(ROW()-ROW(PaymentSchedule3[[#Headers],[Beginning
Balance]])=1,LoanAmount,INDEX(PaymentSchedule3[Ending
Balance],ROW()-ROW(PaymentSchedule3[[#Headers],[Beginning
Balance]])-1)),"")</f>
        <v>306527.65041432576</v>
      </c>
      <c r="E90" s="25">
        <f ca="1">IF(PaymentSchedule3[[#This Row],[Payment Number]]&lt;&gt;"",ScheduledPayment,"")</f>
        <v>2212.1307964707844</v>
      </c>
      <c r="F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0" s="25">
        <f ca="1">IF(PaymentSchedule3[[#This Row],[Payment Number]]&lt;&gt;"",PaymentSchedule3[[#This Row],[Total
Payment]]-PaymentSchedule3[[#This Row],[Interest]],"")</f>
        <v>424.05283572055077</v>
      </c>
      <c r="I90" s="25">
        <f ca="1">IF(PaymentSchedule3[[#This Row],[Payment Number]]&lt;&gt;"",PaymentSchedule3[[#This Row],[Beginning
Balance]]*(InterestRate/PaymentsPerYear),"")</f>
        <v>1788.0779607502336</v>
      </c>
      <c r="J90" s="25">
        <f ca="1">IF(PaymentSchedule3[[#This Row],[Payment Number]]&lt;&gt;"",IF(PaymentSchedule3[[#This Row],[Scheduled Payment]]+PaymentSchedule3[[#This Row],[Extra
Payment]]&lt;=PaymentSchedule3[[#This Row],[Beginning
Balance]],PaymentSchedule3[[#This Row],[Beginning
Balance]]-PaymentSchedule3[[#This Row],[Principal]],0),"")</f>
        <v>306103.59757860523</v>
      </c>
      <c r="K90" s="25">
        <f ca="1">IF(PaymentSchedule3[[#This Row],[Payment Number]]&lt;&gt;"",SUM(INDEX(PaymentSchedule3[Interest],1,1):PaymentSchedule3[[#This Row],[Interest]]),"")</f>
        <v>143937.66890685548</v>
      </c>
      <c r="L90" s="25">
        <f ca="1">IF(PaymentSchedule3[[#This Row],[Payment Number]]&lt;&gt;"",SUM(INDEX(PaymentSchedule3[Principal],1,1):PaymentSchedule3[[#This Row],[Principal]]),"")</f>
        <v>26396.40242139488</v>
      </c>
    </row>
    <row r="91" spans="2:12" x14ac:dyDescent="0.25">
      <c r="B91" s="23">
        <f ca="1">IF(LoanIsGood,IF(ROW()-ROW(PaymentSchedule3[[#Headers],[Payment Number]])&gt;ScheduledNumberOfPayments,"",ROW()-ROW(PaymentSchedule3[[#Headers],[Payment Number]])),"")</f>
        <v>78</v>
      </c>
      <c r="C91" s="24">
        <f ca="1">IF(PaymentSchedule3[[#This Row],[Payment Number]]&lt;&gt;"",EOMONTH(LoanStartDate,ROW(PaymentSchedule3[[#This Row],[Payment Number]])-ROW(PaymentSchedule3[[#Headers],[Payment Number]])-2)+DAY(LoanStartDate),"")</f>
        <v>47811</v>
      </c>
      <c r="D91" s="25">
        <f ca="1">IF(PaymentSchedule3[[#This Row],[Payment Number]]&lt;&gt;"",IF(ROW()-ROW(PaymentSchedule3[[#Headers],[Beginning
Balance]])=1,LoanAmount,INDEX(PaymentSchedule3[Ending
Balance],ROW()-ROW(PaymentSchedule3[[#Headers],[Beginning
Balance]])-1)),"")</f>
        <v>306103.59757860523</v>
      </c>
      <c r="E91" s="25">
        <f ca="1">IF(PaymentSchedule3[[#This Row],[Payment Number]]&lt;&gt;"",ScheduledPayment,"")</f>
        <v>2212.1307964707844</v>
      </c>
      <c r="F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1" s="25">
        <f ca="1">IF(PaymentSchedule3[[#This Row],[Payment Number]]&lt;&gt;"",PaymentSchedule3[[#This Row],[Total
Payment]]-PaymentSchedule3[[#This Row],[Interest]],"")</f>
        <v>426.52647726225382</v>
      </c>
      <c r="I91" s="25">
        <f ca="1">IF(PaymentSchedule3[[#This Row],[Payment Number]]&lt;&gt;"",PaymentSchedule3[[#This Row],[Beginning
Balance]]*(InterestRate/PaymentsPerYear),"")</f>
        <v>1785.6043192085306</v>
      </c>
      <c r="J91" s="25">
        <f ca="1">IF(PaymentSchedule3[[#This Row],[Payment Number]]&lt;&gt;"",IF(PaymentSchedule3[[#This Row],[Scheduled Payment]]+PaymentSchedule3[[#This Row],[Extra
Payment]]&lt;=PaymentSchedule3[[#This Row],[Beginning
Balance]],PaymentSchedule3[[#This Row],[Beginning
Balance]]-PaymentSchedule3[[#This Row],[Principal]],0),"")</f>
        <v>305677.07110134297</v>
      </c>
      <c r="K91" s="25">
        <f ca="1">IF(PaymentSchedule3[[#This Row],[Payment Number]]&lt;&gt;"",SUM(INDEX(PaymentSchedule3[Interest],1,1):PaymentSchedule3[[#This Row],[Interest]]),"")</f>
        <v>145723.27322606402</v>
      </c>
      <c r="L91" s="25">
        <f ca="1">IF(PaymentSchedule3[[#This Row],[Payment Number]]&lt;&gt;"",SUM(INDEX(PaymentSchedule3[Principal],1,1):PaymentSchedule3[[#This Row],[Principal]]),"")</f>
        <v>26822.928898657134</v>
      </c>
    </row>
    <row r="92" spans="2:12" x14ac:dyDescent="0.25">
      <c r="B92" s="23">
        <f ca="1">IF(LoanIsGood,IF(ROW()-ROW(PaymentSchedule3[[#Headers],[Payment Number]])&gt;ScheduledNumberOfPayments,"",ROW()-ROW(PaymentSchedule3[[#Headers],[Payment Number]])),"")</f>
        <v>79</v>
      </c>
      <c r="C92" s="24">
        <f ca="1">IF(PaymentSchedule3[[#This Row],[Payment Number]]&lt;&gt;"",EOMONTH(LoanStartDate,ROW(PaymentSchedule3[[#This Row],[Payment Number]])-ROW(PaymentSchedule3[[#Headers],[Payment Number]])-2)+DAY(LoanStartDate),"")</f>
        <v>47841</v>
      </c>
      <c r="D92" s="25">
        <f ca="1">IF(PaymentSchedule3[[#This Row],[Payment Number]]&lt;&gt;"",IF(ROW()-ROW(PaymentSchedule3[[#Headers],[Beginning
Balance]])=1,LoanAmount,INDEX(PaymentSchedule3[Ending
Balance],ROW()-ROW(PaymentSchedule3[[#Headers],[Beginning
Balance]])-1)),"")</f>
        <v>305677.07110134297</v>
      </c>
      <c r="E92" s="25">
        <f ca="1">IF(PaymentSchedule3[[#This Row],[Payment Number]]&lt;&gt;"",ScheduledPayment,"")</f>
        <v>2212.1307964707844</v>
      </c>
      <c r="F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2" s="25">
        <f ca="1">IF(PaymentSchedule3[[#This Row],[Payment Number]]&lt;&gt;"",PaymentSchedule3[[#This Row],[Total
Payment]]-PaymentSchedule3[[#This Row],[Interest]],"")</f>
        <v>429.01454837961705</v>
      </c>
      <c r="I92" s="25">
        <f ca="1">IF(PaymentSchedule3[[#This Row],[Payment Number]]&lt;&gt;"",PaymentSchedule3[[#This Row],[Beginning
Balance]]*(InterestRate/PaymentsPerYear),"")</f>
        <v>1783.1162480911673</v>
      </c>
      <c r="J92" s="25">
        <f ca="1">IF(PaymentSchedule3[[#This Row],[Payment Number]]&lt;&gt;"",IF(PaymentSchedule3[[#This Row],[Scheduled Payment]]+PaymentSchedule3[[#This Row],[Extra
Payment]]&lt;=PaymentSchedule3[[#This Row],[Beginning
Balance]],PaymentSchedule3[[#This Row],[Beginning
Balance]]-PaymentSchedule3[[#This Row],[Principal]],0),"")</f>
        <v>305248.05655296333</v>
      </c>
      <c r="K92" s="25">
        <f ca="1">IF(PaymentSchedule3[[#This Row],[Payment Number]]&lt;&gt;"",SUM(INDEX(PaymentSchedule3[Interest],1,1):PaymentSchedule3[[#This Row],[Interest]]),"")</f>
        <v>147506.38947415518</v>
      </c>
      <c r="L92" s="25">
        <f ca="1">IF(PaymentSchedule3[[#This Row],[Payment Number]]&lt;&gt;"",SUM(INDEX(PaymentSchedule3[Principal],1,1):PaymentSchedule3[[#This Row],[Principal]]),"")</f>
        <v>27251.943447036752</v>
      </c>
    </row>
    <row r="93" spans="2:12" x14ac:dyDescent="0.25">
      <c r="B93" s="23">
        <f ca="1">IF(LoanIsGood,IF(ROW()-ROW(PaymentSchedule3[[#Headers],[Payment Number]])&gt;ScheduledNumberOfPayments,"",ROW()-ROW(PaymentSchedule3[[#Headers],[Payment Number]])),"")</f>
        <v>80</v>
      </c>
      <c r="C93" s="24">
        <f ca="1">IF(PaymentSchedule3[[#This Row],[Payment Number]]&lt;&gt;"",EOMONTH(LoanStartDate,ROW(PaymentSchedule3[[#This Row],[Payment Number]])-ROW(PaymentSchedule3[[#Headers],[Payment Number]])-2)+DAY(LoanStartDate),"")</f>
        <v>47872</v>
      </c>
      <c r="D93" s="25">
        <f ca="1">IF(PaymentSchedule3[[#This Row],[Payment Number]]&lt;&gt;"",IF(ROW()-ROW(PaymentSchedule3[[#Headers],[Beginning
Balance]])=1,LoanAmount,INDEX(PaymentSchedule3[Ending
Balance],ROW()-ROW(PaymentSchedule3[[#Headers],[Beginning
Balance]])-1)),"")</f>
        <v>305248.05655296333</v>
      </c>
      <c r="E93" s="25">
        <f ca="1">IF(PaymentSchedule3[[#This Row],[Payment Number]]&lt;&gt;"",ScheduledPayment,"")</f>
        <v>2212.1307964707844</v>
      </c>
      <c r="F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3" s="25">
        <f ca="1">IF(PaymentSchedule3[[#This Row],[Payment Number]]&lt;&gt;"",PaymentSchedule3[[#This Row],[Total
Payment]]-PaymentSchedule3[[#This Row],[Interest]],"")</f>
        <v>431.51713324516481</v>
      </c>
      <c r="I93" s="25">
        <f ca="1">IF(PaymentSchedule3[[#This Row],[Payment Number]]&lt;&gt;"",PaymentSchedule3[[#This Row],[Beginning
Balance]]*(InterestRate/PaymentsPerYear),"")</f>
        <v>1780.6136632256196</v>
      </c>
      <c r="J93" s="25">
        <f ca="1">IF(PaymentSchedule3[[#This Row],[Payment Number]]&lt;&gt;"",IF(PaymentSchedule3[[#This Row],[Scheduled Payment]]+PaymentSchedule3[[#This Row],[Extra
Payment]]&lt;=PaymentSchedule3[[#This Row],[Beginning
Balance]],PaymentSchedule3[[#This Row],[Beginning
Balance]]-PaymentSchedule3[[#This Row],[Principal]],0),"")</f>
        <v>304816.53941971814</v>
      </c>
      <c r="K93" s="25">
        <f ca="1">IF(PaymentSchedule3[[#This Row],[Payment Number]]&lt;&gt;"",SUM(INDEX(PaymentSchedule3[Interest],1,1):PaymentSchedule3[[#This Row],[Interest]]),"")</f>
        <v>149287.00313738079</v>
      </c>
      <c r="L93" s="25">
        <f ca="1">IF(PaymentSchedule3[[#This Row],[Payment Number]]&lt;&gt;"",SUM(INDEX(PaymentSchedule3[Principal],1,1):PaymentSchedule3[[#This Row],[Principal]]),"")</f>
        <v>27683.460580281917</v>
      </c>
    </row>
    <row r="94" spans="2:12" x14ac:dyDescent="0.25">
      <c r="B94" s="23">
        <f ca="1">IF(LoanIsGood,IF(ROW()-ROW(PaymentSchedule3[[#Headers],[Payment Number]])&gt;ScheduledNumberOfPayments,"",ROW()-ROW(PaymentSchedule3[[#Headers],[Payment Number]])),"")</f>
        <v>81</v>
      </c>
      <c r="C94" s="24">
        <f ca="1">IF(PaymentSchedule3[[#This Row],[Payment Number]]&lt;&gt;"",EOMONTH(LoanStartDate,ROW(PaymentSchedule3[[#This Row],[Payment Number]])-ROW(PaymentSchedule3[[#Headers],[Payment Number]])-2)+DAY(LoanStartDate),"")</f>
        <v>47903</v>
      </c>
      <c r="D94" s="25">
        <f ca="1">IF(PaymentSchedule3[[#This Row],[Payment Number]]&lt;&gt;"",IF(ROW()-ROW(PaymentSchedule3[[#Headers],[Beginning
Balance]])=1,LoanAmount,INDEX(PaymentSchedule3[Ending
Balance],ROW()-ROW(PaymentSchedule3[[#Headers],[Beginning
Balance]])-1)),"")</f>
        <v>304816.53941971814</v>
      </c>
      <c r="E94" s="25">
        <f ca="1">IF(PaymentSchedule3[[#This Row],[Payment Number]]&lt;&gt;"",ScheduledPayment,"")</f>
        <v>2212.1307964707844</v>
      </c>
      <c r="F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4" s="25">
        <f ca="1">IF(PaymentSchedule3[[#This Row],[Payment Number]]&lt;&gt;"",PaymentSchedule3[[#This Row],[Total
Payment]]-PaymentSchedule3[[#This Row],[Interest]],"")</f>
        <v>434.03431652242853</v>
      </c>
      <c r="I94" s="25">
        <f ca="1">IF(PaymentSchedule3[[#This Row],[Payment Number]]&lt;&gt;"",PaymentSchedule3[[#This Row],[Beginning
Balance]]*(InterestRate/PaymentsPerYear),"")</f>
        <v>1778.0964799483559</v>
      </c>
      <c r="J94" s="25">
        <f ca="1">IF(PaymentSchedule3[[#This Row],[Payment Number]]&lt;&gt;"",IF(PaymentSchedule3[[#This Row],[Scheduled Payment]]+PaymentSchedule3[[#This Row],[Extra
Payment]]&lt;=PaymentSchedule3[[#This Row],[Beginning
Balance]],PaymentSchedule3[[#This Row],[Beginning
Balance]]-PaymentSchedule3[[#This Row],[Principal]],0),"")</f>
        <v>304382.50510319573</v>
      </c>
      <c r="K94" s="25">
        <f ca="1">IF(PaymentSchedule3[[#This Row],[Payment Number]]&lt;&gt;"",SUM(INDEX(PaymentSchedule3[Interest],1,1):PaymentSchedule3[[#This Row],[Interest]]),"")</f>
        <v>151065.09961732914</v>
      </c>
      <c r="L94" s="25">
        <f ca="1">IF(PaymentSchedule3[[#This Row],[Payment Number]]&lt;&gt;"",SUM(INDEX(PaymentSchedule3[Principal],1,1):PaymentSchedule3[[#This Row],[Principal]]),"")</f>
        <v>28117.494896804346</v>
      </c>
    </row>
    <row r="95" spans="2:12" x14ac:dyDescent="0.25">
      <c r="B95" s="23">
        <f ca="1">IF(LoanIsGood,IF(ROW()-ROW(PaymentSchedule3[[#Headers],[Payment Number]])&gt;ScheduledNumberOfPayments,"",ROW()-ROW(PaymentSchedule3[[#Headers],[Payment Number]])),"")</f>
        <v>82</v>
      </c>
      <c r="C95" s="24">
        <f ca="1">IF(PaymentSchedule3[[#This Row],[Payment Number]]&lt;&gt;"",EOMONTH(LoanStartDate,ROW(PaymentSchedule3[[#This Row],[Payment Number]])-ROW(PaymentSchedule3[[#Headers],[Payment Number]])-2)+DAY(LoanStartDate),"")</f>
        <v>47931</v>
      </c>
      <c r="D95" s="25">
        <f ca="1">IF(PaymentSchedule3[[#This Row],[Payment Number]]&lt;&gt;"",IF(ROW()-ROW(PaymentSchedule3[[#Headers],[Beginning
Balance]])=1,LoanAmount,INDEX(PaymentSchedule3[Ending
Balance],ROW()-ROW(PaymentSchedule3[[#Headers],[Beginning
Balance]])-1)),"")</f>
        <v>304382.50510319573</v>
      </c>
      <c r="E95" s="25">
        <f ca="1">IF(PaymentSchedule3[[#This Row],[Payment Number]]&lt;&gt;"",ScheduledPayment,"")</f>
        <v>2212.1307964707844</v>
      </c>
      <c r="F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5" s="25">
        <f ca="1">IF(PaymentSchedule3[[#This Row],[Payment Number]]&lt;&gt;"",PaymentSchedule3[[#This Row],[Total
Payment]]-PaymentSchedule3[[#This Row],[Interest]],"")</f>
        <v>436.56618336880933</v>
      </c>
      <c r="I95" s="25">
        <f ca="1">IF(PaymentSchedule3[[#This Row],[Payment Number]]&lt;&gt;"",PaymentSchedule3[[#This Row],[Beginning
Balance]]*(InterestRate/PaymentsPerYear),"")</f>
        <v>1775.5646131019751</v>
      </c>
      <c r="J95" s="25">
        <f ca="1">IF(PaymentSchedule3[[#This Row],[Payment Number]]&lt;&gt;"",IF(PaymentSchedule3[[#This Row],[Scheduled Payment]]+PaymentSchedule3[[#This Row],[Extra
Payment]]&lt;=PaymentSchedule3[[#This Row],[Beginning
Balance]],PaymentSchedule3[[#This Row],[Beginning
Balance]]-PaymentSchedule3[[#This Row],[Principal]],0),"")</f>
        <v>303945.93891982693</v>
      </c>
      <c r="K95" s="25">
        <f ca="1">IF(PaymentSchedule3[[#This Row],[Payment Number]]&lt;&gt;"",SUM(INDEX(PaymentSchedule3[Interest],1,1):PaymentSchedule3[[#This Row],[Interest]]),"")</f>
        <v>152840.66423043111</v>
      </c>
      <c r="L95" s="25">
        <f ca="1">IF(PaymentSchedule3[[#This Row],[Payment Number]]&lt;&gt;"",SUM(INDEX(PaymentSchedule3[Principal],1,1):PaymentSchedule3[[#This Row],[Principal]]),"")</f>
        <v>28554.061080173156</v>
      </c>
    </row>
    <row r="96" spans="2:12" x14ac:dyDescent="0.25">
      <c r="B96" s="23">
        <f ca="1">IF(LoanIsGood,IF(ROW()-ROW(PaymentSchedule3[[#Headers],[Payment Number]])&gt;ScheduledNumberOfPayments,"",ROW()-ROW(PaymentSchedule3[[#Headers],[Payment Number]])),"")</f>
        <v>83</v>
      </c>
      <c r="C96" s="24">
        <f ca="1">IF(PaymentSchedule3[[#This Row],[Payment Number]]&lt;&gt;"",EOMONTH(LoanStartDate,ROW(PaymentSchedule3[[#This Row],[Payment Number]])-ROW(PaymentSchedule3[[#Headers],[Payment Number]])-2)+DAY(LoanStartDate),"")</f>
        <v>47962</v>
      </c>
      <c r="D96" s="25">
        <f ca="1">IF(PaymentSchedule3[[#This Row],[Payment Number]]&lt;&gt;"",IF(ROW()-ROW(PaymentSchedule3[[#Headers],[Beginning
Balance]])=1,LoanAmount,INDEX(PaymentSchedule3[Ending
Balance],ROW()-ROW(PaymentSchedule3[[#Headers],[Beginning
Balance]])-1)),"")</f>
        <v>303945.93891982693</v>
      </c>
      <c r="E96" s="25">
        <f ca="1">IF(PaymentSchedule3[[#This Row],[Payment Number]]&lt;&gt;"",ScheduledPayment,"")</f>
        <v>2212.1307964707844</v>
      </c>
      <c r="F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6" s="25">
        <f ca="1">IF(PaymentSchedule3[[#This Row],[Payment Number]]&lt;&gt;"",PaymentSchedule3[[#This Row],[Total
Payment]]-PaymentSchedule3[[#This Row],[Interest]],"")</f>
        <v>439.11281943846052</v>
      </c>
      <c r="I96" s="25">
        <f ca="1">IF(PaymentSchedule3[[#This Row],[Payment Number]]&lt;&gt;"",PaymentSchedule3[[#This Row],[Beginning
Balance]]*(InterestRate/PaymentsPerYear),"")</f>
        <v>1773.0179770323239</v>
      </c>
      <c r="J96" s="25">
        <f ca="1">IF(PaymentSchedule3[[#This Row],[Payment Number]]&lt;&gt;"",IF(PaymentSchedule3[[#This Row],[Scheduled Payment]]+PaymentSchedule3[[#This Row],[Extra
Payment]]&lt;=PaymentSchedule3[[#This Row],[Beginning
Balance]],PaymentSchedule3[[#This Row],[Beginning
Balance]]-PaymentSchedule3[[#This Row],[Principal]],0),"")</f>
        <v>303506.82610038848</v>
      </c>
      <c r="K96" s="25">
        <f ca="1">IF(PaymentSchedule3[[#This Row],[Payment Number]]&lt;&gt;"",SUM(INDEX(PaymentSchedule3[Interest],1,1):PaymentSchedule3[[#This Row],[Interest]]),"")</f>
        <v>154613.68220746343</v>
      </c>
      <c r="L96" s="25">
        <f ca="1">IF(PaymentSchedule3[[#This Row],[Payment Number]]&lt;&gt;"",SUM(INDEX(PaymentSchedule3[Principal],1,1):PaymentSchedule3[[#This Row],[Principal]]),"")</f>
        <v>28993.173899611618</v>
      </c>
    </row>
    <row r="97" spans="2:12" x14ac:dyDescent="0.25">
      <c r="B97" s="23">
        <f ca="1">IF(LoanIsGood,IF(ROW()-ROW(PaymentSchedule3[[#Headers],[Payment Number]])&gt;ScheduledNumberOfPayments,"",ROW()-ROW(PaymentSchedule3[[#Headers],[Payment Number]])),"")</f>
        <v>84</v>
      </c>
      <c r="C97" s="24">
        <f ca="1">IF(PaymentSchedule3[[#This Row],[Payment Number]]&lt;&gt;"",EOMONTH(LoanStartDate,ROW(PaymentSchedule3[[#This Row],[Payment Number]])-ROW(PaymentSchedule3[[#Headers],[Payment Number]])-2)+DAY(LoanStartDate),"")</f>
        <v>47992</v>
      </c>
      <c r="D97" s="25">
        <f ca="1">IF(PaymentSchedule3[[#This Row],[Payment Number]]&lt;&gt;"",IF(ROW()-ROW(PaymentSchedule3[[#Headers],[Beginning
Balance]])=1,LoanAmount,INDEX(PaymentSchedule3[Ending
Balance],ROW()-ROW(PaymentSchedule3[[#Headers],[Beginning
Balance]])-1)),"")</f>
        <v>303506.82610038848</v>
      </c>
      <c r="E97" s="25">
        <f ca="1">IF(PaymentSchedule3[[#This Row],[Payment Number]]&lt;&gt;"",ScheduledPayment,"")</f>
        <v>2212.1307964707844</v>
      </c>
      <c r="F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7" s="25">
        <f ca="1">IF(PaymentSchedule3[[#This Row],[Payment Number]]&lt;&gt;"",PaymentSchedule3[[#This Row],[Total
Payment]]-PaymentSchedule3[[#This Row],[Interest]],"")</f>
        <v>441.67431088518492</v>
      </c>
      <c r="I97" s="25">
        <f ca="1">IF(PaymentSchedule3[[#This Row],[Payment Number]]&lt;&gt;"",PaymentSchedule3[[#This Row],[Beginning
Balance]]*(InterestRate/PaymentsPerYear),"")</f>
        <v>1770.4564855855995</v>
      </c>
      <c r="J97" s="25">
        <f ca="1">IF(PaymentSchedule3[[#This Row],[Payment Number]]&lt;&gt;"",IF(PaymentSchedule3[[#This Row],[Scheduled Payment]]+PaymentSchedule3[[#This Row],[Extra
Payment]]&lt;=PaymentSchedule3[[#This Row],[Beginning
Balance]],PaymentSchedule3[[#This Row],[Beginning
Balance]]-PaymentSchedule3[[#This Row],[Principal]],0),"")</f>
        <v>303065.15178950329</v>
      </c>
      <c r="K97" s="25">
        <f ca="1">IF(PaymentSchedule3[[#This Row],[Payment Number]]&lt;&gt;"",SUM(INDEX(PaymentSchedule3[Interest],1,1):PaymentSchedule3[[#This Row],[Interest]]),"")</f>
        <v>156384.13869304903</v>
      </c>
      <c r="L97" s="25">
        <f ca="1">IF(PaymentSchedule3[[#This Row],[Payment Number]]&lt;&gt;"",SUM(INDEX(PaymentSchedule3[Principal],1,1):PaymentSchedule3[[#This Row],[Principal]]),"")</f>
        <v>29434.848210496802</v>
      </c>
    </row>
    <row r="98" spans="2:12" x14ac:dyDescent="0.25">
      <c r="B98" s="23">
        <f ca="1">IF(LoanIsGood,IF(ROW()-ROW(PaymentSchedule3[[#Headers],[Payment Number]])&gt;ScheduledNumberOfPayments,"",ROW()-ROW(PaymentSchedule3[[#Headers],[Payment Number]])),"")</f>
        <v>85</v>
      </c>
      <c r="C98" s="24">
        <f ca="1">IF(PaymentSchedule3[[#This Row],[Payment Number]]&lt;&gt;"",EOMONTH(LoanStartDate,ROW(PaymentSchedule3[[#This Row],[Payment Number]])-ROW(PaymentSchedule3[[#Headers],[Payment Number]])-2)+DAY(LoanStartDate),"")</f>
        <v>48023</v>
      </c>
      <c r="D98" s="25">
        <f ca="1">IF(PaymentSchedule3[[#This Row],[Payment Number]]&lt;&gt;"",IF(ROW()-ROW(PaymentSchedule3[[#Headers],[Beginning
Balance]])=1,LoanAmount,INDEX(PaymentSchedule3[Ending
Balance],ROW()-ROW(PaymentSchedule3[[#Headers],[Beginning
Balance]])-1)),"")</f>
        <v>303065.15178950329</v>
      </c>
      <c r="E98" s="25">
        <f ca="1">IF(PaymentSchedule3[[#This Row],[Payment Number]]&lt;&gt;"",ScheduledPayment,"")</f>
        <v>2212.1307964707844</v>
      </c>
      <c r="F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8" s="25">
        <f ca="1">IF(PaymentSchedule3[[#This Row],[Payment Number]]&lt;&gt;"",PaymentSchedule3[[#This Row],[Total
Payment]]-PaymentSchedule3[[#This Row],[Interest]],"")</f>
        <v>444.25074436534851</v>
      </c>
      <c r="I98" s="25">
        <f ca="1">IF(PaymentSchedule3[[#This Row],[Payment Number]]&lt;&gt;"",PaymentSchedule3[[#This Row],[Beginning
Balance]]*(InterestRate/PaymentsPerYear),"")</f>
        <v>1767.8800521054359</v>
      </c>
      <c r="J98" s="25">
        <f ca="1">IF(PaymentSchedule3[[#This Row],[Payment Number]]&lt;&gt;"",IF(PaymentSchedule3[[#This Row],[Scheduled Payment]]+PaymentSchedule3[[#This Row],[Extra
Payment]]&lt;=PaymentSchedule3[[#This Row],[Beginning
Balance]],PaymentSchedule3[[#This Row],[Beginning
Balance]]-PaymentSchedule3[[#This Row],[Principal]],0),"")</f>
        <v>302620.90104513796</v>
      </c>
      <c r="K98" s="25">
        <f ca="1">IF(PaymentSchedule3[[#This Row],[Payment Number]]&lt;&gt;"",SUM(INDEX(PaymentSchedule3[Interest],1,1):PaymentSchedule3[[#This Row],[Interest]]),"")</f>
        <v>158152.01874515446</v>
      </c>
      <c r="L98" s="25">
        <f ca="1">IF(PaymentSchedule3[[#This Row],[Payment Number]]&lt;&gt;"",SUM(INDEX(PaymentSchedule3[Principal],1,1):PaymentSchedule3[[#This Row],[Principal]]),"")</f>
        <v>29879.098954862151</v>
      </c>
    </row>
    <row r="99" spans="2:12" x14ac:dyDescent="0.25">
      <c r="B99" s="23">
        <f ca="1">IF(LoanIsGood,IF(ROW()-ROW(PaymentSchedule3[[#Headers],[Payment Number]])&gt;ScheduledNumberOfPayments,"",ROW()-ROW(PaymentSchedule3[[#Headers],[Payment Number]])),"")</f>
        <v>86</v>
      </c>
      <c r="C99" s="24">
        <f ca="1">IF(PaymentSchedule3[[#This Row],[Payment Number]]&lt;&gt;"",EOMONTH(LoanStartDate,ROW(PaymentSchedule3[[#This Row],[Payment Number]])-ROW(PaymentSchedule3[[#Headers],[Payment Number]])-2)+DAY(LoanStartDate),"")</f>
        <v>48053</v>
      </c>
      <c r="D99" s="25">
        <f ca="1">IF(PaymentSchedule3[[#This Row],[Payment Number]]&lt;&gt;"",IF(ROW()-ROW(PaymentSchedule3[[#Headers],[Beginning
Balance]])=1,LoanAmount,INDEX(PaymentSchedule3[Ending
Balance],ROW()-ROW(PaymentSchedule3[[#Headers],[Beginning
Balance]])-1)),"")</f>
        <v>302620.90104513796</v>
      </c>
      <c r="E99" s="25">
        <f ca="1">IF(PaymentSchedule3[[#This Row],[Payment Number]]&lt;&gt;"",ScheduledPayment,"")</f>
        <v>2212.1307964707844</v>
      </c>
      <c r="F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99" s="25">
        <f ca="1">IF(PaymentSchedule3[[#This Row],[Payment Number]]&lt;&gt;"",PaymentSchedule3[[#This Row],[Total
Payment]]-PaymentSchedule3[[#This Row],[Interest]],"")</f>
        <v>446.84220704081281</v>
      </c>
      <c r="I99" s="25">
        <f ca="1">IF(PaymentSchedule3[[#This Row],[Payment Number]]&lt;&gt;"",PaymentSchedule3[[#This Row],[Beginning
Balance]]*(InterestRate/PaymentsPerYear),"")</f>
        <v>1765.2885894299716</v>
      </c>
      <c r="J99" s="25">
        <f ca="1">IF(PaymentSchedule3[[#This Row],[Payment Number]]&lt;&gt;"",IF(PaymentSchedule3[[#This Row],[Scheduled Payment]]+PaymentSchedule3[[#This Row],[Extra
Payment]]&lt;=PaymentSchedule3[[#This Row],[Beginning
Balance]],PaymentSchedule3[[#This Row],[Beginning
Balance]]-PaymentSchedule3[[#This Row],[Principal]],0),"")</f>
        <v>302174.05883809715</v>
      </c>
      <c r="K99" s="25">
        <f ca="1">IF(PaymentSchedule3[[#This Row],[Payment Number]]&lt;&gt;"",SUM(INDEX(PaymentSchedule3[Interest],1,1):PaymentSchedule3[[#This Row],[Interest]]),"")</f>
        <v>159917.30733458445</v>
      </c>
      <c r="L99" s="25">
        <f ca="1">IF(PaymentSchedule3[[#This Row],[Payment Number]]&lt;&gt;"",SUM(INDEX(PaymentSchedule3[Principal],1,1):PaymentSchedule3[[#This Row],[Principal]]),"")</f>
        <v>30325.941161902963</v>
      </c>
    </row>
    <row r="100" spans="2:12" x14ac:dyDescent="0.25">
      <c r="B100" s="23">
        <f ca="1">IF(LoanIsGood,IF(ROW()-ROW(PaymentSchedule3[[#Headers],[Payment Number]])&gt;ScheduledNumberOfPayments,"",ROW()-ROW(PaymentSchedule3[[#Headers],[Payment Number]])),"")</f>
        <v>87</v>
      </c>
      <c r="C100" s="24">
        <f ca="1">IF(PaymentSchedule3[[#This Row],[Payment Number]]&lt;&gt;"",EOMONTH(LoanStartDate,ROW(PaymentSchedule3[[#This Row],[Payment Number]])-ROW(PaymentSchedule3[[#Headers],[Payment Number]])-2)+DAY(LoanStartDate),"")</f>
        <v>48084</v>
      </c>
      <c r="D100" s="25">
        <f ca="1">IF(PaymentSchedule3[[#This Row],[Payment Number]]&lt;&gt;"",IF(ROW()-ROW(PaymentSchedule3[[#Headers],[Beginning
Balance]])=1,LoanAmount,INDEX(PaymentSchedule3[Ending
Balance],ROW()-ROW(PaymentSchedule3[[#Headers],[Beginning
Balance]])-1)),"")</f>
        <v>302174.05883809715</v>
      </c>
      <c r="E100" s="25">
        <f ca="1">IF(PaymentSchedule3[[#This Row],[Payment Number]]&lt;&gt;"",ScheduledPayment,"")</f>
        <v>2212.1307964707844</v>
      </c>
      <c r="F1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0" s="25">
        <f ca="1">IF(PaymentSchedule3[[#This Row],[Payment Number]]&lt;&gt;"",PaymentSchedule3[[#This Row],[Total
Payment]]-PaymentSchedule3[[#This Row],[Interest]],"")</f>
        <v>449.44878658188418</v>
      </c>
      <c r="I100" s="25">
        <f ca="1">IF(PaymentSchedule3[[#This Row],[Payment Number]]&lt;&gt;"",PaymentSchedule3[[#This Row],[Beginning
Balance]]*(InterestRate/PaymentsPerYear),"")</f>
        <v>1762.6820098889002</v>
      </c>
      <c r="J100" s="25">
        <f ca="1">IF(PaymentSchedule3[[#This Row],[Payment Number]]&lt;&gt;"",IF(PaymentSchedule3[[#This Row],[Scheduled Payment]]+PaymentSchedule3[[#This Row],[Extra
Payment]]&lt;=PaymentSchedule3[[#This Row],[Beginning
Balance]],PaymentSchedule3[[#This Row],[Beginning
Balance]]-PaymentSchedule3[[#This Row],[Principal]],0),"")</f>
        <v>301724.61005151528</v>
      </c>
      <c r="K100" s="25">
        <f ca="1">IF(PaymentSchedule3[[#This Row],[Payment Number]]&lt;&gt;"",SUM(INDEX(PaymentSchedule3[Interest],1,1):PaymentSchedule3[[#This Row],[Interest]]),"")</f>
        <v>161679.98934447335</v>
      </c>
      <c r="L100" s="25">
        <f ca="1">IF(PaymentSchedule3[[#This Row],[Payment Number]]&lt;&gt;"",SUM(INDEX(PaymentSchedule3[Principal],1,1):PaymentSchedule3[[#This Row],[Principal]]),"")</f>
        <v>30775.389948484848</v>
      </c>
    </row>
    <row r="101" spans="2:12" x14ac:dyDescent="0.25">
      <c r="B101" s="23">
        <f ca="1">IF(LoanIsGood,IF(ROW()-ROW(PaymentSchedule3[[#Headers],[Payment Number]])&gt;ScheduledNumberOfPayments,"",ROW()-ROW(PaymentSchedule3[[#Headers],[Payment Number]])),"")</f>
        <v>88</v>
      </c>
      <c r="C101" s="24">
        <f ca="1">IF(PaymentSchedule3[[#This Row],[Payment Number]]&lt;&gt;"",EOMONTH(LoanStartDate,ROW(PaymentSchedule3[[#This Row],[Payment Number]])-ROW(PaymentSchedule3[[#Headers],[Payment Number]])-2)+DAY(LoanStartDate),"")</f>
        <v>48115</v>
      </c>
      <c r="D101" s="25">
        <f ca="1">IF(PaymentSchedule3[[#This Row],[Payment Number]]&lt;&gt;"",IF(ROW()-ROW(PaymentSchedule3[[#Headers],[Beginning
Balance]])=1,LoanAmount,INDEX(PaymentSchedule3[Ending
Balance],ROW()-ROW(PaymentSchedule3[[#Headers],[Beginning
Balance]])-1)),"")</f>
        <v>301724.61005151528</v>
      </c>
      <c r="E101" s="25">
        <f ca="1">IF(PaymentSchedule3[[#This Row],[Payment Number]]&lt;&gt;"",ScheduledPayment,"")</f>
        <v>2212.1307964707844</v>
      </c>
      <c r="F1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1" s="25">
        <f ca="1">IF(PaymentSchedule3[[#This Row],[Payment Number]]&lt;&gt;"",PaymentSchedule3[[#This Row],[Total
Payment]]-PaymentSchedule3[[#This Row],[Interest]],"")</f>
        <v>452.07057117027853</v>
      </c>
      <c r="I101" s="25">
        <f ca="1">IF(PaymentSchedule3[[#This Row],[Payment Number]]&lt;&gt;"",PaymentSchedule3[[#This Row],[Beginning
Balance]]*(InterestRate/PaymentsPerYear),"")</f>
        <v>1760.0602253005059</v>
      </c>
      <c r="J101" s="25">
        <f ca="1">IF(PaymentSchedule3[[#This Row],[Payment Number]]&lt;&gt;"",IF(PaymentSchedule3[[#This Row],[Scheduled Payment]]+PaymentSchedule3[[#This Row],[Extra
Payment]]&lt;=PaymentSchedule3[[#This Row],[Beginning
Balance]],PaymentSchedule3[[#This Row],[Beginning
Balance]]-PaymentSchedule3[[#This Row],[Principal]],0),"")</f>
        <v>301272.53948034497</v>
      </c>
      <c r="K101" s="25">
        <f ca="1">IF(PaymentSchedule3[[#This Row],[Payment Number]]&lt;&gt;"",SUM(INDEX(PaymentSchedule3[Interest],1,1):PaymentSchedule3[[#This Row],[Interest]]),"")</f>
        <v>163440.04956977387</v>
      </c>
      <c r="L101" s="25">
        <f ca="1">IF(PaymentSchedule3[[#This Row],[Payment Number]]&lt;&gt;"",SUM(INDEX(PaymentSchedule3[Principal],1,1):PaymentSchedule3[[#This Row],[Principal]]),"")</f>
        <v>31227.460519655127</v>
      </c>
    </row>
    <row r="102" spans="2:12" x14ac:dyDescent="0.25">
      <c r="B102" s="23">
        <f ca="1">IF(LoanIsGood,IF(ROW()-ROW(PaymentSchedule3[[#Headers],[Payment Number]])&gt;ScheduledNumberOfPayments,"",ROW()-ROW(PaymentSchedule3[[#Headers],[Payment Number]])),"")</f>
        <v>89</v>
      </c>
      <c r="C102" s="24">
        <f ca="1">IF(PaymentSchedule3[[#This Row],[Payment Number]]&lt;&gt;"",EOMONTH(LoanStartDate,ROW(PaymentSchedule3[[#This Row],[Payment Number]])-ROW(PaymentSchedule3[[#Headers],[Payment Number]])-2)+DAY(LoanStartDate),"")</f>
        <v>48145</v>
      </c>
      <c r="D102" s="25">
        <f ca="1">IF(PaymentSchedule3[[#This Row],[Payment Number]]&lt;&gt;"",IF(ROW()-ROW(PaymentSchedule3[[#Headers],[Beginning
Balance]])=1,LoanAmount,INDEX(PaymentSchedule3[Ending
Balance],ROW()-ROW(PaymentSchedule3[[#Headers],[Beginning
Balance]])-1)),"")</f>
        <v>301272.53948034497</v>
      </c>
      <c r="E102" s="25">
        <f ca="1">IF(PaymentSchedule3[[#This Row],[Payment Number]]&lt;&gt;"",ScheduledPayment,"")</f>
        <v>2212.1307964707844</v>
      </c>
      <c r="F1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2" s="25">
        <f ca="1">IF(PaymentSchedule3[[#This Row],[Payment Number]]&lt;&gt;"",PaymentSchedule3[[#This Row],[Total
Payment]]-PaymentSchedule3[[#This Row],[Interest]],"")</f>
        <v>454.70764950210537</v>
      </c>
      <c r="I102" s="25">
        <f ca="1">IF(PaymentSchedule3[[#This Row],[Payment Number]]&lt;&gt;"",PaymentSchedule3[[#This Row],[Beginning
Balance]]*(InterestRate/PaymentsPerYear),"")</f>
        <v>1757.423146968679</v>
      </c>
      <c r="J102" s="25">
        <f ca="1">IF(PaymentSchedule3[[#This Row],[Payment Number]]&lt;&gt;"",IF(PaymentSchedule3[[#This Row],[Scheduled Payment]]+PaymentSchedule3[[#This Row],[Extra
Payment]]&lt;=PaymentSchedule3[[#This Row],[Beginning
Balance]],PaymentSchedule3[[#This Row],[Beginning
Balance]]-PaymentSchedule3[[#This Row],[Principal]],0),"")</f>
        <v>300817.83183084289</v>
      </c>
      <c r="K102" s="25">
        <f ca="1">IF(PaymentSchedule3[[#This Row],[Payment Number]]&lt;&gt;"",SUM(INDEX(PaymentSchedule3[Interest],1,1):PaymentSchedule3[[#This Row],[Interest]]),"")</f>
        <v>165197.47271674254</v>
      </c>
      <c r="L102" s="25">
        <f ca="1">IF(PaymentSchedule3[[#This Row],[Payment Number]]&lt;&gt;"",SUM(INDEX(PaymentSchedule3[Principal],1,1):PaymentSchedule3[[#This Row],[Principal]]),"")</f>
        <v>31682.168169157234</v>
      </c>
    </row>
    <row r="103" spans="2:12" x14ac:dyDescent="0.25">
      <c r="B103" s="23">
        <f ca="1">IF(LoanIsGood,IF(ROW()-ROW(PaymentSchedule3[[#Headers],[Payment Number]])&gt;ScheduledNumberOfPayments,"",ROW()-ROW(PaymentSchedule3[[#Headers],[Payment Number]])),"")</f>
        <v>90</v>
      </c>
      <c r="C103" s="24">
        <f ca="1">IF(PaymentSchedule3[[#This Row],[Payment Number]]&lt;&gt;"",EOMONTH(LoanStartDate,ROW(PaymentSchedule3[[#This Row],[Payment Number]])-ROW(PaymentSchedule3[[#Headers],[Payment Number]])-2)+DAY(LoanStartDate),"")</f>
        <v>48176</v>
      </c>
      <c r="D103" s="25">
        <f ca="1">IF(PaymentSchedule3[[#This Row],[Payment Number]]&lt;&gt;"",IF(ROW()-ROW(PaymentSchedule3[[#Headers],[Beginning
Balance]])=1,LoanAmount,INDEX(PaymentSchedule3[Ending
Balance],ROW()-ROW(PaymentSchedule3[[#Headers],[Beginning
Balance]])-1)),"")</f>
        <v>300817.83183084289</v>
      </c>
      <c r="E103" s="25">
        <f ca="1">IF(PaymentSchedule3[[#This Row],[Payment Number]]&lt;&gt;"",ScheduledPayment,"")</f>
        <v>2212.1307964707844</v>
      </c>
      <c r="F1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3" s="25">
        <f ca="1">IF(PaymentSchedule3[[#This Row],[Payment Number]]&lt;&gt;"",PaymentSchedule3[[#This Row],[Total
Payment]]-PaymentSchedule3[[#This Row],[Interest]],"")</f>
        <v>457.36011079086757</v>
      </c>
      <c r="I103" s="25">
        <f ca="1">IF(PaymentSchedule3[[#This Row],[Payment Number]]&lt;&gt;"",PaymentSchedule3[[#This Row],[Beginning
Balance]]*(InterestRate/PaymentsPerYear),"")</f>
        <v>1754.7706856799168</v>
      </c>
      <c r="J103" s="25">
        <f ca="1">IF(PaymentSchedule3[[#This Row],[Payment Number]]&lt;&gt;"",IF(PaymentSchedule3[[#This Row],[Scheduled Payment]]+PaymentSchedule3[[#This Row],[Extra
Payment]]&lt;=PaymentSchedule3[[#This Row],[Beginning
Balance]],PaymentSchedule3[[#This Row],[Beginning
Balance]]-PaymentSchedule3[[#This Row],[Principal]],0),"")</f>
        <v>300360.47172005201</v>
      </c>
      <c r="K103" s="25">
        <f ca="1">IF(PaymentSchedule3[[#This Row],[Payment Number]]&lt;&gt;"",SUM(INDEX(PaymentSchedule3[Interest],1,1):PaymentSchedule3[[#This Row],[Interest]]),"")</f>
        <v>166952.24340242246</v>
      </c>
      <c r="L103" s="25">
        <f ca="1">IF(PaymentSchedule3[[#This Row],[Payment Number]]&lt;&gt;"",SUM(INDEX(PaymentSchedule3[Principal],1,1):PaymentSchedule3[[#This Row],[Principal]]),"")</f>
        <v>32139.528279948103</v>
      </c>
    </row>
    <row r="104" spans="2:12" x14ac:dyDescent="0.25">
      <c r="B104" s="23">
        <f ca="1">IF(LoanIsGood,IF(ROW()-ROW(PaymentSchedule3[[#Headers],[Payment Number]])&gt;ScheduledNumberOfPayments,"",ROW()-ROW(PaymentSchedule3[[#Headers],[Payment Number]])),"")</f>
        <v>91</v>
      </c>
      <c r="C104" s="24">
        <f ca="1">IF(PaymentSchedule3[[#This Row],[Payment Number]]&lt;&gt;"",EOMONTH(LoanStartDate,ROW(PaymentSchedule3[[#This Row],[Payment Number]])-ROW(PaymentSchedule3[[#Headers],[Payment Number]])-2)+DAY(LoanStartDate),"")</f>
        <v>48206</v>
      </c>
      <c r="D104" s="25">
        <f ca="1">IF(PaymentSchedule3[[#This Row],[Payment Number]]&lt;&gt;"",IF(ROW()-ROW(PaymentSchedule3[[#Headers],[Beginning
Balance]])=1,LoanAmount,INDEX(PaymentSchedule3[Ending
Balance],ROW()-ROW(PaymentSchedule3[[#Headers],[Beginning
Balance]])-1)),"")</f>
        <v>300360.47172005201</v>
      </c>
      <c r="E104" s="25">
        <f ca="1">IF(PaymentSchedule3[[#This Row],[Payment Number]]&lt;&gt;"",ScheduledPayment,"")</f>
        <v>2212.1307964707844</v>
      </c>
      <c r="F1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4" s="25">
        <f ca="1">IF(PaymentSchedule3[[#This Row],[Payment Number]]&lt;&gt;"",PaymentSchedule3[[#This Row],[Total
Payment]]-PaymentSchedule3[[#This Row],[Interest]],"")</f>
        <v>460.02804477048085</v>
      </c>
      <c r="I104" s="25">
        <f ca="1">IF(PaymentSchedule3[[#This Row],[Payment Number]]&lt;&gt;"",PaymentSchedule3[[#This Row],[Beginning
Balance]]*(InterestRate/PaymentsPerYear),"")</f>
        <v>1752.1027517003035</v>
      </c>
      <c r="J104" s="25">
        <f ca="1">IF(PaymentSchedule3[[#This Row],[Payment Number]]&lt;&gt;"",IF(PaymentSchedule3[[#This Row],[Scheduled Payment]]+PaymentSchedule3[[#This Row],[Extra
Payment]]&lt;=PaymentSchedule3[[#This Row],[Beginning
Balance]],PaymentSchedule3[[#This Row],[Beginning
Balance]]-PaymentSchedule3[[#This Row],[Principal]],0),"")</f>
        <v>299900.44367528154</v>
      </c>
      <c r="K104" s="25">
        <f ca="1">IF(PaymentSchedule3[[#This Row],[Payment Number]]&lt;&gt;"",SUM(INDEX(PaymentSchedule3[Interest],1,1):PaymentSchedule3[[#This Row],[Interest]]),"")</f>
        <v>168704.34615412276</v>
      </c>
      <c r="L104" s="25">
        <f ca="1">IF(PaymentSchedule3[[#This Row],[Payment Number]]&lt;&gt;"",SUM(INDEX(PaymentSchedule3[Principal],1,1):PaymentSchedule3[[#This Row],[Principal]]),"")</f>
        <v>32599.556324718586</v>
      </c>
    </row>
    <row r="105" spans="2:12" x14ac:dyDescent="0.25">
      <c r="B105" s="23">
        <f ca="1">IF(LoanIsGood,IF(ROW()-ROW(PaymentSchedule3[[#Headers],[Payment Number]])&gt;ScheduledNumberOfPayments,"",ROW()-ROW(PaymentSchedule3[[#Headers],[Payment Number]])),"")</f>
        <v>92</v>
      </c>
      <c r="C105" s="24">
        <f ca="1">IF(PaymentSchedule3[[#This Row],[Payment Number]]&lt;&gt;"",EOMONTH(LoanStartDate,ROW(PaymentSchedule3[[#This Row],[Payment Number]])-ROW(PaymentSchedule3[[#Headers],[Payment Number]])-2)+DAY(LoanStartDate),"")</f>
        <v>48237</v>
      </c>
      <c r="D105" s="25">
        <f ca="1">IF(PaymentSchedule3[[#This Row],[Payment Number]]&lt;&gt;"",IF(ROW()-ROW(PaymentSchedule3[[#Headers],[Beginning
Balance]])=1,LoanAmount,INDEX(PaymentSchedule3[Ending
Balance],ROW()-ROW(PaymentSchedule3[[#Headers],[Beginning
Balance]])-1)),"")</f>
        <v>299900.44367528154</v>
      </c>
      <c r="E105" s="25">
        <f ca="1">IF(PaymentSchedule3[[#This Row],[Payment Number]]&lt;&gt;"",ScheduledPayment,"")</f>
        <v>2212.1307964707844</v>
      </c>
      <c r="F1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5" s="25">
        <f ca="1">IF(PaymentSchedule3[[#This Row],[Payment Number]]&lt;&gt;"",PaymentSchedule3[[#This Row],[Total
Payment]]-PaymentSchedule3[[#This Row],[Interest]],"")</f>
        <v>462.71154169830857</v>
      </c>
      <c r="I105" s="25">
        <f ca="1">IF(PaymentSchedule3[[#This Row],[Payment Number]]&lt;&gt;"",PaymentSchedule3[[#This Row],[Beginning
Balance]]*(InterestRate/PaymentsPerYear),"")</f>
        <v>1749.4192547724758</v>
      </c>
      <c r="J105" s="25">
        <f ca="1">IF(PaymentSchedule3[[#This Row],[Payment Number]]&lt;&gt;"",IF(PaymentSchedule3[[#This Row],[Scheduled Payment]]+PaymentSchedule3[[#This Row],[Extra
Payment]]&lt;=PaymentSchedule3[[#This Row],[Beginning
Balance]],PaymentSchedule3[[#This Row],[Beginning
Balance]]-PaymentSchedule3[[#This Row],[Principal]],0),"")</f>
        <v>299437.73213358322</v>
      </c>
      <c r="K105" s="25">
        <f ca="1">IF(PaymentSchedule3[[#This Row],[Payment Number]]&lt;&gt;"",SUM(INDEX(PaymentSchedule3[Interest],1,1):PaymentSchedule3[[#This Row],[Interest]]),"")</f>
        <v>170453.76540889524</v>
      </c>
      <c r="L105" s="25">
        <f ca="1">IF(PaymentSchedule3[[#This Row],[Payment Number]]&lt;&gt;"",SUM(INDEX(PaymentSchedule3[Principal],1,1):PaymentSchedule3[[#This Row],[Principal]]),"")</f>
        <v>33062.267866416893</v>
      </c>
    </row>
    <row r="106" spans="2:12" x14ac:dyDescent="0.25">
      <c r="B106" s="23">
        <f ca="1">IF(LoanIsGood,IF(ROW()-ROW(PaymentSchedule3[[#Headers],[Payment Number]])&gt;ScheduledNumberOfPayments,"",ROW()-ROW(PaymentSchedule3[[#Headers],[Payment Number]])),"")</f>
        <v>93</v>
      </c>
      <c r="C106" s="24">
        <f ca="1">IF(PaymentSchedule3[[#This Row],[Payment Number]]&lt;&gt;"",EOMONTH(LoanStartDate,ROW(PaymentSchedule3[[#This Row],[Payment Number]])-ROW(PaymentSchedule3[[#Headers],[Payment Number]])-2)+DAY(LoanStartDate),"")</f>
        <v>48268</v>
      </c>
      <c r="D106" s="25">
        <f ca="1">IF(PaymentSchedule3[[#This Row],[Payment Number]]&lt;&gt;"",IF(ROW()-ROW(PaymentSchedule3[[#Headers],[Beginning
Balance]])=1,LoanAmount,INDEX(PaymentSchedule3[Ending
Balance],ROW()-ROW(PaymentSchedule3[[#Headers],[Beginning
Balance]])-1)),"")</f>
        <v>299437.73213358322</v>
      </c>
      <c r="E106" s="25">
        <f ca="1">IF(PaymentSchedule3[[#This Row],[Payment Number]]&lt;&gt;"",ScheduledPayment,"")</f>
        <v>2212.1307964707844</v>
      </c>
      <c r="F1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6" s="25">
        <f ca="1">IF(PaymentSchedule3[[#This Row],[Payment Number]]&lt;&gt;"",PaymentSchedule3[[#This Row],[Total
Payment]]-PaymentSchedule3[[#This Row],[Interest]],"")</f>
        <v>465.41069235821556</v>
      </c>
      <c r="I106" s="25">
        <f ca="1">IF(PaymentSchedule3[[#This Row],[Payment Number]]&lt;&gt;"",PaymentSchedule3[[#This Row],[Beginning
Balance]]*(InterestRate/PaymentsPerYear),"")</f>
        <v>1746.7201041125688</v>
      </c>
      <c r="J106" s="25">
        <f ca="1">IF(PaymentSchedule3[[#This Row],[Payment Number]]&lt;&gt;"",IF(PaymentSchedule3[[#This Row],[Scheduled Payment]]+PaymentSchedule3[[#This Row],[Extra
Payment]]&lt;=PaymentSchedule3[[#This Row],[Beginning
Balance]],PaymentSchedule3[[#This Row],[Beginning
Balance]]-PaymentSchedule3[[#This Row],[Principal]],0),"")</f>
        <v>298972.32144122501</v>
      </c>
      <c r="K106" s="25">
        <f ca="1">IF(PaymentSchedule3[[#This Row],[Payment Number]]&lt;&gt;"",SUM(INDEX(PaymentSchedule3[Interest],1,1):PaymentSchedule3[[#This Row],[Interest]]),"")</f>
        <v>172200.48551300782</v>
      </c>
      <c r="L106" s="25">
        <f ca="1">IF(PaymentSchedule3[[#This Row],[Payment Number]]&lt;&gt;"",SUM(INDEX(PaymentSchedule3[Principal],1,1):PaymentSchedule3[[#This Row],[Principal]]),"")</f>
        <v>33527.678558775107</v>
      </c>
    </row>
    <row r="107" spans="2:12" x14ac:dyDescent="0.25">
      <c r="B107" s="23">
        <f ca="1">IF(LoanIsGood,IF(ROW()-ROW(PaymentSchedule3[[#Headers],[Payment Number]])&gt;ScheduledNumberOfPayments,"",ROW()-ROW(PaymentSchedule3[[#Headers],[Payment Number]])),"")</f>
        <v>94</v>
      </c>
      <c r="C107" s="24">
        <f ca="1">IF(PaymentSchedule3[[#This Row],[Payment Number]]&lt;&gt;"",EOMONTH(LoanStartDate,ROW(PaymentSchedule3[[#This Row],[Payment Number]])-ROW(PaymentSchedule3[[#Headers],[Payment Number]])-2)+DAY(LoanStartDate),"")</f>
        <v>48297</v>
      </c>
      <c r="D107" s="25">
        <f ca="1">IF(PaymentSchedule3[[#This Row],[Payment Number]]&lt;&gt;"",IF(ROW()-ROW(PaymentSchedule3[[#Headers],[Beginning
Balance]])=1,LoanAmount,INDEX(PaymentSchedule3[Ending
Balance],ROW()-ROW(PaymentSchedule3[[#Headers],[Beginning
Balance]])-1)),"")</f>
        <v>298972.32144122501</v>
      </c>
      <c r="E107" s="25">
        <f ca="1">IF(PaymentSchedule3[[#This Row],[Payment Number]]&lt;&gt;"",ScheduledPayment,"")</f>
        <v>2212.1307964707844</v>
      </c>
      <c r="F1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7" s="25">
        <f ca="1">IF(PaymentSchedule3[[#This Row],[Payment Number]]&lt;&gt;"",PaymentSchedule3[[#This Row],[Total
Payment]]-PaymentSchedule3[[#This Row],[Interest]],"")</f>
        <v>468.12558806363836</v>
      </c>
      <c r="I107" s="25">
        <f ca="1">IF(PaymentSchedule3[[#This Row],[Payment Number]]&lt;&gt;"",PaymentSchedule3[[#This Row],[Beginning
Balance]]*(InterestRate/PaymentsPerYear),"")</f>
        <v>1744.005208407146</v>
      </c>
      <c r="J107" s="25">
        <f ca="1">IF(PaymentSchedule3[[#This Row],[Payment Number]]&lt;&gt;"",IF(PaymentSchedule3[[#This Row],[Scheduled Payment]]+PaymentSchedule3[[#This Row],[Extra
Payment]]&lt;=PaymentSchedule3[[#This Row],[Beginning
Balance]],PaymentSchedule3[[#This Row],[Beginning
Balance]]-PaymentSchedule3[[#This Row],[Principal]],0),"")</f>
        <v>298504.19585316139</v>
      </c>
      <c r="K107" s="25">
        <f ca="1">IF(PaymentSchedule3[[#This Row],[Payment Number]]&lt;&gt;"",SUM(INDEX(PaymentSchedule3[Interest],1,1):PaymentSchedule3[[#This Row],[Interest]]),"")</f>
        <v>173944.49072141497</v>
      </c>
      <c r="L107" s="25">
        <f ca="1">IF(PaymentSchedule3[[#This Row],[Payment Number]]&lt;&gt;"",SUM(INDEX(PaymentSchedule3[Principal],1,1):PaymentSchedule3[[#This Row],[Principal]]),"")</f>
        <v>33995.804146838746</v>
      </c>
    </row>
    <row r="108" spans="2:12" x14ac:dyDescent="0.25">
      <c r="B108" s="23">
        <f ca="1">IF(LoanIsGood,IF(ROW()-ROW(PaymentSchedule3[[#Headers],[Payment Number]])&gt;ScheduledNumberOfPayments,"",ROW()-ROW(PaymentSchedule3[[#Headers],[Payment Number]])),"")</f>
        <v>95</v>
      </c>
      <c r="C108" s="24">
        <f ca="1">IF(PaymentSchedule3[[#This Row],[Payment Number]]&lt;&gt;"",EOMONTH(LoanStartDate,ROW(PaymentSchedule3[[#This Row],[Payment Number]])-ROW(PaymentSchedule3[[#Headers],[Payment Number]])-2)+DAY(LoanStartDate),"")</f>
        <v>48328</v>
      </c>
      <c r="D108" s="25">
        <f ca="1">IF(PaymentSchedule3[[#This Row],[Payment Number]]&lt;&gt;"",IF(ROW()-ROW(PaymentSchedule3[[#Headers],[Beginning
Balance]])=1,LoanAmount,INDEX(PaymentSchedule3[Ending
Balance],ROW()-ROW(PaymentSchedule3[[#Headers],[Beginning
Balance]])-1)),"")</f>
        <v>298504.19585316139</v>
      </c>
      <c r="E108" s="25">
        <f ca="1">IF(PaymentSchedule3[[#This Row],[Payment Number]]&lt;&gt;"",ScheduledPayment,"")</f>
        <v>2212.1307964707844</v>
      </c>
      <c r="F1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8" s="25">
        <f ca="1">IF(PaymentSchedule3[[#This Row],[Payment Number]]&lt;&gt;"",PaymentSchedule3[[#This Row],[Total
Payment]]-PaymentSchedule3[[#This Row],[Interest]],"")</f>
        <v>470.85632066067615</v>
      </c>
      <c r="I108" s="25">
        <f ca="1">IF(PaymentSchedule3[[#This Row],[Payment Number]]&lt;&gt;"",PaymentSchedule3[[#This Row],[Beginning
Balance]]*(InterestRate/PaymentsPerYear),"")</f>
        <v>1741.2744758101082</v>
      </c>
      <c r="J108" s="25">
        <f ca="1">IF(PaymentSchedule3[[#This Row],[Payment Number]]&lt;&gt;"",IF(PaymentSchedule3[[#This Row],[Scheduled Payment]]+PaymentSchedule3[[#This Row],[Extra
Payment]]&lt;=PaymentSchedule3[[#This Row],[Beginning
Balance]],PaymentSchedule3[[#This Row],[Beginning
Balance]]-PaymentSchedule3[[#This Row],[Principal]],0),"")</f>
        <v>298033.33953250071</v>
      </c>
      <c r="K108" s="25">
        <f ca="1">IF(PaymentSchedule3[[#This Row],[Payment Number]]&lt;&gt;"",SUM(INDEX(PaymentSchedule3[Interest],1,1):PaymentSchedule3[[#This Row],[Interest]]),"")</f>
        <v>175685.76519722509</v>
      </c>
      <c r="L108" s="25">
        <f ca="1">IF(PaymentSchedule3[[#This Row],[Payment Number]]&lt;&gt;"",SUM(INDEX(PaymentSchedule3[Principal],1,1):PaymentSchedule3[[#This Row],[Principal]]),"")</f>
        <v>34466.660467499423</v>
      </c>
    </row>
    <row r="109" spans="2:12" x14ac:dyDescent="0.25">
      <c r="B109" s="23">
        <f ca="1">IF(LoanIsGood,IF(ROW()-ROW(PaymentSchedule3[[#Headers],[Payment Number]])&gt;ScheduledNumberOfPayments,"",ROW()-ROW(PaymentSchedule3[[#Headers],[Payment Number]])),"")</f>
        <v>96</v>
      </c>
      <c r="C109" s="24">
        <f ca="1">IF(PaymentSchedule3[[#This Row],[Payment Number]]&lt;&gt;"",EOMONTH(LoanStartDate,ROW(PaymentSchedule3[[#This Row],[Payment Number]])-ROW(PaymentSchedule3[[#Headers],[Payment Number]])-2)+DAY(LoanStartDate),"")</f>
        <v>48358</v>
      </c>
      <c r="D109" s="25">
        <f ca="1">IF(PaymentSchedule3[[#This Row],[Payment Number]]&lt;&gt;"",IF(ROW()-ROW(PaymentSchedule3[[#Headers],[Beginning
Balance]])=1,LoanAmount,INDEX(PaymentSchedule3[Ending
Balance],ROW()-ROW(PaymentSchedule3[[#Headers],[Beginning
Balance]])-1)),"")</f>
        <v>298033.33953250071</v>
      </c>
      <c r="E109" s="25">
        <f ca="1">IF(PaymentSchedule3[[#This Row],[Payment Number]]&lt;&gt;"",ScheduledPayment,"")</f>
        <v>2212.1307964707844</v>
      </c>
      <c r="F1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09" s="25">
        <f ca="1">IF(PaymentSchedule3[[#This Row],[Payment Number]]&lt;&gt;"",PaymentSchedule3[[#This Row],[Total
Payment]]-PaymentSchedule3[[#This Row],[Interest]],"")</f>
        <v>473.60298253119686</v>
      </c>
      <c r="I109" s="25">
        <f ca="1">IF(PaymentSchedule3[[#This Row],[Payment Number]]&lt;&gt;"",PaymentSchedule3[[#This Row],[Beginning
Balance]]*(InterestRate/PaymentsPerYear),"")</f>
        <v>1738.5278139395875</v>
      </c>
      <c r="J109" s="25">
        <f ca="1">IF(PaymentSchedule3[[#This Row],[Payment Number]]&lt;&gt;"",IF(PaymentSchedule3[[#This Row],[Scheduled Payment]]+PaymentSchedule3[[#This Row],[Extra
Payment]]&lt;=PaymentSchedule3[[#This Row],[Beginning
Balance]],PaymentSchedule3[[#This Row],[Beginning
Balance]]-PaymentSchedule3[[#This Row],[Principal]],0),"")</f>
        <v>297559.73654996953</v>
      </c>
      <c r="K109" s="25">
        <f ca="1">IF(PaymentSchedule3[[#This Row],[Payment Number]]&lt;&gt;"",SUM(INDEX(PaymentSchedule3[Interest],1,1):PaymentSchedule3[[#This Row],[Interest]]),"")</f>
        <v>177424.29301116467</v>
      </c>
      <c r="L109" s="25">
        <f ca="1">IF(PaymentSchedule3[[#This Row],[Payment Number]]&lt;&gt;"",SUM(INDEX(PaymentSchedule3[Principal],1,1):PaymentSchedule3[[#This Row],[Principal]]),"")</f>
        <v>34940.263450030623</v>
      </c>
    </row>
    <row r="110" spans="2:12" x14ac:dyDescent="0.25">
      <c r="B110" s="23">
        <f ca="1">IF(LoanIsGood,IF(ROW()-ROW(PaymentSchedule3[[#Headers],[Payment Number]])&gt;ScheduledNumberOfPayments,"",ROW()-ROW(PaymentSchedule3[[#Headers],[Payment Number]])),"")</f>
        <v>97</v>
      </c>
      <c r="C110" s="24">
        <f ca="1">IF(PaymentSchedule3[[#This Row],[Payment Number]]&lt;&gt;"",EOMONTH(LoanStartDate,ROW(PaymentSchedule3[[#This Row],[Payment Number]])-ROW(PaymentSchedule3[[#Headers],[Payment Number]])-2)+DAY(LoanStartDate),"")</f>
        <v>48389</v>
      </c>
      <c r="D110" s="25">
        <f ca="1">IF(PaymentSchedule3[[#This Row],[Payment Number]]&lt;&gt;"",IF(ROW()-ROW(PaymentSchedule3[[#Headers],[Beginning
Balance]])=1,LoanAmount,INDEX(PaymentSchedule3[Ending
Balance],ROW()-ROW(PaymentSchedule3[[#Headers],[Beginning
Balance]])-1)),"")</f>
        <v>297559.73654996953</v>
      </c>
      <c r="E110" s="25">
        <f ca="1">IF(PaymentSchedule3[[#This Row],[Payment Number]]&lt;&gt;"",ScheduledPayment,"")</f>
        <v>2212.1307964707844</v>
      </c>
      <c r="F1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0" s="25">
        <f ca="1">IF(PaymentSchedule3[[#This Row],[Payment Number]]&lt;&gt;"",PaymentSchedule3[[#This Row],[Total
Payment]]-PaymentSchedule3[[#This Row],[Interest]],"")</f>
        <v>476.36566659596201</v>
      </c>
      <c r="I110" s="25">
        <f ca="1">IF(PaymentSchedule3[[#This Row],[Payment Number]]&lt;&gt;"",PaymentSchedule3[[#This Row],[Beginning
Balance]]*(InterestRate/PaymentsPerYear),"")</f>
        <v>1735.7651298748224</v>
      </c>
      <c r="J110" s="25">
        <f ca="1">IF(PaymentSchedule3[[#This Row],[Payment Number]]&lt;&gt;"",IF(PaymentSchedule3[[#This Row],[Scheduled Payment]]+PaymentSchedule3[[#This Row],[Extra
Payment]]&lt;=PaymentSchedule3[[#This Row],[Beginning
Balance]],PaymentSchedule3[[#This Row],[Beginning
Balance]]-PaymentSchedule3[[#This Row],[Principal]],0),"")</f>
        <v>297083.37088337354</v>
      </c>
      <c r="K110" s="25">
        <f ca="1">IF(PaymentSchedule3[[#This Row],[Payment Number]]&lt;&gt;"",SUM(INDEX(PaymentSchedule3[Interest],1,1):PaymentSchedule3[[#This Row],[Interest]]),"")</f>
        <v>179160.05814103948</v>
      </c>
      <c r="L110" s="25">
        <f ca="1">IF(PaymentSchedule3[[#This Row],[Payment Number]]&lt;&gt;"",SUM(INDEX(PaymentSchedule3[Principal],1,1):PaymentSchedule3[[#This Row],[Principal]]),"")</f>
        <v>35416.629116626587</v>
      </c>
    </row>
    <row r="111" spans="2:12" x14ac:dyDescent="0.25">
      <c r="B111" s="23">
        <f ca="1">IF(LoanIsGood,IF(ROW()-ROW(PaymentSchedule3[[#Headers],[Payment Number]])&gt;ScheduledNumberOfPayments,"",ROW()-ROW(PaymentSchedule3[[#Headers],[Payment Number]])),"")</f>
        <v>98</v>
      </c>
      <c r="C111" s="24">
        <f ca="1">IF(PaymentSchedule3[[#This Row],[Payment Number]]&lt;&gt;"",EOMONTH(LoanStartDate,ROW(PaymentSchedule3[[#This Row],[Payment Number]])-ROW(PaymentSchedule3[[#Headers],[Payment Number]])-2)+DAY(LoanStartDate),"")</f>
        <v>48419</v>
      </c>
      <c r="D111" s="25">
        <f ca="1">IF(PaymentSchedule3[[#This Row],[Payment Number]]&lt;&gt;"",IF(ROW()-ROW(PaymentSchedule3[[#Headers],[Beginning
Balance]])=1,LoanAmount,INDEX(PaymentSchedule3[Ending
Balance],ROW()-ROW(PaymentSchedule3[[#Headers],[Beginning
Balance]])-1)),"")</f>
        <v>297083.37088337354</v>
      </c>
      <c r="E111" s="25">
        <f ca="1">IF(PaymentSchedule3[[#This Row],[Payment Number]]&lt;&gt;"",ScheduledPayment,"")</f>
        <v>2212.1307964707844</v>
      </c>
      <c r="F1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1" s="25">
        <f ca="1">IF(PaymentSchedule3[[#This Row],[Payment Number]]&lt;&gt;"",PaymentSchedule3[[#This Row],[Total
Payment]]-PaymentSchedule3[[#This Row],[Interest]],"")</f>
        <v>479.14446631777196</v>
      </c>
      <c r="I111" s="25">
        <f ca="1">IF(PaymentSchedule3[[#This Row],[Payment Number]]&lt;&gt;"",PaymentSchedule3[[#This Row],[Beginning
Balance]]*(InterestRate/PaymentsPerYear),"")</f>
        <v>1732.9863301530124</v>
      </c>
      <c r="J111" s="25">
        <f ca="1">IF(PaymentSchedule3[[#This Row],[Payment Number]]&lt;&gt;"",IF(PaymentSchedule3[[#This Row],[Scheduled Payment]]+PaymentSchedule3[[#This Row],[Extra
Payment]]&lt;=PaymentSchedule3[[#This Row],[Beginning
Balance]],PaymentSchedule3[[#This Row],[Beginning
Balance]]-PaymentSchedule3[[#This Row],[Principal]],0),"")</f>
        <v>296604.22641705576</v>
      </c>
      <c r="K111" s="25">
        <f ca="1">IF(PaymentSchedule3[[#This Row],[Payment Number]]&lt;&gt;"",SUM(INDEX(PaymentSchedule3[Interest],1,1):PaymentSchedule3[[#This Row],[Interest]]),"")</f>
        <v>180893.04447119249</v>
      </c>
      <c r="L111" s="25">
        <f ca="1">IF(PaymentSchedule3[[#This Row],[Payment Number]]&lt;&gt;"",SUM(INDEX(PaymentSchedule3[Principal],1,1):PaymentSchedule3[[#This Row],[Principal]]),"")</f>
        <v>35895.773582944363</v>
      </c>
    </row>
    <row r="112" spans="2:12" x14ac:dyDescent="0.25">
      <c r="B112" s="23">
        <f ca="1">IF(LoanIsGood,IF(ROW()-ROW(PaymentSchedule3[[#Headers],[Payment Number]])&gt;ScheduledNumberOfPayments,"",ROW()-ROW(PaymentSchedule3[[#Headers],[Payment Number]])),"")</f>
        <v>99</v>
      </c>
      <c r="C112" s="24">
        <f ca="1">IF(PaymentSchedule3[[#This Row],[Payment Number]]&lt;&gt;"",EOMONTH(LoanStartDate,ROW(PaymentSchedule3[[#This Row],[Payment Number]])-ROW(PaymentSchedule3[[#Headers],[Payment Number]])-2)+DAY(LoanStartDate),"")</f>
        <v>48450</v>
      </c>
      <c r="D112" s="25">
        <f ca="1">IF(PaymentSchedule3[[#This Row],[Payment Number]]&lt;&gt;"",IF(ROW()-ROW(PaymentSchedule3[[#Headers],[Beginning
Balance]])=1,LoanAmount,INDEX(PaymentSchedule3[Ending
Balance],ROW()-ROW(PaymentSchedule3[[#Headers],[Beginning
Balance]])-1)),"")</f>
        <v>296604.22641705576</v>
      </c>
      <c r="E112" s="25">
        <f ca="1">IF(PaymentSchedule3[[#This Row],[Payment Number]]&lt;&gt;"",ScheduledPayment,"")</f>
        <v>2212.1307964707844</v>
      </c>
      <c r="F1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2" s="25">
        <f ca="1">IF(PaymentSchedule3[[#This Row],[Payment Number]]&lt;&gt;"",PaymentSchedule3[[#This Row],[Total
Payment]]-PaymentSchedule3[[#This Row],[Interest]],"")</f>
        <v>481.93947570462569</v>
      </c>
      <c r="I112" s="25">
        <f ca="1">IF(PaymentSchedule3[[#This Row],[Payment Number]]&lt;&gt;"",PaymentSchedule3[[#This Row],[Beginning
Balance]]*(InterestRate/PaymentsPerYear),"")</f>
        <v>1730.1913207661587</v>
      </c>
      <c r="J112" s="25">
        <f ca="1">IF(PaymentSchedule3[[#This Row],[Payment Number]]&lt;&gt;"",IF(PaymentSchedule3[[#This Row],[Scheduled Payment]]+PaymentSchedule3[[#This Row],[Extra
Payment]]&lt;=PaymentSchedule3[[#This Row],[Beginning
Balance]],PaymentSchedule3[[#This Row],[Beginning
Balance]]-PaymentSchedule3[[#This Row],[Principal]],0),"")</f>
        <v>296122.28694135114</v>
      </c>
      <c r="K112" s="25">
        <f ca="1">IF(PaymentSchedule3[[#This Row],[Payment Number]]&lt;&gt;"",SUM(INDEX(PaymentSchedule3[Interest],1,1):PaymentSchedule3[[#This Row],[Interest]]),"")</f>
        <v>182623.23579195866</v>
      </c>
      <c r="L112" s="25">
        <f ca="1">IF(PaymentSchedule3[[#This Row],[Payment Number]]&lt;&gt;"",SUM(INDEX(PaymentSchedule3[Principal],1,1):PaymentSchedule3[[#This Row],[Principal]]),"")</f>
        <v>36377.713058648987</v>
      </c>
    </row>
    <row r="113" spans="2:12" x14ac:dyDescent="0.25">
      <c r="B113" s="23">
        <f ca="1">IF(LoanIsGood,IF(ROW()-ROW(PaymentSchedule3[[#Headers],[Payment Number]])&gt;ScheduledNumberOfPayments,"",ROW()-ROW(PaymentSchedule3[[#Headers],[Payment Number]])),"")</f>
        <v>100</v>
      </c>
      <c r="C113" s="24">
        <f ca="1">IF(PaymentSchedule3[[#This Row],[Payment Number]]&lt;&gt;"",EOMONTH(LoanStartDate,ROW(PaymentSchedule3[[#This Row],[Payment Number]])-ROW(PaymentSchedule3[[#Headers],[Payment Number]])-2)+DAY(LoanStartDate),"")</f>
        <v>48481</v>
      </c>
      <c r="D113" s="25">
        <f ca="1">IF(PaymentSchedule3[[#This Row],[Payment Number]]&lt;&gt;"",IF(ROW()-ROW(PaymentSchedule3[[#Headers],[Beginning
Balance]])=1,LoanAmount,INDEX(PaymentSchedule3[Ending
Balance],ROW()-ROW(PaymentSchedule3[[#Headers],[Beginning
Balance]])-1)),"")</f>
        <v>296122.28694135114</v>
      </c>
      <c r="E113" s="25">
        <f ca="1">IF(PaymentSchedule3[[#This Row],[Payment Number]]&lt;&gt;"",ScheduledPayment,"")</f>
        <v>2212.1307964707844</v>
      </c>
      <c r="F1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3" s="25">
        <f ca="1">IF(PaymentSchedule3[[#This Row],[Payment Number]]&lt;&gt;"",PaymentSchedule3[[#This Row],[Total
Payment]]-PaymentSchedule3[[#This Row],[Interest]],"")</f>
        <v>484.75078931290273</v>
      </c>
      <c r="I113" s="25">
        <f ca="1">IF(PaymentSchedule3[[#This Row],[Payment Number]]&lt;&gt;"",PaymentSchedule3[[#This Row],[Beginning
Balance]]*(InterestRate/PaymentsPerYear),"")</f>
        <v>1727.3800071578817</v>
      </c>
      <c r="J113" s="25">
        <f ca="1">IF(PaymentSchedule3[[#This Row],[Payment Number]]&lt;&gt;"",IF(PaymentSchedule3[[#This Row],[Scheduled Payment]]+PaymentSchedule3[[#This Row],[Extra
Payment]]&lt;=PaymentSchedule3[[#This Row],[Beginning
Balance]],PaymentSchedule3[[#This Row],[Beginning
Balance]]-PaymentSchedule3[[#This Row],[Principal]],0),"")</f>
        <v>295637.53615203826</v>
      </c>
      <c r="K113" s="25">
        <f ca="1">IF(PaymentSchedule3[[#This Row],[Payment Number]]&lt;&gt;"",SUM(INDEX(PaymentSchedule3[Interest],1,1):PaymentSchedule3[[#This Row],[Interest]]),"")</f>
        <v>184350.61579911655</v>
      </c>
      <c r="L113" s="25">
        <f ca="1">IF(PaymentSchedule3[[#This Row],[Payment Number]]&lt;&gt;"",SUM(INDEX(PaymentSchedule3[Principal],1,1):PaymentSchedule3[[#This Row],[Principal]]),"")</f>
        <v>36862.463847961888</v>
      </c>
    </row>
    <row r="114" spans="2:12" x14ac:dyDescent="0.25">
      <c r="B114" s="23">
        <f ca="1">IF(LoanIsGood,IF(ROW()-ROW(PaymentSchedule3[[#Headers],[Payment Number]])&gt;ScheduledNumberOfPayments,"",ROW()-ROW(PaymentSchedule3[[#Headers],[Payment Number]])),"")</f>
        <v>101</v>
      </c>
      <c r="C114" s="24">
        <f ca="1">IF(PaymentSchedule3[[#This Row],[Payment Number]]&lt;&gt;"",EOMONTH(LoanStartDate,ROW(PaymentSchedule3[[#This Row],[Payment Number]])-ROW(PaymentSchedule3[[#Headers],[Payment Number]])-2)+DAY(LoanStartDate),"")</f>
        <v>48511</v>
      </c>
      <c r="D114" s="25">
        <f ca="1">IF(PaymentSchedule3[[#This Row],[Payment Number]]&lt;&gt;"",IF(ROW()-ROW(PaymentSchedule3[[#Headers],[Beginning
Balance]])=1,LoanAmount,INDEX(PaymentSchedule3[Ending
Balance],ROW()-ROW(PaymentSchedule3[[#Headers],[Beginning
Balance]])-1)),"")</f>
        <v>295637.53615203826</v>
      </c>
      <c r="E114" s="25">
        <f ca="1">IF(PaymentSchedule3[[#This Row],[Payment Number]]&lt;&gt;"",ScheduledPayment,"")</f>
        <v>2212.1307964707844</v>
      </c>
      <c r="F1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4" s="25">
        <f ca="1">IF(PaymentSchedule3[[#This Row],[Payment Number]]&lt;&gt;"",PaymentSchedule3[[#This Row],[Total
Payment]]-PaymentSchedule3[[#This Row],[Interest]],"")</f>
        <v>487.57850225056109</v>
      </c>
      <c r="I114" s="25">
        <f ca="1">IF(PaymentSchedule3[[#This Row],[Payment Number]]&lt;&gt;"",PaymentSchedule3[[#This Row],[Beginning
Balance]]*(InterestRate/PaymentsPerYear),"")</f>
        <v>1724.5522942202233</v>
      </c>
      <c r="J114" s="25">
        <f ca="1">IF(PaymentSchedule3[[#This Row],[Payment Number]]&lt;&gt;"",IF(PaymentSchedule3[[#This Row],[Scheduled Payment]]+PaymentSchedule3[[#This Row],[Extra
Payment]]&lt;=PaymentSchedule3[[#This Row],[Beginning
Balance]],PaymentSchedule3[[#This Row],[Beginning
Balance]]-PaymentSchedule3[[#This Row],[Principal]],0),"")</f>
        <v>295149.95764978771</v>
      </c>
      <c r="K114" s="25">
        <f ca="1">IF(PaymentSchedule3[[#This Row],[Payment Number]]&lt;&gt;"",SUM(INDEX(PaymentSchedule3[Interest],1,1):PaymentSchedule3[[#This Row],[Interest]]),"")</f>
        <v>186075.16809333678</v>
      </c>
      <c r="L114" s="25">
        <f ca="1">IF(PaymentSchedule3[[#This Row],[Payment Number]]&lt;&gt;"",SUM(INDEX(PaymentSchedule3[Principal],1,1):PaymentSchedule3[[#This Row],[Principal]]),"")</f>
        <v>37350.042350212447</v>
      </c>
    </row>
    <row r="115" spans="2:12" x14ac:dyDescent="0.25">
      <c r="B115" s="23">
        <f ca="1">IF(LoanIsGood,IF(ROW()-ROW(PaymentSchedule3[[#Headers],[Payment Number]])&gt;ScheduledNumberOfPayments,"",ROW()-ROW(PaymentSchedule3[[#Headers],[Payment Number]])),"")</f>
        <v>102</v>
      </c>
      <c r="C115" s="24">
        <f ca="1">IF(PaymentSchedule3[[#This Row],[Payment Number]]&lt;&gt;"",EOMONTH(LoanStartDate,ROW(PaymentSchedule3[[#This Row],[Payment Number]])-ROW(PaymentSchedule3[[#Headers],[Payment Number]])-2)+DAY(LoanStartDate),"")</f>
        <v>48542</v>
      </c>
      <c r="D115" s="25">
        <f ca="1">IF(PaymentSchedule3[[#This Row],[Payment Number]]&lt;&gt;"",IF(ROW()-ROW(PaymentSchedule3[[#Headers],[Beginning
Balance]])=1,LoanAmount,INDEX(PaymentSchedule3[Ending
Balance],ROW()-ROW(PaymentSchedule3[[#Headers],[Beginning
Balance]])-1)),"")</f>
        <v>295149.95764978771</v>
      </c>
      <c r="E115" s="25">
        <f ca="1">IF(PaymentSchedule3[[#This Row],[Payment Number]]&lt;&gt;"",ScheduledPayment,"")</f>
        <v>2212.1307964707844</v>
      </c>
      <c r="F1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5" s="25">
        <f ca="1">IF(PaymentSchedule3[[#This Row],[Payment Number]]&lt;&gt;"",PaymentSchedule3[[#This Row],[Total
Payment]]-PaymentSchedule3[[#This Row],[Interest]],"")</f>
        <v>490.42271018035603</v>
      </c>
      <c r="I115" s="25">
        <f ca="1">IF(PaymentSchedule3[[#This Row],[Payment Number]]&lt;&gt;"",PaymentSchedule3[[#This Row],[Beginning
Balance]]*(InterestRate/PaymentsPerYear),"")</f>
        <v>1721.7080862904284</v>
      </c>
      <c r="J115" s="25">
        <f ca="1">IF(PaymentSchedule3[[#This Row],[Payment Number]]&lt;&gt;"",IF(PaymentSchedule3[[#This Row],[Scheduled Payment]]+PaymentSchedule3[[#This Row],[Extra
Payment]]&lt;=PaymentSchedule3[[#This Row],[Beginning
Balance]],PaymentSchedule3[[#This Row],[Beginning
Balance]]-PaymentSchedule3[[#This Row],[Principal]],0),"")</f>
        <v>294659.53493960737</v>
      </c>
      <c r="K115" s="25">
        <f ca="1">IF(PaymentSchedule3[[#This Row],[Payment Number]]&lt;&gt;"",SUM(INDEX(PaymentSchedule3[Interest],1,1):PaymentSchedule3[[#This Row],[Interest]]),"")</f>
        <v>187796.8761796272</v>
      </c>
      <c r="L115" s="25">
        <f ca="1">IF(PaymentSchedule3[[#This Row],[Payment Number]]&lt;&gt;"",SUM(INDEX(PaymentSchedule3[Principal],1,1):PaymentSchedule3[[#This Row],[Principal]]),"")</f>
        <v>37840.465060392802</v>
      </c>
    </row>
    <row r="116" spans="2:12" x14ac:dyDescent="0.25">
      <c r="B116" s="23">
        <f ca="1">IF(LoanIsGood,IF(ROW()-ROW(PaymentSchedule3[[#Headers],[Payment Number]])&gt;ScheduledNumberOfPayments,"",ROW()-ROW(PaymentSchedule3[[#Headers],[Payment Number]])),"")</f>
        <v>103</v>
      </c>
      <c r="C116" s="24">
        <f ca="1">IF(PaymentSchedule3[[#This Row],[Payment Number]]&lt;&gt;"",EOMONTH(LoanStartDate,ROW(PaymentSchedule3[[#This Row],[Payment Number]])-ROW(PaymentSchedule3[[#Headers],[Payment Number]])-2)+DAY(LoanStartDate),"")</f>
        <v>48572</v>
      </c>
      <c r="D116" s="25">
        <f ca="1">IF(PaymentSchedule3[[#This Row],[Payment Number]]&lt;&gt;"",IF(ROW()-ROW(PaymentSchedule3[[#Headers],[Beginning
Balance]])=1,LoanAmount,INDEX(PaymentSchedule3[Ending
Balance],ROW()-ROW(PaymentSchedule3[[#Headers],[Beginning
Balance]])-1)),"")</f>
        <v>294659.53493960737</v>
      </c>
      <c r="E116" s="25">
        <f ca="1">IF(PaymentSchedule3[[#This Row],[Payment Number]]&lt;&gt;"",ScheduledPayment,"")</f>
        <v>2212.1307964707844</v>
      </c>
      <c r="F1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6" s="25">
        <f ca="1">IF(PaymentSchedule3[[#This Row],[Payment Number]]&lt;&gt;"",PaymentSchedule3[[#This Row],[Total
Payment]]-PaymentSchedule3[[#This Row],[Interest]],"")</f>
        <v>493.28350932307467</v>
      </c>
      <c r="I116" s="25">
        <f ca="1">IF(PaymentSchedule3[[#This Row],[Payment Number]]&lt;&gt;"",PaymentSchedule3[[#This Row],[Beginning
Balance]]*(InterestRate/PaymentsPerYear),"")</f>
        <v>1718.8472871477097</v>
      </c>
      <c r="J116" s="25">
        <f ca="1">IF(PaymentSchedule3[[#This Row],[Payment Number]]&lt;&gt;"",IF(PaymentSchedule3[[#This Row],[Scheduled Payment]]+PaymentSchedule3[[#This Row],[Extra
Payment]]&lt;=PaymentSchedule3[[#This Row],[Beginning
Balance]],PaymentSchedule3[[#This Row],[Beginning
Balance]]-PaymentSchedule3[[#This Row],[Principal]],0),"")</f>
        <v>294166.25143028429</v>
      </c>
      <c r="K116" s="25">
        <f ca="1">IF(PaymentSchedule3[[#This Row],[Payment Number]]&lt;&gt;"",SUM(INDEX(PaymentSchedule3[Interest],1,1):PaymentSchedule3[[#This Row],[Interest]]),"")</f>
        <v>189515.72346677491</v>
      </c>
      <c r="L116" s="25">
        <f ca="1">IF(PaymentSchedule3[[#This Row],[Payment Number]]&lt;&gt;"",SUM(INDEX(PaymentSchedule3[Principal],1,1):PaymentSchedule3[[#This Row],[Principal]]),"")</f>
        <v>38333.748569715877</v>
      </c>
    </row>
    <row r="117" spans="2:12" x14ac:dyDescent="0.25">
      <c r="B117" s="23">
        <f ca="1">IF(LoanIsGood,IF(ROW()-ROW(PaymentSchedule3[[#Headers],[Payment Number]])&gt;ScheduledNumberOfPayments,"",ROW()-ROW(PaymentSchedule3[[#Headers],[Payment Number]])),"")</f>
        <v>104</v>
      </c>
      <c r="C117" s="24">
        <f ca="1">IF(PaymentSchedule3[[#This Row],[Payment Number]]&lt;&gt;"",EOMONTH(LoanStartDate,ROW(PaymentSchedule3[[#This Row],[Payment Number]])-ROW(PaymentSchedule3[[#Headers],[Payment Number]])-2)+DAY(LoanStartDate),"")</f>
        <v>48603</v>
      </c>
      <c r="D117" s="25">
        <f ca="1">IF(PaymentSchedule3[[#This Row],[Payment Number]]&lt;&gt;"",IF(ROW()-ROW(PaymentSchedule3[[#Headers],[Beginning
Balance]])=1,LoanAmount,INDEX(PaymentSchedule3[Ending
Balance],ROW()-ROW(PaymentSchedule3[[#Headers],[Beginning
Balance]])-1)),"")</f>
        <v>294166.25143028429</v>
      </c>
      <c r="E117" s="25">
        <f ca="1">IF(PaymentSchedule3[[#This Row],[Payment Number]]&lt;&gt;"",ScheduledPayment,"")</f>
        <v>2212.1307964707844</v>
      </c>
      <c r="F1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7" s="25">
        <f ca="1">IF(PaymentSchedule3[[#This Row],[Payment Number]]&lt;&gt;"",PaymentSchedule3[[#This Row],[Total
Payment]]-PaymentSchedule3[[#This Row],[Interest]],"")</f>
        <v>496.1609964607926</v>
      </c>
      <c r="I117" s="25">
        <f ca="1">IF(PaymentSchedule3[[#This Row],[Payment Number]]&lt;&gt;"",PaymentSchedule3[[#This Row],[Beginning
Balance]]*(InterestRate/PaymentsPerYear),"")</f>
        <v>1715.9698000099918</v>
      </c>
      <c r="J117" s="25">
        <f ca="1">IF(PaymentSchedule3[[#This Row],[Payment Number]]&lt;&gt;"",IF(PaymentSchedule3[[#This Row],[Scheduled Payment]]+PaymentSchedule3[[#This Row],[Extra
Payment]]&lt;=PaymentSchedule3[[#This Row],[Beginning
Balance]],PaymentSchedule3[[#This Row],[Beginning
Balance]]-PaymentSchedule3[[#This Row],[Principal]],0),"")</f>
        <v>293670.09043382347</v>
      </c>
      <c r="K117" s="25">
        <f ca="1">IF(PaymentSchedule3[[#This Row],[Payment Number]]&lt;&gt;"",SUM(INDEX(PaymentSchedule3[Interest],1,1):PaymentSchedule3[[#This Row],[Interest]]),"")</f>
        <v>191231.69326678492</v>
      </c>
      <c r="L117" s="25">
        <f ca="1">IF(PaymentSchedule3[[#This Row],[Payment Number]]&lt;&gt;"",SUM(INDEX(PaymentSchedule3[Principal],1,1):PaymentSchedule3[[#This Row],[Principal]]),"")</f>
        <v>38829.90956617667</v>
      </c>
    </row>
    <row r="118" spans="2:12" x14ac:dyDescent="0.25">
      <c r="B118" s="23">
        <f ca="1">IF(LoanIsGood,IF(ROW()-ROW(PaymentSchedule3[[#Headers],[Payment Number]])&gt;ScheduledNumberOfPayments,"",ROW()-ROW(PaymentSchedule3[[#Headers],[Payment Number]])),"")</f>
        <v>105</v>
      </c>
      <c r="C118" s="24">
        <f ca="1">IF(PaymentSchedule3[[#This Row],[Payment Number]]&lt;&gt;"",EOMONTH(LoanStartDate,ROW(PaymentSchedule3[[#This Row],[Payment Number]])-ROW(PaymentSchedule3[[#Headers],[Payment Number]])-2)+DAY(LoanStartDate),"")</f>
        <v>48634</v>
      </c>
      <c r="D118" s="25">
        <f ca="1">IF(PaymentSchedule3[[#This Row],[Payment Number]]&lt;&gt;"",IF(ROW()-ROW(PaymentSchedule3[[#Headers],[Beginning
Balance]])=1,LoanAmount,INDEX(PaymentSchedule3[Ending
Balance],ROW()-ROW(PaymentSchedule3[[#Headers],[Beginning
Balance]])-1)),"")</f>
        <v>293670.09043382347</v>
      </c>
      <c r="E118" s="25">
        <f ca="1">IF(PaymentSchedule3[[#This Row],[Payment Number]]&lt;&gt;"",ScheduledPayment,"")</f>
        <v>2212.1307964707844</v>
      </c>
      <c r="F1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8" s="25">
        <f ca="1">IF(PaymentSchedule3[[#This Row],[Payment Number]]&lt;&gt;"",PaymentSchedule3[[#This Row],[Total
Payment]]-PaymentSchedule3[[#This Row],[Interest]],"")</f>
        <v>499.05526894014747</v>
      </c>
      <c r="I118" s="25">
        <f ca="1">IF(PaymentSchedule3[[#This Row],[Payment Number]]&lt;&gt;"",PaymentSchedule3[[#This Row],[Beginning
Balance]]*(InterestRate/PaymentsPerYear),"")</f>
        <v>1713.0755275306369</v>
      </c>
      <c r="J118" s="25">
        <f ca="1">IF(PaymentSchedule3[[#This Row],[Payment Number]]&lt;&gt;"",IF(PaymentSchedule3[[#This Row],[Scheduled Payment]]+PaymentSchedule3[[#This Row],[Extra
Payment]]&lt;=PaymentSchedule3[[#This Row],[Beginning
Balance]],PaymentSchedule3[[#This Row],[Beginning
Balance]]-PaymentSchedule3[[#This Row],[Principal]],0),"")</f>
        <v>293171.0351648833</v>
      </c>
      <c r="K118" s="25">
        <f ca="1">IF(PaymentSchedule3[[#This Row],[Payment Number]]&lt;&gt;"",SUM(INDEX(PaymentSchedule3[Interest],1,1):PaymentSchedule3[[#This Row],[Interest]]),"")</f>
        <v>192944.76879431555</v>
      </c>
      <c r="L118" s="25">
        <f ca="1">IF(PaymentSchedule3[[#This Row],[Payment Number]]&lt;&gt;"",SUM(INDEX(PaymentSchedule3[Principal],1,1):PaymentSchedule3[[#This Row],[Principal]]),"")</f>
        <v>39328.964835116814</v>
      </c>
    </row>
    <row r="119" spans="2:12" x14ac:dyDescent="0.25">
      <c r="B119" s="23">
        <f ca="1">IF(LoanIsGood,IF(ROW()-ROW(PaymentSchedule3[[#Headers],[Payment Number]])&gt;ScheduledNumberOfPayments,"",ROW()-ROW(PaymentSchedule3[[#Headers],[Payment Number]])),"")</f>
        <v>106</v>
      </c>
      <c r="C119" s="24">
        <f ca="1">IF(PaymentSchedule3[[#This Row],[Payment Number]]&lt;&gt;"",EOMONTH(LoanStartDate,ROW(PaymentSchedule3[[#This Row],[Payment Number]])-ROW(PaymentSchedule3[[#Headers],[Payment Number]])-2)+DAY(LoanStartDate),"")</f>
        <v>48662</v>
      </c>
      <c r="D119" s="25">
        <f ca="1">IF(PaymentSchedule3[[#This Row],[Payment Number]]&lt;&gt;"",IF(ROW()-ROW(PaymentSchedule3[[#Headers],[Beginning
Balance]])=1,LoanAmount,INDEX(PaymentSchedule3[Ending
Balance],ROW()-ROW(PaymentSchedule3[[#Headers],[Beginning
Balance]])-1)),"")</f>
        <v>293171.0351648833</v>
      </c>
      <c r="E119" s="25">
        <f ca="1">IF(PaymentSchedule3[[#This Row],[Payment Number]]&lt;&gt;"",ScheduledPayment,"")</f>
        <v>2212.1307964707844</v>
      </c>
      <c r="F1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19" s="25">
        <f ca="1">IF(PaymentSchedule3[[#This Row],[Payment Number]]&lt;&gt;"",PaymentSchedule3[[#This Row],[Total
Payment]]-PaymentSchedule3[[#This Row],[Interest]],"")</f>
        <v>501.96642467563174</v>
      </c>
      <c r="I119" s="25">
        <f ca="1">IF(PaymentSchedule3[[#This Row],[Payment Number]]&lt;&gt;"",PaymentSchedule3[[#This Row],[Beginning
Balance]]*(InterestRate/PaymentsPerYear),"")</f>
        <v>1710.1643717951526</v>
      </c>
      <c r="J119" s="25">
        <f ca="1">IF(PaymentSchedule3[[#This Row],[Payment Number]]&lt;&gt;"",IF(PaymentSchedule3[[#This Row],[Scheduled Payment]]+PaymentSchedule3[[#This Row],[Extra
Payment]]&lt;=PaymentSchedule3[[#This Row],[Beginning
Balance]],PaymentSchedule3[[#This Row],[Beginning
Balance]]-PaymentSchedule3[[#This Row],[Principal]],0),"")</f>
        <v>292669.06874020764</v>
      </c>
      <c r="K119" s="25">
        <f ca="1">IF(PaymentSchedule3[[#This Row],[Payment Number]]&lt;&gt;"",SUM(INDEX(PaymentSchedule3[Interest],1,1):PaymentSchedule3[[#This Row],[Interest]]),"")</f>
        <v>194654.93316611071</v>
      </c>
      <c r="L119" s="25">
        <f ca="1">IF(PaymentSchedule3[[#This Row],[Payment Number]]&lt;&gt;"",SUM(INDEX(PaymentSchedule3[Principal],1,1):PaymentSchedule3[[#This Row],[Principal]]),"")</f>
        <v>39830.931259792444</v>
      </c>
    </row>
    <row r="120" spans="2:12" x14ac:dyDescent="0.25">
      <c r="B120" s="23">
        <f ca="1">IF(LoanIsGood,IF(ROW()-ROW(PaymentSchedule3[[#Headers],[Payment Number]])&gt;ScheduledNumberOfPayments,"",ROW()-ROW(PaymentSchedule3[[#Headers],[Payment Number]])),"")</f>
        <v>107</v>
      </c>
      <c r="C120" s="24">
        <f ca="1">IF(PaymentSchedule3[[#This Row],[Payment Number]]&lt;&gt;"",EOMONTH(LoanStartDate,ROW(PaymentSchedule3[[#This Row],[Payment Number]])-ROW(PaymentSchedule3[[#Headers],[Payment Number]])-2)+DAY(LoanStartDate),"")</f>
        <v>48693</v>
      </c>
      <c r="D120" s="25">
        <f ca="1">IF(PaymentSchedule3[[#This Row],[Payment Number]]&lt;&gt;"",IF(ROW()-ROW(PaymentSchedule3[[#Headers],[Beginning
Balance]])=1,LoanAmount,INDEX(PaymentSchedule3[Ending
Balance],ROW()-ROW(PaymentSchedule3[[#Headers],[Beginning
Balance]])-1)),"")</f>
        <v>292669.06874020764</v>
      </c>
      <c r="E120" s="25">
        <f ca="1">IF(PaymentSchedule3[[#This Row],[Payment Number]]&lt;&gt;"",ScheduledPayment,"")</f>
        <v>2212.1307964707844</v>
      </c>
      <c r="F1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0" s="25">
        <f ca="1">IF(PaymentSchedule3[[#This Row],[Payment Number]]&lt;&gt;"",PaymentSchedule3[[#This Row],[Total
Payment]]-PaymentSchedule3[[#This Row],[Interest]],"")</f>
        <v>504.89456215290647</v>
      </c>
      <c r="I120" s="25">
        <f ca="1">IF(PaymentSchedule3[[#This Row],[Payment Number]]&lt;&gt;"",PaymentSchedule3[[#This Row],[Beginning
Balance]]*(InterestRate/PaymentsPerYear),"")</f>
        <v>1707.2362343178779</v>
      </c>
      <c r="J120" s="25">
        <f ca="1">IF(PaymentSchedule3[[#This Row],[Payment Number]]&lt;&gt;"",IF(PaymentSchedule3[[#This Row],[Scheduled Payment]]+PaymentSchedule3[[#This Row],[Extra
Payment]]&lt;=PaymentSchedule3[[#This Row],[Beginning
Balance]],PaymentSchedule3[[#This Row],[Beginning
Balance]]-PaymentSchedule3[[#This Row],[Principal]],0),"")</f>
        <v>292164.17417805473</v>
      </c>
      <c r="K120" s="25">
        <f ca="1">IF(PaymentSchedule3[[#This Row],[Payment Number]]&lt;&gt;"",SUM(INDEX(PaymentSchedule3[Interest],1,1):PaymentSchedule3[[#This Row],[Interest]]),"")</f>
        <v>196362.1694004286</v>
      </c>
      <c r="L120" s="25">
        <f ca="1">IF(PaymentSchedule3[[#This Row],[Payment Number]]&lt;&gt;"",SUM(INDEX(PaymentSchedule3[Principal],1,1):PaymentSchedule3[[#This Row],[Principal]]),"")</f>
        <v>40335.825821945349</v>
      </c>
    </row>
    <row r="121" spans="2:12" x14ac:dyDescent="0.25">
      <c r="B121" s="23">
        <f ca="1">IF(LoanIsGood,IF(ROW()-ROW(PaymentSchedule3[[#Headers],[Payment Number]])&gt;ScheduledNumberOfPayments,"",ROW()-ROW(PaymentSchedule3[[#Headers],[Payment Number]])),"")</f>
        <v>108</v>
      </c>
      <c r="C121" s="24">
        <f ca="1">IF(PaymentSchedule3[[#This Row],[Payment Number]]&lt;&gt;"",EOMONTH(LoanStartDate,ROW(PaymentSchedule3[[#This Row],[Payment Number]])-ROW(PaymentSchedule3[[#Headers],[Payment Number]])-2)+DAY(LoanStartDate),"")</f>
        <v>48723</v>
      </c>
      <c r="D121" s="25">
        <f ca="1">IF(PaymentSchedule3[[#This Row],[Payment Number]]&lt;&gt;"",IF(ROW()-ROW(PaymentSchedule3[[#Headers],[Beginning
Balance]])=1,LoanAmount,INDEX(PaymentSchedule3[Ending
Balance],ROW()-ROW(PaymentSchedule3[[#Headers],[Beginning
Balance]])-1)),"")</f>
        <v>292164.17417805473</v>
      </c>
      <c r="E121" s="25">
        <f ca="1">IF(PaymentSchedule3[[#This Row],[Payment Number]]&lt;&gt;"",ScheduledPayment,"")</f>
        <v>2212.1307964707844</v>
      </c>
      <c r="F1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1" s="25">
        <f ca="1">IF(PaymentSchedule3[[#This Row],[Payment Number]]&lt;&gt;"",PaymentSchedule3[[#This Row],[Total
Payment]]-PaymentSchedule3[[#This Row],[Interest]],"")</f>
        <v>507.83978043213165</v>
      </c>
      <c r="I121" s="25">
        <f ca="1">IF(PaymentSchedule3[[#This Row],[Payment Number]]&lt;&gt;"",PaymentSchedule3[[#This Row],[Beginning
Balance]]*(InterestRate/PaymentsPerYear),"")</f>
        <v>1704.2910160386527</v>
      </c>
      <c r="J121" s="25">
        <f ca="1">IF(PaymentSchedule3[[#This Row],[Payment Number]]&lt;&gt;"",IF(PaymentSchedule3[[#This Row],[Scheduled Payment]]+PaymentSchedule3[[#This Row],[Extra
Payment]]&lt;=PaymentSchedule3[[#This Row],[Beginning
Balance]],PaymentSchedule3[[#This Row],[Beginning
Balance]]-PaymentSchedule3[[#This Row],[Principal]],0),"")</f>
        <v>291656.33439762262</v>
      </c>
      <c r="K121" s="25">
        <f ca="1">IF(PaymentSchedule3[[#This Row],[Payment Number]]&lt;&gt;"",SUM(INDEX(PaymentSchedule3[Interest],1,1):PaymentSchedule3[[#This Row],[Interest]]),"")</f>
        <v>198066.46041646725</v>
      </c>
      <c r="L121" s="25">
        <f ca="1">IF(PaymentSchedule3[[#This Row],[Payment Number]]&lt;&gt;"",SUM(INDEX(PaymentSchedule3[Principal],1,1):PaymentSchedule3[[#This Row],[Principal]]),"")</f>
        <v>40843.665602377478</v>
      </c>
    </row>
    <row r="122" spans="2:12" x14ac:dyDescent="0.25">
      <c r="B122" s="23">
        <f ca="1">IF(LoanIsGood,IF(ROW()-ROW(PaymentSchedule3[[#Headers],[Payment Number]])&gt;ScheduledNumberOfPayments,"",ROW()-ROW(PaymentSchedule3[[#Headers],[Payment Number]])),"")</f>
        <v>109</v>
      </c>
      <c r="C122" s="24">
        <f ca="1">IF(PaymentSchedule3[[#This Row],[Payment Number]]&lt;&gt;"",EOMONTH(LoanStartDate,ROW(PaymentSchedule3[[#This Row],[Payment Number]])-ROW(PaymentSchedule3[[#Headers],[Payment Number]])-2)+DAY(LoanStartDate),"")</f>
        <v>48754</v>
      </c>
      <c r="D122" s="25">
        <f ca="1">IF(PaymentSchedule3[[#This Row],[Payment Number]]&lt;&gt;"",IF(ROW()-ROW(PaymentSchedule3[[#Headers],[Beginning
Balance]])=1,LoanAmount,INDEX(PaymentSchedule3[Ending
Balance],ROW()-ROW(PaymentSchedule3[[#Headers],[Beginning
Balance]])-1)),"")</f>
        <v>291656.33439762262</v>
      </c>
      <c r="E122" s="25">
        <f ca="1">IF(PaymentSchedule3[[#This Row],[Payment Number]]&lt;&gt;"",ScheduledPayment,"")</f>
        <v>2212.1307964707844</v>
      </c>
      <c r="F1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2" s="25">
        <f ca="1">IF(PaymentSchedule3[[#This Row],[Payment Number]]&lt;&gt;"",PaymentSchedule3[[#This Row],[Total
Payment]]-PaymentSchedule3[[#This Row],[Interest]],"")</f>
        <v>510.80217915131902</v>
      </c>
      <c r="I122" s="25">
        <f ca="1">IF(PaymentSchedule3[[#This Row],[Payment Number]]&lt;&gt;"",PaymentSchedule3[[#This Row],[Beginning
Balance]]*(InterestRate/PaymentsPerYear),"")</f>
        <v>1701.3286173194654</v>
      </c>
      <c r="J122" s="25">
        <f ca="1">IF(PaymentSchedule3[[#This Row],[Payment Number]]&lt;&gt;"",IF(PaymentSchedule3[[#This Row],[Scheduled Payment]]+PaymentSchedule3[[#This Row],[Extra
Payment]]&lt;=PaymentSchedule3[[#This Row],[Beginning
Balance]],PaymentSchedule3[[#This Row],[Beginning
Balance]]-PaymentSchedule3[[#This Row],[Principal]],0),"")</f>
        <v>291145.53221847129</v>
      </c>
      <c r="K122" s="25">
        <f ca="1">IF(PaymentSchedule3[[#This Row],[Payment Number]]&lt;&gt;"",SUM(INDEX(PaymentSchedule3[Interest],1,1):PaymentSchedule3[[#This Row],[Interest]]),"")</f>
        <v>199767.78903378671</v>
      </c>
      <c r="L122" s="25">
        <f ca="1">IF(PaymentSchedule3[[#This Row],[Payment Number]]&lt;&gt;"",SUM(INDEX(PaymentSchedule3[Principal],1,1):PaymentSchedule3[[#This Row],[Principal]]),"")</f>
        <v>41354.467781528794</v>
      </c>
    </row>
    <row r="123" spans="2:12" x14ac:dyDescent="0.25">
      <c r="B123" s="23">
        <f ca="1">IF(LoanIsGood,IF(ROW()-ROW(PaymentSchedule3[[#Headers],[Payment Number]])&gt;ScheduledNumberOfPayments,"",ROW()-ROW(PaymentSchedule3[[#Headers],[Payment Number]])),"")</f>
        <v>110</v>
      </c>
      <c r="C123" s="24">
        <f ca="1">IF(PaymentSchedule3[[#This Row],[Payment Number]]&lt;&gt;"",EOMONTH(LoanStartDate,ROW(PaymentSchedule3[[#This Row],[Payment Number]])-ROW(PaymentSchedule3[[#Headers],[Payment Number]])-2)+DAY(LoanStartDate),"")</f>
        <v>48784</v>
      </c>
      <c r="D123" s="25">
        <f ca="1">IF(PaymentSchedule3[[#This Row],[Payment Number]]&lt;&gt;"",IF(ROW()-ROW(PaymentSchedule3[[#Headers],[Beginning
Balance]])=1,LoanAmount,INDEX(PaymentSchedule3[Ending
Balance],ROW()-ROW(PaymentSchedule3[[#Headers],[Beginning
Balance]])-1)),"")</f>
        <v>291145.53221847129</v>
      </c>
      <c r="E123" s="25">
        <f ca="1">IF(PaymentSchedule3[[#This Row],[Payment Number]]&lt;&gt;"",ScheduledPayment,"")</f>
        <v>2212.1307964707844</v>
      </c>
      <c r="F1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3" s="25">
        <f ca="1">IF(PaymentSchedule3[[#This Row],[Payment Number]]&lt;&gt;"",PaymentSchedule3[[#This Row],[Total
Payment]]-PaymentSchedule3[[#This Row],[Interest]],"")</f>
        <v>513.78185852970182</v>
      </c>
      <c r="I123" s="25">
        <f ca="1">IF(PaymentSchedule3[[#This Row],[Payment Number]]&lt;&gt;"",PaymentSchedule3[[#This Row],[Beginning
Balance]]*(InterestRate/PaymentsPerYear),"")</f>
        <v>1698.3489379410826</v>
      </c>
      <c r="J123" s="25">
        <f ca="1">IF(PaymentSchedule3[[#This Row],[Payment Number]]&lt;&gt;"",IF(PaymentSchedule3[[#This Row],[Scheduled Payment]]+PaymentSchedule3[[#This Row],[Extra
Payment]]&lt;=PaymentSchedule3[[#This Row],[Beginning
Balance]],PaymentSchedule3[[#This Row],[Beginning
Balance]]-PaymentSchedule3[[#This Row],[Principal]],0),"")</f>
        <v>290631.75035994156</v>
      </c>
      <c r="K123" s="25">
        <f ca="1">IF(PaymentSchedule3[[#This Row],[Payment Number]]&lt;&gt;"",SUM(INDEX(PaymentSchedule3[Interest],1,1):PaymentSchedule3[[#This Row],[Interest]]),"")</f>
        <v>201466.13797172779</v>
      </c>
      <c r="L123" s="25">
        <f ca="1">IF(PaymentSchedule3[[#This Row],[Payment Number]]&lt;&gt;"",SUM(INDEX(PaymentSchedule3[Principal],1,1):PaymentSchedule3[[#This Row],[Principal]]),"")</f>
        <v>41868.249640058493</v>
      </c>
    </row>
    <row r="124" spans="2:12" x14ac:dyDescent="0.25">
      <c r="B124" s="23">
        <f ca="1">IF(LoanIsGood,IF(ROW()-ROW(PaymentSchedule3[[#Headers],[Payment Number]])&gt;ScheduledNumberOfPayments,"",ROW()-ROW(PaymentSchedule3[[#Headers],[Payment Number]])),"")</f>
        <v>111</v>
      </c>
      <c r="C124" s="24">
        <f ca="1">IF(PaymentSchedule3[[#This Row],[Payment Number]]&lt;&gt;"",EOMONTH(LoanStartDate,ROW(PaymentSchedule3[[#This Row],[Payment Number]])-ROW(PaymentSchedule3[[#Headers],[Payment Number]])-2)+DAY(LoanStartDate),"")</f>
        <v>48815</v>
      </c>
      <c r="D124" s="25">
        <f ca="1">IF(PaymentSchedule3[[#This Row],[Payment Number]]&lt;&gt;"",IF(ROW()-ROW(PaymentSchedule3[[#Headers],[Beginning
Balance]])=1,LoanAmount,INDEX(PaymentSchedule3[Ending
Balance],ROW()-ROW(PaymentSchedule3[[#Headers],[Beginning
Balance]])-1)),"")</f>
        <v>290631.75035994156</v>
      </c>
      <c r="E124" s="25">
        <f ca="1">IF(PaymentSchedule3[[#This Row],[Payment Number]]&lt;&gt;"",ScheduledPayment,"")</f>
        <v>2212.1307964707844</v>
      </c>
      <c r="F1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4" s="25">
        <f ca="1">IF(PaymentSchedule3[[#This Row],[Payment Number]]&lt;&gt;"",PaymentSchedule3[[#This Row],[Total
Payment]]-PaymentSchedule3[[#This Row],[Interest]],"")</f>
        <v>516.77891937112508</v>
      </c>
      <c r="I124" s="25">
        <f ca="1">IF(PaymentSchedule3[[#This Row],[Payment Number]]&lt;&gt;"",PaymentSchedule3[[#This Row],[Beginning
Balance]]*(InterestRate/PaymentsPerYear),"")</f>
        <v>1695.3518770996593</v>
      </c>
      <c r="J124" s="25">
        <f ca="1">IF(PaymentSchedule3[[#This Row],[Payment Number]]&lt;&gt;"",IF(PaymentSchedule3[[#This Row],[Scheduled Payment]]+PaymentSchedule3[[#This Row],[Extra
Payment]]&lt;=PaymentSchedule3[[#This Row],[Beginning
Balance]],PaymentSchedule3[[#This Row],[Beginning
Balance]]-PaymentSchedule3[[#This Row],[Principal]],0),"")</f>
        <v>290114.97144057043</v>
      </c>
      <c r="K124" s="25">
        <f ca="1">IF(PaymentSchedule3[[#This Row],[Payment Number]]&lt;&gt;"",SUM(INDEX(PaymentSchedule3[Interest],1,1):PaymentSchedule3[[#This Row],[Interest]]),"")</f>
        <v>203161.48984882745</v>
      </c>
      <c r="L124" s="25">
        <f ca="1">IF(PaymentSchedule3[[#This Row],[Payment Number]]&lt;&gt;"",SUM(INDEX(PaymentSchedule3[Principal],1,1):PaymentSchedule3[[#This Row],[Principal]]),"")</f>
        <v>42385.028559429615</v>
      </c>
    </row>
    <row r="125" spans="2:12" x14ac:dyDescent="0.25">
      <c r="B125" s="23">
        <f ca="1">IF(LoanIsGood,IF(ROW()-ROW(PaymentSchedule3[[#Headers],[Payment Number]])&gt;ScheduledNumberOfPayments,"",ROW()-ROW(PaymentSchedule3[[#Headers],[Payment Number]])),"")</f>
        <v>112</v>
      </c>
      <c r="C125" s="24">
        <f ca="1">IF(PaymentSchedule3[[#This Row],[Payment Number]]&lt;&gt;"",EOMONTH(LoanStartDate,ROW(PaymentSchedule3[[#This Row],[Payment Number]])-ROW(PaymentSchedule3[[#Headers],[Payment Number]])-2)+DAY(LoanStartDate),"")</f>
        <v>48846</v>
      </c>
      <c r="D125" s="25">
        <f ca="1">IF(PaymentSchedule3[[#This Row],[Payment Number]]&lt;&gt;"",IF(ROW()-ROW(PaymentSchedule3[[#Headers],[Beginning
Balance]])=1,LoanAmount,INDEX(PaymentSchedule3[Ending
Balance],ROW()-ROW(PaymentSchedule3[[#Headers],[Beginning
Balance]])-1)),"")</f>
        <v>290114.97144057043</v>
      </c>
      <c r="E125" s="25">
        <f ca="1">IF(PaymentSchedule3[[#This Row],[Payment Number]]&lt;&gt;"",ScheduledPayment,"")</f>
        <v>2212.1307964707844</v>
      </c>
      <c r="F1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5" s="25">
        <f ca="1">IF(PaymentSchedule3[[#This Row],[Payment Number]]&lt;&gt;"",PaymentSchedule3[[#This Row],[Total
Payment]]-PaymentSchedule3[[#This Row],[Interest]],"")</f>
        <v>519.79346306745674</v>
      </c>
      <c r="I125" s="25">
        <f ca="1">IF(PaymentSchedule3[[#This Row],[Payment Number]]&lt;&gt;"",PaymentSchedule3[[#This Row],[Beginning
Balance]]*(InterestRate/PaymentsPerYear),"")</f>
        <v>1692.3373334033276</v>
      </c>
      <c r="J125" s="25">
        <f ca="1">IF(PaymentSchedule3[[#This Row],[Payment Number]]&lt;&gt;"",IF(PaymentSchedule3[[#This Row],[Scheduled Payment]]+PaymentSchedule3[[#This Row],[Extra
Payment]]&lt;=PaymentSchedule3[[#This Row],[Beginning
Balance]],PaymentSchedule3[[#This Row],[Beginning
Balance]]-PaymentSchedule3[[#This Row],[Principal]],0),"")</f>
        <v>289595.17797750299</v>
      </c>
      <c r="K125" s="25">
        <f ca="1">IF(PaymentSchedule3[[#This Row],[Payment Number]]&lt;&gt;"",SUM(INDEX(PaymentSchedule3[Interest],1,1):PaymentSchedule3[[#This Row],[Interest]]),"")</f>
        <v>204853.82718223077</v>
      </c>
      <c r="L125" s="25">
        <f ca="1">IF(PaymentSchedule3[[#This Row],[Payment Number]]&lt;&gt;"",SUM(INDEX(PaymentSchedule3[Principal],1,1):PaymentSchedule3[[#This Row],[Principal]]),"")</f>
        <v>42904.822022497072</v>
      </c>
    </row>
    <row r="126" spans="2:12" x14ac:dyDescent="0.25">
      <c r="B126" s="23">
        <f ca="1">IF(LoanIsGood,IF(ROW()-ROW(PaymentSchedule3[[#Headers],[Payment Number]])&gt;ScheduledNumberOfPayments,"",ROW()-ROW(PaymentSchedule3[[#Headers],[Payment Number]])),"")</f>
        <v>113</v>
      </c>
      <c r="C126" s="24">
        <f ca="1">IF(PaymentSchedule3[[#This Row],[Payment Number]]&lt;&gt;"",EOMONTH(LoanStartDate,ROW(PaymentSchedule3[[#This Row],[Payment Number]])-ROW(PaymentSchedule3[[#Headers],[Payment Number]])-2)+DAY(LoanStartDate),"")</f>
        <v>48876</v>
      </c>
      <c r="D126" s="25">
        <f ca="1">IF(PaymentSchedule3[[#This Row],[Payment Number]]&lt;&gt;"",IF(ROW()-ROW(PaymentSchedule3[[#Headers],[Beginning
Balance]])=1,LoanAmount,INDEX(PaymentSchedule3[Ending
Balance],ROW()-ROW(PaymentSchedule3[[#Headers],[Beginning
Balance]])-1)),"")</f>
        <v>289595.17797750299</v>
      </c>
      <c r="E126" s="25">
        <f ca="1">IF(PaymentSchedule3[[#This Row],[Payment Number]]&lt;&gt;"",ScheduledPayment,"")</f>
        <v>2212.1307964707844</v>
      </c>
      <c r="F1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6" s="25">
        <f ca="1">IF(PaymentSchedule3[[#This Row],[Payment Number]]&lt;&gt;"",PaymentSchedule3[[#This Row],[Total
Payment]]-PaymentSchedule3[[#This Row],[Interest]],"")</f>
        <v>522.82559160201686</v>
      </c>
      <c r="I126" s="25">
        <f ca="1">IF(PaymentSchedule3[[#This Row],[Payment Number]]&lt;&gt;"",PaymentSchedule3[[#This Row],[Beginning
Balance]]*(InterestRate/PaymentsPerYear),"")</f>
        <v>1689.3052048687675</v>
      </c>
      <c r="J126" s="25">
        <f ca="1">IF(PaymentSchedule3[[#This Row],[Payment Number]]&lt;&gt;"",IF(PaymentSchedule3[[#This Row],[Scheduled Payment]]+PaymentSchedule3[[#This Row],[Extra
Payment]]&lt;=PaymentSchedule3[[#This Row],[Beginning
Balance]],PaymentSchedule3[[#This Row],[Beginning
Balance]]-PaymentSchedule3[[#This Row],[Principal]],0),"")</f>
        <v>289072.35238590097</v>
      </c>
      <c r="K126" s="25">
        <f ca="1">IF(PaymentSchedule3[[#This Row],[Payment Number]]&lt;&gt;"",SUM(INDEX(PaymentSchedule3[Interest],1,1):PaymentSchedule3[[#This Row],[Interest]]),"")</f>
        <v>206543.13238709953</v>
      </c>
      <c r="L126" s="25">
        <f ca="1">IF(PaymentSchedule3[[#This Row],[Payment Number]]&lt;&gt;"",SUM(INDEX(PaymentSchedule3[Principal],1,1):PaymentSchedule3[[#This Row],[Principal]]),"")</f>
        <v>43427.647614099085</v>
      </c>
    </row>
    <row r="127" spans="2:12" x14ac:dyDescent="0.25">
      <c r="B127" s="23">
        <f ca="1">IF(LoanIsGood,IF(ROW()-ROW(PaymentSchedule3[[#Headers],[Payment Number]])&gt;ScheduledNumberOfPayments,"",ROW()-ROW(PaymentSchedule3[[#Headers],[Payment Number]])),"")</f>
        <v>114</v>
      </c>
      <c r="C127" s="24">
        <f ca="1">IF(PaymentSchedule3[[#This Row],[Payment Number]]&lt;&gt;"",EOMONTH(LoanStartDate,ROW(PaymentSchedule3[[#This Row],[Payment Number]])-ROW(PaymentSchedule3[[#Headers],[Payment Number]])-2)+DAY(LoanStartDate),"")</f>
        <v>48907</v>
      </c>
      <c r="D127" s="25">
        <f ca="1">IF(PaymentSchedule3[[#This Row],[Payment Number]]&lt;&gt;"",IF(ROW()-ROW(PaymentSchedule3[[#Headers],[Beginning
Balance]])=1,LoanAmount,INDEX(PaymentSchedule3[Ending
Balance],ROW()-ROW(PaymentSchedule3[[#Headers],[Beginning
Balance]])-1)),"")</f>
        <v>289072.35238590097</v>
      </c>
      <c r="E127" s="25">
        <f ca="1">IF(PaymentSchedule3[[#This Row],[Payment Number]]&lt;&gt;"",ScheduledPayment,"")</f>
        <v>2212.1307964707844</v>
      </c>
      <c r="F1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7" s="25">
        <f ca="1">IF(PaymentSchedule3[[#This Row],[Payment Number]]&lt;&gt;"",PaymentSchedule3[[#This Row],[Total
Payment]]-PaymentSchedule3[[#This Row],[Interest]],"")</f>
        <v>525.87540755302871</v>
      </c>
      <c r="I127" s="25">
        <f ca="1">IF(PaymentSchedule3[[#This Row],[Payment Number]]&lt;&gt;"",PaymentSchedule3[[#This Row],[Beginning
Balance]]*(InterestRate/PaymentsPerYear),"")</f>
        <v>1686.2553889177557</v>
      </c>
      <c r="J127" s="25">
        <f ca="1">IF(PaymentSchedule3[[#This Row],[Payment Number]]&lt;&gt;"",IF(PaymentSchedule3[[#This Row],[Scheduled Payment]]+PaymentSchedule3[[#This Row],[Extra
Payment]]&lt;=PaymentSchedule3[[#This Row],[Beginning
Balance]],PaymentSchedule3[[#This Row],[Beginning
Balance]]-PaymentSchedule3[[#This Row],[Principal]],0),"")</f>
        <v>288546.47697834793</v>
      </c>
      <c r="K127" s="25">
        <f ca="1">IF(PaymentSchedule3[[#This Row],[Payment Number]]&lt;&gt;"",SUM(INDEX(PaymentSchedule3[Interest],1,1):PaymentSchedule3[[#This Row],[Interest]]),"")</f>
        <v>208229.38777601728</v>
      </c>
      <c r="L127" s="25">
        <f ca="1">IF(PaymentSchedule3[[#This Row],[Payment Number]]&lt;&gt;"",SUM(INDEX(PaymentSchedule3[Principal],1,1):PaymentSchedule3[[#This Row],[Principal]]),"")</f>
        <v>43953.523021652116</v>
      </c>
    </row>
    <row r="128" spans="2:12" x14ac:dyDescent="0.25">
      <c r="B128" s="23">
        <f ca="1">IF(LoanIsGood,IF(ROW()-ROW(PaymentSchedule3[[#Headers],[Payment Number]])&gt;ScheduledNumberOfPayments,"",ROW()-ROW(PaymentSchedule3[[#Headers],[Payment Number]])),"")</f>
        <v>115</v>
      </c>
      <c r="C128" s="24">
        <f ca="1">IF(PaymentSchedule3[[#This Row],[Payment Number]]&lt;&gt;"",EOMONTH(LoanStartDate,ROW(PaymentSchedule3[[#This Row],[Payment Number]])-ROW(PaymentSchedule3[[#Headers],[Payment Number]])-2)+DAY(LoanStartDate),"")</f>
        <v>48937</v>
      </c>
      <c r="D128" s="25">
        <f ca="1">IF(PaymentSchedule3[[#This Row],[Payment Number]]&lt;&gt;"",IF(ROW()-ROW(PaymentSchedule3[[#Headers],[Beginning
Balance]])=1,LoanAmount,INDEX(PaymentSchedule3[Ending
Balance],ROW()-ROW(PaymentSchedule3[[#Headers],[Beginning
Balance]])-1)),"")</f>
        <v>288546.47697834793</v>
      </c>
      <c r="E128" s="25">
        <f ca="1">IF(PaymentSchedule3[[#This Row],[Payment Number]]&lt;&gt;"",ScheduledPayment,"")</f>
        <v>2212.1307964707844</v>
      </c>
      <c r="F1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8" s="25">
        <f ca="1">IF(PaymentSchedule3[[#This Row],[Payment Number]]&lt;&gt;"",PaymentSchedule3[[#This Row],[Total
Payment]]-PaymentSchedule3[[#This Row],[Interest]],"")</f>
        <v>528.94301409708805</v>
      </c>
      <c r="I128" s="25">
        <f ca="1">IF(PaymentSchedule3[[#This Row],[Payment Number]]&lt;&gt;"",PaymentSchedule3[[#This Row],[Beginning
Balance]]*(InterestRate/PaymentsPerYear),"")</f>
        <v>1683.1877823736963</v>
      </c>
      <c r="J128" s="25">
        <f ca="1">IF(PaymentSchedule3[[#This Row],[Payment Number]]&lt;&gt;"",IF(PaymentSchedule3[[#This Row],[Scheduled Payment]]+PaymentSchedule3[[#This Row],[Extra
Payment]]&lt;=PaymentSchedule3[[#This Row],[Beginning
Balance]],PaymentSchedule3[[#This Row],[Beginning
Balance]]-PaymentSchedule3[[#This Row],[Principal]],0),"")</f>
        <v>288017.53396425082</v>
      </c>
      <c r="K128" s="25">
        <f ca="1">IF(PaymentSchedule3[[#This Row],[Payment Number]]&lt;&gt;"",SUM(INDEX(PaymentSchedule3[Interest],1,1):PaymentSchedule3[[#This Row],[Interest]]),"")</f>
        <v>209912.57555839096</v>
      </c>
      <c r="L128" s="25">
        <f ca="1">IF(PaymentSchedule3[[#This Row],[Payment Number]]&lt;&gt;"",SUM(INDEX(PaymentSchedule3[Principal],1,1):PaymentSchedule3[[#This Row],[Principal]]),"")</f>
        <v>44482.466035749203</v>
      </c>
    </row>
    <row r="129" spans="2:12" x14ac:dyDescent="0.25">
      <c r="B129" s="23">
        <f ca="1">IF(LoanIsGood,IF(ROW()-ROW(PaymentSchedule3[[#Headers],[Payment Number]])&gt;ScheduledNumberOfPayments,"",ROW()-ROW(PaymentSchedule3[[#Headers],[Payment Number]])),"")</f>
        <v>116</v>
      </c>
      <c r="C129" s="24">
        <f ca="1">IF(PaymentSchedule3[[#This Row],[Payment Number]]&lt;&gt;"",EOMONTH(LoanStartDate,ROW(PaymentSchedule3[[#This Row],[Payment Number]])-ROW(PaymentSchedule3[[#Headers],[Payment Number]])-2)+DAY(LoanStartDate),"")</f>
        <v>48968</v>
      </c>
      <c r="D129" s="25">
        <f ca="1">IF(PaymentSchedule3[[#This Row],[Payment Number]]&lt;&gt;"",IF(ROW()-ROW(PaymentSchedule3[[#Headers],[Beginning
Balance]])=1,LoanAmount,INDEX(PaymentSchedule3[Ending
Balance],ROW()-ROW(PaymentSchedule3[[#Headers],[Beginning
Balance]])-1)),"")</f>
        <v>288017.53396425082</v>
      </c>
      <c r="E129" s="25">
        <f ca="1">IF(PaymentSchedule3[[#This Row],[Payment Number]]&lt;&gt;"",ScheduledPayment,"")</f>
        <v>2212.1307964707844</v>
      </c>
      <c r="F1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29" s="25">
        <f ca="1">IF(PaymentSchedule3[[#This Row],[Payment Number]]&lt;&gt;"",PaymentSchedule3[[#This Row],[Total
Payment]]-PaymentSchedule3[[#This Row],[Interest]],"")</f>
        <v>532.02851501265445</v>
      </c>
      <c r="I129" s="25">
        <f ca="1">IF(PaymentSchedule3[[#This Row],[Payment Number]]&lt;&gt;"",PaymentSchedule3[[#This Row],[Beginning
Balance]]*(InterestRate/PaymentsPerYear),"")</f>
        <v>1680.1022814581299</v>
      </c>
      <c r="J129" s="25">
        <f ca="1">IF(PaymentSchedule3[[#This Row],[Payment Number]]&lt;&gt;"",IF(PaymentSchedule3[[#This Row],[Scheduled Payment]]+PaymentSchedule3[[#This Row],[Extra
Payment]]&lt;=PaymentSchedule3[[#This Row],[Beginning
Balance]],PaymentSchedule3[[#This Row],[Beginning
Balance]]-PaymentSchedule3[[#This Row],[Principal]],0),"")</f>
        <v>287485.50544923818</v>
      </c>
      <c r="K129" s="25">
        <f ca="1">IF(PaymentSchedule3[[#This Row],[Payment Number]]&lt;&gt;"",SUM(INDEX(PaymentSchedule3[Interest],1,1):PaymentSchedule3[[#This Row],[Interest]]),"")</f>
        <v>211592.67783984909</v>
      </c>
      <c r="L129" s="25">
        <f ca="1">IF(PaymentSchedule3[[#This Row],[Payment Number]]&lt;&gt;"",SUM(INDEX(PaymentSchedule3[Principal],1,1):PaymentSchedule3[[#This Row],[Principal]]),"")</f>
        <v>45014.494550761854</v>
      </c>
    </row>
    <row r="130" spans="2:12" x14ac:dyDescent="0.25">
      <c r="B130" s="23">
        <f ca="1">IF(LoanIsGood,IF(ROW()-ROW(PaymentSchedule3[[#Headers],[Payment Number]])&gt;ScheduledNumberOfPayments,"",ROW()-ROW(PaymentSchedule3[[#Headers],[Payment Number]])),"")</f>
        <v>117</v>
      </c>
      <c r="C130" s="24">
        <f ca="1">IF(PaymentSchedule3[[#This Row],[Payment Number]]&lt;&gt;"",EOMONTH(LoanStartDate,ROW(PaymentSchedule3[[#This Row],[Payment Number]])-ROW(PaymentSchedule3[[#Headers],[Payment Number]])-2)+DAY(LoanStartDate),"")</f>
        <v>48999</v>
      </c>
      <c r="D130" s="25">
        <f ca="1">IF(PaymentSchedule3[[#This Row],[Payment Number]]&lt;&gt;"",IF(ROW()-ROW(PaymentSchedule3[[#Headers],[Beginning
Balance]])=1,LoanAmount,INDEX(PaymentSchedule3[Ending
Balance],ROW()-ROW(PaymentSchedule3[[#Headers],[Beginning
Balance]])-1)),"")</f>
        <v>287485.50544923818</v>
      </c>
      <c r="E130" s="25">
        <f ca="1">IF(PaymentSchedule3[[#This Row],[Payment Number]]&lt;&gt;"",ScheduledPayment,"")</f>
        <v>2212.1307964707844</v>
      </c>
      <c r="F1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0" s="25">
        <f ca="1">IF(PaymentSchedule3[[#This Row],[Payment Number]]&lt;&gt;"",PaymentSchedule3[[#This Row],[Total
Payment]]-PaymentSchedule3[[#This Row],[Interest]],"")</f>
        <v>535.13201468356169</v>
      </c>
      <c r="I130" s="25">
        <f ca="1">IF(PaymentSchedule3[[#This Row],[Payment Number]]&lt;&gt;"",PaymentSchedule3[[#This Row],[Beginning
Balance]]*(InterestRate/PaymentsPerYear),"")</f>
        <v>1676.9987817872227</v>
      </c>
      <c r="J130" s="25">
        <f ca="1">IF(PaymentSchedule3[[#This Row],[Payment Number]]&lt;&gt;"",IF(PaymentSchedule3[[#This Row],[Scheduled Payment]]+PaymentSchedule3[[#This Row],[Extra
Payment]]&lt;=PaymentSchedule3[[#This Row],[Beginning
Balance]],PaymentSchedule3[[#This Row],[Beginning
Balance]]-PaymentSchedule3[[#This Row],[Principal]],0),"")</f>
        <v>286950.37343455461</v>
      </c>
      <c r="K130" s="25">
        <f ca="1">IF(PaymentSchedule3[[#This Row],[Payment Number]]&lt;&gt;"",SUM(INDEX(PaymentSchedule3[Interest],1,1):PaymentSchedule3[[#This Row],[Interest]]),"")</f>
        <v>213269.67662163632</v>
      </c>
      <c r="L130" s="25">
        <f ca="1">IF(PaymentSchedule3[[#This Row],[Payment Number]]&lt;&gt;"",SUM(INDEX(PaymentSchedule3[Principal],1,1):PaymentSchedule3[[#This Row],[Principal]]),"")</f>
        <v>45549.626565445418</v>
      </c>
    </row>
    <row r="131" spans="2:12" x14ac:dyDescent="0.25">
      <c r="B131" s="23">
        <f ca="1">IF(LoanIsGood,IF(ROW()-ROW(PaymentSchedule3[[#Headers],[Payment Number]])&gt;ScheduledNumberOfPayments,"",ROW()-ROW(PaymentSchedule3[[#Headers],[Payment Number]])),"")</f>
        <v>118</v>
      </c>
      <c r="C131" s="24">
        <f ca="1">IF(PaymentSchedule3[[#This Row],[Payment Number]]&lt;&gt;"",EOMONTH(LoanStartDate,ROW(PaymentSchedule3[[#This Row],[Payment Number]])-ROW(PaymentSchedule3[[#Headers],[Payment Number]])-2)+DAY(LoanStartDate),"")</f>
        <v>49027</v>
      </c>
      <c r="D131" s="25">
        <f ca="1">IF(PaymentSchedule3[[#This Row],[Payment Number]]&lt;&gt;"",IF(ROW()-ROW(PaymentSchedule3[[#Headers],[Beginning
Balance]])=1,LoanAmount,INDEX(PaymentSchedule3[Ending
Balance],ROW()-ROW(PaymentSchedule3[[#Headers],[Beginning
Balance]])-1)),"")</f>
        <v>286950.37343455461</v>
      </c>
      <c r="E131" s="25">
        <f ca="1">IF(PaymentSchedule3[[#This Row],[Payment Number]]&lt;&gt;"",ScheduledPayment,"")</f>
        <v>2212.1307964707844</v>
      </c>
      <c r="F1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1" s="25">
        <f ca="1">IF(PaymentSchedule3[[#This Row],[Payment Number]]&lt;&gt;"",PaymentSchedule3[[#This Row],[Total
Payment]]-PaymentSchedule3[[#This Row],[Interest]],"")</f>
        <v>538.25361810254913</v>
      </c>
      <c r="I131" s="25">
        <f ca="1">IF(PaymentSchedule3[[#This Row],[Payment Number]]&lt;&gt;"",PaymentSchedule3[[#This Row],[Beginning
Balance]]*(InterestRate/PaymentsPerYear),"")</f>
        <v>1673.8771783682353</v>
      </c>
      <c r="J131" s="25">
        <f ca="1">IF(PaymentSchedule3[[#This Row],[Payment Number]]&lt;&gt;"",IF(PaymentSchedule3[[#This Row],[Scheduled Payment]]+PaymentSchedule3[[#This Row],[Extra
Payment]]&lt;=PaymentSchedule3[[#This Row],[Beginning
Balance]],PaymentSchedule3[[#This Row],[Beginning
Balance]]-PaymentSchedule3[[#This Row],[Principal]],0),"")</f>
        <v>286412.11981645209</v>
      </c>
      <c r="K131" s="25">
        <f ca="1">IF(PaymentSchedule3[[#This Row],[Payment Number]]&lt;&gt;"",SUM(INDEX(PaymentSchedule3[Interest],1,1):PaymentSchedule3[[#This Row],[Interest]]),"")</f>
        <v>214943.55380000456</v>
      </c>
      <c r="L131" s="25">
        <f ca="1">IF(PaymentSchedule3[[#This Row],[Payment Number]]&lt;&gt;"",SUM(INDEX(PaymentSchedule3[Principal],1,1):PaymentSchedule3[[#This Row],[Principal]]),"")</f>
        <v>46087.880183547968</v>
      </c>
    </row>
    <row r="132" spans="2:12" x14ac:dyDescent="0.25">
      <c r="B132" s="23">
        <f ca="1">IF(LoanIsGood,IF(ROW()-ROW(PaymentSchedule3[[#Headers],[Payment Number]])&gt;ScheduledNumberOfPayments,"",ROW()-ROW(PaymentSchedule3[[#Headers],[Payment Number]])),"")</f>
        <v>119</v>
      </c>
      <c r="C132" s="24">
        <f ca="1">IF(PaymentSchedule3[[#This Row],[Payment Number]]&lt;&gt;"",EOMONTH(LoanStartDate,ROW(PaymentSchedule3[[#This Row],[Payment Number]])-ROW(PaymentSchedule3[[#Headers],[Payment Number]])-2)+DAY(LoanStartDate),"")</f>
        <v>49058</v>
      </c>
      <c r="D132" s="25">
        <f ca="1">IF(PaymentSchedule3[[#This Row],[Payment Number]]&lt;&gt;"",IF(ROW()-ROW(PaymentSchedule3[[#Headers],[Beginning
Balance]])=1,LoanAmount,INDEX(PaymentSchedule3[Ending
Balance],ROW()-ROW(PaymentSchedule3[[#Headers],[Beginning
Balance]])-1)),"")</f>
        <v>286412.11981645209</v>
      </c>
      <c r="E132" s="25">
        <f ca="1">IF(PaymentSchedule3[[#This Row],[Payment Number]]&lt;&gt;"",ScheduledPayment,"")</f>
        <v>2212.1307964707844</v>
      </c>
      <c r="F1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2" s="25">
        <f ca="1">IF(PaymentSchedule3[[#This Row],[Payment Number]]&lt;&gt;"",PaymentSchedule3[[#This Row],[Total
Payment]]-PaymentSchedule3[[#This Row],[Interest]],"")</f>
        <v>541.3934308748137</v>
      </c>
      <c r="I132" s="25">
        <f ca="1">IF(PaymentSchedule3[[#This Row],[Payment Number]]&lt;&gt;"",PaymentSchedule3[[#This Row],[Beginning
Balance]]*(InterestRate/PaymentsPerYear),"")</f>
        <v>1670.7373655959707</v>
      </c>
      <c r="J132" s="25">
        <f ca="1">IF(PaymentSchedule3[[#This Row],[Payment Number]]&lt;&gt;"",IF(PaymentSchedule3[[#This Row],[Scheduled Payment]]+PaymentSchedule3[[#This Row],[Extra
Payment]]&lt;=PaymentSchedule3[[#This Row],[Beginning
Balance]],PaymentSchedule3[[#This Row],[Beginning
Balance]]-PaymentSchedule3[[#This Row],[Principal]],0),"")</f>
        <v>285870.72638557729</v>
      </c>
      <c r="K132" s="25">
        <f ca="1">IF(PaymentSchedule3[[#This Row],[Payment Number]]&lt;&gt;"",SUM(INDEX(PaymentSchedule3[Interest],1,1):PaymentSchedule3[[#This Row],[Interest]]),"")</f>
        <v>216614.29116560053</v>
      </c>
      <c r="L132" s="25">
        <f ca="1">IF(PaymentSchedule3[[#This Row],[Payment Number]]&lt;&gt;"",SUM(INDEX(PaymentSchedule3[Principal],1,1):PaymentSchedule3[[#This Row],[Principal]]),"")</f>
        <v>46629.273614422782</v>
      </c>
    </row>
    <row r="133" spans="2:12" x14ac:dyDescent="0.25">
      <c r="B133" s="23">
        <f ca="1">IF(LoanIsGood,IF(ROW()-ROW(PaymentSchedule3[[#Headers],[Payment Number]])&gt;ScheduledNumberOfPayments,"",ROW()-ROW(PaymentSchedule3[[#Headers],[Payment Number]])),"")</f>
        <v>120</v>
      </c>
      <c r="C133" s="24">
        <f ca="1">IF(PaymentSchedule3[[#This Row],[Payment Number]]&lt;&gt;"",EOMONTH(LoanStartDate,ROW(PaymentSchedule3[[#This Row],[Payment Number]])-ROW(PaymentSchedule3[[#Headers],[Payment Number]])-2)+DAY(LoanStartDate),"")</f>
        <v>49088</v>
      </c>
      <c r="D133" s="25">
        <f ca="1">IF(PaymentSchedule3[[#This Row],[Payment Number]]&lt;&gt;"",IF(ROW()-ROW(PaymentSchedule3[[#Headers],[Beginning
Balance]])=1,LoanAmount,INDEX(PaymentSchedule3[Ending
Balance],ROW()-ROW(PaymentSchedule3[[#Headers],[Beginning
Balance]])-1)),"")</f>
        <v>285870.72638557729</v>
      </c>
      <c r="E133" s="25">
        <f ca="1">IF(PaymentSchedule3[[#This Row],[Payment Number]]&lt;&gt;"",ScheduledPayment,"")</f>
        <v>2212.1307964707844</v>
      </c>
      <c r="F1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3" s="25">
        <f ca="1">IF(PaymentSchedule3[[#This Row],[Payment Number]]&lt;&gt;"",PaymentSchedule3[[#This Row],[Total
Payment]]-PaymentSchedule3[[#This Row],[Interest]],"")</f>
        <v>544.55155922158337</v>
      </c>
      <c r="I133" s="25">
        <f ca="1">IF(PaymentSchedule3[[#This Row],[Payment Number]]&lt;&gt;"",PaymentSchedule3[[#This Row],[Beginning
Balance]]*(InterestRate/PaymentsPerYear),"")</f>
        <v>1667.579237249201</v>
      </c>
      <c r="J133" s="25">
        <f ca="1">IF(PaymentSchedule3[[#This Row],[Payment Number]]&lt;&gt;"",IF(PaymentSchedule3[[#This Row],[Scheduled Payment]]+PaymentSchedule3[[#This Row],[Extra
Payment]]&lt;=PaymentSchedule3[[#This Row],[Beginning
Balance]],PaymentSchedule3[[#This Row],[Beginning
Balance]]-PaymentSchedule3[[#This Row],[Principal]],0),"")</f>
        <v>285326.17482635571</v>
      </c>
      <c r="K133" s="25">
        <f ca="1">IF(PaymentSchedule3[[#This Row],[Payment Number]]&lt;&gt;"",SUM(INDEX(PaymentSchedule3[Interest],1,1):PaymentSchedule3[[#This Row],[Interest]]),"")</f>
        <v>218281.87040284975</v>
      </c>
      <c r="L133" s="25">
        <f ca="1">IF(PaymentSchedule3[[#This Row],[Payment Number]]&lt;&gt;"",SUM(INDEX(PaymentSchedule3[Principal],1,1):PaymentSchedule3[[#This Row],[Principal]]),"")</f>
        <v>47173.825173644364</v>
      </c>
    </row>
    <row r="134" spans="2:12" x14ac:dyDescent="0.25">
      <c r="B134" s="23">
        <f ca="1">IF(LoanIsGood,IF(ROW()-ROW(PaymentSchedule3[[#Headers],[Payment Number]])&gt;ScheduledNumberOfPayments,"",ROW()-ROW(PaymentSchedule3[[#Headers],[Payment Number]])),"")</f>
        <v>121</v>
      </c>
      <c r="C134" s="24">
        <f ca="1">IF(PaymentSchedule3[[#This Row],[Payment Number]]&lt;&gt;"",EOMONTH(LoanStartDate,ROW(PaymentSchedule3[[#This Row],[Payment Number]])-ROW(PaymentSchedule3[[#Headers],[Payment Number]])-2)+DAY(LoanStartDate),"")</f>
        <v>49119</v>
      </c>
      <c r="D134" s="25">
        <f ca="1">IF(PaymentSchedule3[[#This Row],[Payment Number]]&lt;&gt;"",IF(ROW()-ROW(PaymentSchedule3[[#Headers],[Beginning
Balance]])=1,LoanAmount,INDEX(PaymentSchedule3[Ending
Balance],ROW()-ROW(PaymentSchedule3[[#Headers],[Beginning
Balance]])-1)),"")</f>
        <v>285326.17482635571</v>
      </c>
      <c r="E134" s="25">
        <f ca="1">IF(PaymentSchedule3[[#This Row],[Payment Number]]&lt;&gt;"",ScheduledPayment,"")</f>
        <v>2212.1307964707844</v>
      </c>
      <c r="F1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4" s="25">
        <f ca="1">IF(PaymentSchedule3[[#This Row],[Payment Number]]&lt;&gt;"",PaymentSchedule3[[#This Row],[Total
Payment]]-PaymentSchedule3[[#This Row],[Interest]],"")</f>
        <v>547.72810998370937</v>
      </c>
      <c r="I134" s="25">
        <f ca="1">IF(PaymentSchedule3[[#This Row],[Payment Number]]&lt;&gt;"",PaymentSchedule3[[#This Row],[Beginning
Balance]]*(InterestRate/PaymentsPerYear),"")</f>
        <v>1664.402686487075</v>
      </c>
      <c r="J134" s="25">
        <f ca="1">IF(PaymentSchedule3[[#This Row],[Payment Number]]&lt;&gt;"",IF(PaymentSchedule3[[#This Row],[Scheduled Payment]]+PaymentSchedule3[[#This Row],[Extra
Payment]]&lt;=PaymentSchedule3[[#This Row],[Beginning
Balance]],PaymentSchedule3[[#This Row],[Beginning
Balance]]-PaymentSchedule3[[#This Row],[Principal]],0),"")</f>
        <v>284778.44671637198</v>
      </c>
      <c r="K134" s="25">
        <f ca="1">IF(PaymentSchedule3[[#This Row],[Payment Number]]&lt;&gt;"",SUM(INDEX(PaymentSchedule3[Interest],1,1):PaymentSchedule3[[#This Row],[Interest]]),"")</f>
        <v>219946.27308933681</v>
      </c>
      <c r="L134" s="25">
        <f ca="1">IF(PaymentSchedule3[[#This Row],[Payment Number]]&lt;&gt;"",SUM(INDEX(PaymentSchedule3[Principal],1,1):PaymentSchedule3[[#This Row],[Principal]]),"")</f>
        <v>47721.553283628076</v>
      </c>
    </row>
    <row r="135" spans="2:12" x14ac:dyDescent="0.25">
      <c r="B135" s="23">
        <f ca="1">IF(LoanIsGood,IF(ROW()-ROW(PaymentSchedule3[[#Headers],[Payment Number]])&gt;ScheduledNumberOfPayments,"",ROW()-ROW(PaymentSchedule3[[#Headers],[Payment Number]])),"")</f>
        <v>122</v>
      </c>
      <c r="C135" s="24">
        <f ca="1">IF(PaymentSchedule3[[#This Row],[Payment Number]]&lt;&gt;"",EOMONTH(LoanStartDate,ROW(PaymentSchedule3[[#This Row],[Payment Number]])-ROW(PaymentSchedule3[[#Headers],[Payment Number]])-2)+DAY(LoanStartDate),"")</f>
        <v>49149</v>
      </c>
      <c r="D135" s="25">
        <f ca="1">IF(PaymentSchedule3[[#This Row],[Payment Number]]&lt;&gt;"",IF(ROW()-ROW(PaymentSchedule3[[#Headers],[Beginning
Balance]])=1,LoanAmount,INDEX(PaymentSchedule3[Ending
Balance],ROW()-ROW(PaymentSchedule3[[#Headers],[Beginning
Balance]])-1)),"")</f>
        <v>284778.44671637198</v>
      </c>
      <c r="E135" s="25">
        <f ca="1">IF(PaymentSchedule3[[#This Row],[Payment Number]]&lt;&gt;"",ScheduledPayment,"")</f>
        <v>2212.1307964707844</v>
      </c>
      <c r="F1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5" s="25">
        <f ca="1">IF(PaymentSchedule3[[#This Row],[Payment Number]]&lt;&gt;"",PaymentSchedule3[[#This Row],[Total
Payment]]-PaymentSchedule3[[#This Row],[Interest]],"")</f>
        <v>550.92319062528099</v>
      </c>
      <c r="I135" s="25">
        <f ca="1">IF(PaymentSchedule3[[#This Row],[Payment Number]]&lt;&gt;"",PaymentSchedule3[[#This Row],[Beginning
Balance]]*(InterestRate/PaymentsPerYear),"")</f>
        <v>1661.2076058455034</v>
      </c>
      <c r="J135" s="25">
        <f ca="1">IF(PaymentSchedule3[[#This Row],[Payment Number]]&lt;&gt;"",IF(PaymentSchedule3[[#This Row],[Scheduled Payment]]+PaymentSchedule3[[#This Row],[Extra
Payment]]&lt;=PaymentSchedule3[[#This Row],[Beginning
Balance]],PaymentSchedule3[[#This Row],[Beginning
Balance]]-PaymentSchedule3[[#This Row],[Principal]],0),"")</f>
        <v>284227.52352574671</v>
      </c>
      <c r="K135" s="25">
        <f ca="1">IF(PaymentSchedule3[[#This Row],[Payment Number]]&lt;&gt;"",SUM(INDEX(PaymentSchedule3[Interest],1,1):PaymentSchedule3[[#This Row],[Interest]]),"")</f>
        <v>221607.48069518231</v>
      </c>
      <c r="L135" s="25">
        <f ca="1">IF(PaymentSchedule3[[#This Row],[Payment Number]]&lt;&gt;"",SUM(INDEX(PaymentSchedule3[Principal],1,1):PaymentSchedule3[[#This Row],[Principal]]),"")</f>
        <v>48272.476474253359</v>
      </c>
    </row>
    <row r="136" spans="2:12" x14ac:dyDescent="0.25">
      <c r="B136" s="23">
        <f ca="1">IF(LoanIsGood,IF(ROW()-ROW(PaymentSchedule3[[#Headers],[Payment Number]])&gt;ScheduledNumberOfPayments,"",ROW()-ROW(PaymentSchedule3[[#Headers],[Payment Number]])),"")</f>
        <v>123</v>
      </c>
      <c r="C136" s="24">
        <f ca="1">IF(PaymentSchedule3[[#This Row],[Payment Number]]&lt;&gt;"",EOMONTH(LoanStartDate,ROW(PaymentSchedule3[[#This Row],[Payment Number]])-ROW(PaymentSchedule3[[#Headers],[Payment Number]])-2)+DAY(LoanStartDate),"")</f>
        <v>49180</v>
      </c>
      <c r="D136" s="25">
        <f ca="1">IF(PaymentSchedule3[[#This Row],[Payment Number]]&lt;&gt;"",IF(ROW()-ROW(PaymentSchedule3[[#Headers],[Beginning
Balance]])=1,LoanAmount,INDEX(PaymentSchedule3[Ending
Balance],ROW()-ROW(PaymentSchedule3[[#Headers],[Beginning
Balance]])-1)),"")</f>
        <v>284227.52352574671</v>
      </c>
      <c r="E136" s="25">
        <f ca="1">IF(PaymentSchedule3[[#This Row],[Payment Number]]&lt;&gt;"",ScheduledPayment,"")</f>
        <v>2212.1307964707844</v>
      </c>
      <c r="F1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6" s="25">
        <f ca="1">IF(PaymentSchedule3[[#This Row],[Payment Number]]&lt;&gt;"",PaymentSchedule3[[#This Row],[Total
Payment]]-PaymentSchedule3[[#This Row],[Interest]],"")</f>
        <v>554.13690923726176</v>
      </c>
      <c r="I136" s="25">
        <f ca="1">IF(PaymentSchedule3[[#This Row],[Payment Number]]&lt;&gt;"",PaymentSchedule3[[#This Row],[Beginning
Balance]]*(InterestRate/PaymentsPerYear),"")</f>
        <v>1657.9938872335226</v>
      </c>
      <c r="J136" s="25">
        <f ca="1">IF(PaymentSchedule3[[#This Row],[Payment Number]]&lt;&gt;"",IF(PaymentSchedule3[[#This Row],[Scheduled Payment]]+PaymentSchedule3[[#This Row],[Extra
Payment]]&lt;=PaymentSchedule3[[#This Row],[Beginning
Balance]],PaymentSchedule3[[#This Row],[Beginning
Balance]]-PaymentSchedule3[[#This Row],[Principal]],0),"")</f>
        <v>283673.38661650947</v>
      </c>
      <c r="K136" s="25">
        <f ca="1">IF(PaymentSchedule3[[#This Row],[Payment Number]]&lt;&gt;"",SUM(INDEX(PaymentSchedule3[Interest],1,1):PaymentSchedule3[[#This Row],[Interest]]),"")</f>
        <v>223265.47458241583</v>
      </c>
      <c r="L136" s="25">
        <f ca="1">IF(PaymentSchedule3[[#This Row],[Payment Number]]&lt;&gt;"",SUM(INDEX(PaymentSchedule3[Principal],1,1):PaymentSchedule3[[#This Row],[Principal]]),"")</f>
        <v>48826.613383490621</v>
      </c>
    </row>
    <row r="137" spans="2:12" x14ac:dyDescent="0.25">
      <c r="B137" s="23">
        <f ca="1">IF(LoanIsGood,IF(ROW()-ROW(PaymentSchedule3[[#Headers],[Payment Number]])&gt;ScheduledNumberOfPayments,"",ROW()-ROW(PaymentSchedule3[[#Headers],[Payment Number]])),"")</f>
        <v>124</v>
      </c>
      <c r="C137" s="24">
        <f ca="1">IF(PaymentSchedule3[[#This Row],[Payment Number]]&lt;&gt;"",EOMONTH(LoanStartDate,ROW(PaymentSchedule3[[#This Row],[Payment Number]])-ROW(PaymentSchedule3[[#Headers],[Payment Number]])-2)+DAY(LoanStartDate),"")</f>
        <v>49211</v>
      </c>
      <c r="D137" s="25">
        <f ca="1">IF(PaymentSchedule3[[#This Row],[Payment Number]]&lt;&gt;"",IF(ROW()-ROW(PaymentSchedule3[[#Headers],[Beginning
Balance]])=1,LoanAmount,INDEX(PaymentSchedule3[Ending
Balance],ROW()-ROW(PaymentSchedule3[[#Headers],[Beginning
Balance]])-1)),"")</f>
        <v>283673.38661650947</v>
      </c>
      <c r="E137" s="25">
        <f ca="1">IF(PaymentSchedule3[[#This Row],[Payment Number]]&lt;&gt;"",ScheduledPayment,"")</f>
        <v>2212.1307964707844</v>
      </c>
      <c r="F1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7" s="25">
        <f ca="1">IF(PaymentSchedule3[[#This Row],[Payment Number]]&lt;&gt;"",PaymentSchedule3[[#This Row],[Total
Payment]]-PaymentSchedule3[[#This Row],[Interest]],"")</f>
        <v>557.36937454114582</v>
      </c>
      <c r="I137" s="25">
        <f ca="1">IF(PaymentSchedule3[[#This Row],[Payment Number]]&lt;&gt;"",PaymentSchedule3[[#This Row],[Beginning
Balance]]*(InterestRate/PaymentsPerYear),"")</f>
        <v>1654.7614219296386</v>
      </c>
      <c r="J137" s="25">
        <f ca="1">IF(PaymentSchedule3[[#This Row],[Payment Number]]&lt;&gt;"",IF(PaymentSchedule3[[#This Row],[Scheduled Payment]]+PaymentSchedule3[[#This Row],[Extra
Payment]]&lt;=PaymentSchedule3[[#This Row],[Beginning
Balance]],PaymentSchedule3[[#This Row],[Beginning
Balance]]-PaymentSchedule3[[#This Row],[Principal]],0),"")</f>
        <v>283116.01724196831</v>
      </c>
      <c r="K137" s="25">
        <f ca="1">IF(PaymentSchedule3[[#This Row],[Payment Number]]&lt;&gt;"",SUM(INDEX(PaymentSchedule3[Interest],1,1):PaymentSchedule3[[#This Row],[Interest]]),"")</f>
        <v>224920.23600434547</v>
      </c>
      <c r="L137" s="25">
        <f ca="1">IF(PaymentSchedule3[[#This Row],[Payment Number]]&lt;&gt;"",SUM(INDEX(PaymentSchedule3[Principal],1,1):PaymentSchedule3[[#This Row],[Principal]]),"")</f>
        <v>49383.982758031765</v>
      </c>
    </row>
    <row r="138" spans="2:12" x14ac:dyDescent="0.25">
      <c r="B138" s="23">
        <f ca="1">IF(LoanIsGood,IF(ROW()-ROW(PaymentSchedule3[[#Headers],[Payment Number]])&gt;ScheduledNumberOfPayments,"",ROW()-ROW(PaymentSchedule3[[#Headers],[Payment Number]])),"")</f>
        <v>125</v>
      </c>
      <c r="C138" s="24">
        <f ca="1">IF(PaymentSchedule3[[#This Row],[Payment Number]]&lt;&gt;"",EOMONTH(LoanStartDate,ROW(PaymentSchedule3[[#This Row],[Payment Number]])-ROW(PaymentSchedule3[[#Headers],[Payment Number]])-2)+DAY(LoanStartDate),"")</f>
        <v>49241</v>
      </c>
      <c r="D138" s="25">
        <f ca="1">IF(PaymentSchedule3[[#This Row],[Payment Number]]&lt;&gt;"",IF(ROW()-ROW(PaymentSchedule3[[#Headers],[Beginning
Balance]])=1,LoanAmount,INDEX(PaymentSchedule3[Ending
Balance],ROW()-ROW(PaymentSchedule3[[#Headers],[Beginning
Balance]])-1)),"")</f>
        <v>283116.01724196831</v>
      </c>
      <c r="E138" s="25">
        <f ca="1">IF(PaymentSchedule3[[#This Row],[Payment Number]]&lt;&gt;"",ScheduledPayment,"")</f>
        <v>2212.1307964707844</v>
      </c>
      <c r="F1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8" s="25">
        <f ca="1">IF(PaymentSchedule3[[#This Row],[Payment Number]]&lt;&gt;"",PaymentSchedule3[[#This Row],[Total
Payment]]-PaymentSchedule3[[#This Row],[Interest]],"")</f>
        <v>560.62069589263592</v>
      </c>
      <c r="I138" s="25">
        <f ca="1">IF(PaymentSchedule3[[#This Row],[Payment Number]]&lt;&gt;"",PaymentSchedule3[[#This Row],[Beginning
Balance]]*(InterestRate/PaymentsPerYear),"")</f>
        <v>1651.5101005781485</v>
      </c>
      <c r="J138" s="25">
        <f ca="1">IF(PaymentSchedule3[[#This Row],[Payment Number]]&lt;&gt;"",IF(PaymentSchedule3[[#This Row],[Scheduled Payment]]+PaymentSchedule3[[#This Row],[Extra
Payment]]&lt;=PaymentSchedule3[[#This Row],[Beginning
Balance]],PaymentSchedule3[[#This Row],[Beginning
Balance]]-PaymentSchedule3[[#This Row],[Principal]],0),"")</f>
        <v>282555.39654607564</v>
      </c>
      <c r="K138" s="25">
        <f ca="1">IF(PaymentSchedule3[[#This Row],[Payment Number]]&lt;&gt;"",SUM(INDEX(PaymentSchedule3[Interest],1,1):PaymentSchedule3[[#This Row],[Interest]]),"")</f>
        <v>226571.74610492363</v>
      </c>
      <c r="L138" s="25">
        <f ca="1">IF(PaymentSchedule3[[#This Row],[Payment Number]]&lt;&gt;"",SUM(INDEX(PaymentSchedule3[Principal],1,1):PaymentSchedule3[[#This Row],[Principal]]),"")</f>
        <v>49944.603453924399</v>
      </c>
    </row>
    <row r="139" spans="2:12" x14ac:dyDescent="0.25">
      <c r="B139" s="23">
        <f ca="1">IF(LoanIsGood,IF(ROW()-ROW(PaymentSchedule3[[#Headers],[Payment Number]])&gt;ScheduledNumberOfPayments,"",ROW()-ROW(PaymentSchedule3[[#Headers],[Payment Number]])),"")</f>
        <v>126</v>
      </c>
      <c r="C139" s="24">
        <f ca="1">IF(PaymentSchedule3[[#This Row],[Payment Number]]&lt;&gt;"",EOMONTH(LoanStartDate,ROW(PaymentSchedule3[[#This Row],[Payment Number]])-ROW(PaymentSchedule3[[#Headers],[Payment Number]])-2)+DAY(LoanStartDate),"")</f>
        <v>49272</v>
      </c>
      <c r="D139" s="25">
        <f ca="1">IF(PaymentSchedule3[[#This Row],[Payment Number]]&lt;&gt;"",IF(ROW()-ROW(PaymentSchedule3[[#Headers],[Beginning
Balance]])=1,LoanAmount,INDEX(PaymentSchedule3[Ending
Balance],ROW()-ROW(PaymentSchedule3[[#Headers],[Beginning
Balance]])-1)),"")</f>
        <v>282555.39654607564</v>
      </c>
      <c r="E139" s="25">
        <f ca="1">IF(PaymentSchedule3[[#This Row],[Payment Number]]&lt;&gt;"",ScheduledPayment,"")</f>
        <v>2212.1307964707844</v>
      </c>
      <c r="F1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39" s="25">
        <f ca="1">IF(PaymentSchedule3[[#This Row],[Payment Number]]&lt;&gt;"",PaymentSchedule3[[#This Row],[Total
Payment]]-PaymentSchedule3[[#This Row],[Interest]],"")</f>
        <v>563.89098328534305</v>
      </c>
      <c r="I139" s="25">
        <f ca="1">IF(PaymentSchedule3[[#This Row],[Payment Number]]&lt;&gt;"",PaymentSchedule3[[#This Row],[Beginning
Balance]]*(InterestRate/PaymentsPerYear),"")</f>
        <v>1648.2398131854413</v>
      </c>
      <c r="J139" s="25">
        <f ca="1">IF(PaymentSchedule3[[#This Row],[Payment Number]]&lt;&gt;"",IF(PaymentSchedule3[[#This Row],[Scheduled Payment]]+PaymentSchedule3[[#This Row],[Extra
Payment]]&lt;=PaymentSchedule3[[#This Row],[Beginning
Balance]],PaymentSchedule3[[#This Row],[Beginning
Balance]]-PaymentSchedule3[[#This Row],[Principal]],0),"")</f>
        <v>281991.50556279032</v>
      </c>
      <c r="K139" s="25">
        <f ca="1">IF(PaymentSchedule3[[#This Row],[Payment Number]]&lt;&gt;"",SUM(INDEX(PaymentSchedule3[Interest],1,1):PaymentSchedule3[[#This Row],[Interest]]),"")</f>
        <v>228219.98591810907</v>
      </c>
      <c r="L139" s="25">
        <f ca="1">IF(PaymentSchedule3[[#This Row],[Payment Number]]&lt;&gt;"",SUM(INDEX(PaymentSchedule3[Principal],1,1):PaymentSchedule3[[#This Row],[Principal]]),"")</f>
        <v>50508.494437209745</v>
      </c>
    </row>
    <row r="140" spans="2:12" x14ac:dyDescent="0.25">
      <c r="B140" s="23">
        <f ca="1">IF(LoanIsGood,IF(ROW()-ROW(PaymentSchedule3[[#Headers],[Payment Number]])&gt;ScheduledNumberOfPayments,"",ROW()-ROW(PaymentSchedule3[[#Headers],[Payment Number]])),"")</f>
        <v>127</v>
      </c>
      <c r="C140" s="24">
        <f ca="1">IF(PaymentSchedule3[[#This Row],[Payment Number]]&lt;&gt;"",EOMONTH(LoanStartDate,ROW(PaymentSchedule3[[#This Row],[Payment Number]])-ROW(PaymentSchedule3[[#Headers],[Payment Number]])-2)+DAY(LoanStartDate),"")</f>
        <v>49302</v>
      </c>
      <c r="D140" s="25">
        <f ca="1">IF(PaymentSchedule3[[#This Row],[Payment Number]]&lt;&gt;"",IF(ROW()-ROW(PaymentSchedule3[[#Headers],[Beginning
Balance]])=1,LoanAmount,INDEX(PaymentSchedule3[Ending
Balance],ROW()-ROW(PaymentSchedule3[[#Headers],[Beginning
Balance]])-1)),"")</f>
        <v>281991.50556279032</v>
      </c>
      <c r="E140" s="25">
        <f ca="1">IF(PaymentSchedule3[[#This Row],[Payment Number]]&lt;&gt;"",ScheduledPayment,"")</f>
        <v>2212.1307964707844</v>
      </c>
      <c r="F1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0" s="25">
        <f ca="1">IF(PaymentSchedule3[[#This Row],[Payment Number]]&lt;&gt;"",PaymentSchedule3[[#This Row],[Total
Payment]]-PaymentSchedule3[[#This Row],[Interest]],"")</f>
        <v>567.18034735450738</v>
      </c>
      <c r="I140" s="25">
        <f ca="1">IF(PaymentSchedule3[[#This Row],[Payment Number]]&lt;&gt;"",PaymentSchedule3[[#This Row],[Beginning
Balance]]*(InterestRate/PaymentsPerYear),"")</f>
        <v>1644.950449116277</v>
      </c>
      <c r="J140" s="25">
        <f ca="1">IF(PaymentSchedule3[[#This Row],[Payment Number]]&lt;&gt;"",IF(PaymentSchedule3[[#This Row],[Scheduled Payment]]+PaymentSchedule3[[#This Row],[Extra
Payment]]&lt;=PaymentSchedule3[[#This Row],[Beginning
Balance]],PaymentSchedule3[[#This Row],[Beginning
Balance]]-PaymentSchedule3[[#This Row],[Principal]],0),"")</f>
        <v>281424.32521543582</v>
      </c>
      <c r="K140" s="25">
        <f ca="1">IF(PaymentSchedule3[[#This Row],[Payment Number]]&lt;&gt;"",SUM(INDEX(PaymentSchedule3[Interest],1,1):PaymentSchedule3[[#This Row],[Interest]]),"")</f>
        <v>229864.93636722534</v>
      </c>
      <c r="L140" s="25">
        <f ca="1">IF(PaymentSchedule3[[#This Row],[Payment Number]]&lt;&gt;"",SUM(INDEX(PaymentSchedule3[Principal],1,1):PaymentSchedule3[[#This Row],[Principal]]),"")</f>
        <v>51075.674784564253</v>
      </c>
    </row>
    <row r="141" spans="2:12" x14ac:dyDescent="0.25">
      <c r="B141" s="23">
        <f ca="1">IF(LoanIsGood,IF(ROW()-ROW(PaymentSchedule3[[#Headers],[Payment Number]])&gt;ScheduledNumberOfPayments,"",ROW()-ROW(PaymentSchedule3[[#Headers],[Payment Number]])),"")</f>
        <v>128</v>
      </c>
      <c r="C141" s="24">
        <f ca="1">IF(PaymentSchedule3[[#This Row],[Payment Number]]&lt;&gt;"",EOMONTH(LoanStartDate,ROW(PaymentSchedule3[[#This Row],[Payment Number]])-ROW(PaymentSchedule3[[#Headers],[Payment Number]])-2)+DAY(LoanStartDate),"")</f>
        <v>49333</v>
      </c>
      <c r="D141" s="25">
        <f ca="1">IF(PaymentSchedule3[[#This Row],[Payment Number]]&lt;&gt;"",IF(ROW()-ROW(PaymentSchedule3[[#Headers],[Beginning
Balance]])=1,LoanAmount,INDEX(PaymentSchedule3[Ending
Balance],ROW()-ROW(PaymentSchedule3[[#Headers],[Beginning
Balance]])-1)),"")</f>
        <v>281424.32521543582</v>
      </c>
      <c r="E141" s="25">
        <f ca="1">IF(PaymentSchedule3[[#This Row],[Payment Number]]&lt;&gt;"",ScheduledPayment,"")</f>
        <v>2212.1307964707844</v>
      </c>
      <c r="F1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1" s="25">
        <f ca="1">IF(PaymentSchedule3[[#This Row],[Payment Number]]&lt;&gt;"",PaymentSchedule3[[#This Row],[Total
Payment]]-PaymentSchedule3[[#This Row],[Interest]],"")</f>
        <v>570.48889938074194</v>
      </c>
      <c r="I141" s="25">
        <f ca="1">IF(PaymentSchedule3[[#This Row],[Payment Number]]&lt;&gt;"",PaymentSchedule3[[#This Row],[Beginning
Balance]]*(InterestRate/PaymentsPerYear),"")</f>
        <v>1641.6418970900424</v>
      </c>
      <c r="J141" s="25">
        <f ca="1">IF(PaymentSchedule3[[#This Row],[Payment Number]]&lt;&gt;"",IF(PaymentSchedule3[[#This Row],[Scheduled Payment]]+PaymentSchedule3[[#This Row],[Extra
Payment]]&lt;=PaymentSchedule3[[#This Row],[Beginning
Balance]],PaymentSchedule3[[#This Row],[Beginning
Balance]]-PaymentSchedule3[[#This Row],[Principal]],0),"")</f>
        <v>280853.83631605509</v>
      </c>
      <c r="K141" s="25">
        <f ca="1">IF(PaymentSchedule3[[#This Row],[Payment Number]]&lt;&gt;"",SUM(INDEX(PaymentSchedule3[Interest],1,1):PaymentSchedule3[[#This Row],[Interest]]),"")</f>
        <v>231506.57826431538</v>
      </c>
      <c r="L141" s="25">
        <f ca="1">IF(PaymentSchedule3[[#This Row],[Payment Number]]&lt;&gt;"",SUM(INDEX(PaymentSchedule3[Principal],1,1):PaymentSchedule3[[#This Row],[Principal]]),"")</f>
        <v>51646.163683944993</v>
      </c>
    </row>
    <row r="142" spans="2:12" x14ac:dyDescent="0.25">
      <c r="B142" s="23">
        <f ca="1">IF(LoanIsGood,IF(ROW()-ROW(PaymentSchedule3[[#Headers],[Payment Number]])&gt;ScheduledNumberOfPayments,"",ROW()-ROW(PaymentSchedule3[[#Headers],[Payment Number]])),"")</f>
        <v>129</v>
      </c>
      <c r="C142" s="24">
        <f ca="1">IF(PaymentSchedule3[[#This Row],[Payment Number]]&lt;&gt;"",EOMONTH(LoanStartDate,ROW(PaymentSchedule3[[#This Row],[Payment Number]])-ROW(PaymentSchedule3[[#Headers],[Payment Number]])-2)+DAY(LoanStartDate),"")</f>
        <v>49364</v>
      </c>
      <c r="D142" s="25">
        <f ca="1">IF(PaymentSchedule3[[#This Row],[Payment Number]]&lt;&gt;"",IF(ROW()-ROW(PaymentSchedule3[[#Headers],[Beginning
Balance]])=1,LoanAmount,INDEX(PaymentSchedule3[Ending
Balance],ROW()-ROW(PaymentSchedule3[[#Headers],[Beginning
Balance]])-1)),"")</f>
        <v>280853.83631605509</v>
      </c>
      <c r="E142" s="25">
        <f ca="1">IF(PaymentSchedule3[[#This Row],[Payment Number]]&lt;&gt;"",ScheduledPayment,"")</f>
        <v>2212.1307964707844</v>
      </c>
      <c r="F1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2" s="25">
        <f ca="1">IF(PaymentSchedule3[[#This Row],[Payment Number]]&lt;&gt;"",PaymentSchedule3[[#This Row],[Total
Payment]]-PaymentSchedule3[[#This Row],[Interest]],"")</f>
        <v>573.81675129379619</v>
      </c>
      <c r="I142" s="25">
        <f ca="1">IF(PaymentSchedule3[[#This Row],[Payment Number]]&lt;&gt;"",PaymentSchedule3[[#This Row],[Beginning
Balance]]*(InterestRate/PaymentsPerYear),"")</f>
        <v>1638.3140451769882</v>
      </c>
      <c r="J142" s="25">
        <f ca="1">IF(PaymentSchedule3[[#This Row],[Payment Number]]&lt;&gt;"",IF(PaymentSchedule3[[#This Row],[Scheduled Payment]]+PaymentSchedule3[[#This Row],[Extra
Payment]]&lt;=PaymentSchedule3[[#This Row],[Beginning
Balance]],PaymentSchedule3[[#This Row],[Beginning
Balance]]-PaymentSchedule3[[#This Row],[Principal]],0),"")</f>
        <v>280280.01956476131</v>
      </c>
      <c r="K142" s="25">
        <f ca="1">IF(PaymentSchedule3[[#This Row],[Payment Number]]&lt;&gt;"",SUM(INDEX(PaymentSchedule3[Interest],1,1):PaymentSchedule3[[#This Row],[Interest]]),"")</f>
        <v>233144.89230949237</v>
      </c>
      <c r="L142" s="25">
        <f ca="1">IF(PaymentSchedule3[[#This Row],[Payment Number]]&lt;&gt;"",SUM(INDEX(PaymentSchedule3[Principal],1,1):PaymentSchedule3[[#This Row],[Principal]]),"")</f>
        <v>52219.980435238787</v>
      </c>
    </row>
    <row r="143" spans="2:12" x14ac:dyDescent="0.25">
      <c r="B143" s="23">
        <f ca="1">IF(LoanIsGood,IF(ROW()-ROW(PaymentSchedule3[[#Headers],[Payment Number]])&gt;ScheduledNumberOfPayments,"",ROW()-ROW(PaymentSchedule3[[#Headers],[Payment Number]])),"")</f>
        <v>130</v>
      </c>
      <c r="C143" s="24">
        <f ca="1">IF(PaymentSchedule3[[#This Row],[Payment Number]]&lt;&gt;"",EOMONTH(LoanStartDate,ROW(PaymentSchedule3[[#This Row],[Payment Number]])-ROW(PaymentSchedule3[[#Headers],[Payment Number]])-2)+DAY(LoanStartDate),"")</f>
        <v>49392</v>
      </c>
      <c r="D143" s="25">
        <f ca="1">IF(PaymentSchedule3[[#This Row],[Payment Number]]&lt;&gt;"",IF(ROW()-ROW(PaymentSchedule3[[#Headers],[Beginning
Balance]])=1,LoanAmount,INDEX(PaymentSchedule3[Ending
Balance],ROW()-ROW(PaymentSchedule3[[#Headers],[Beginning
Balance]])-1)),"")</f>
        <v>280280.01956476131</v>
      </c>
      <c r="E143" s="25">
        <f ca="1">IF(PaymentSchedule3[[#This Row],[Payment Number]]&lt;&gt;"",ScheduledPayment,"")</f>
        <v>2212.1307964707844</v>
      </c>
      <c r="F1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3" s="25">
        <f ca="1">IF(PaymentSchedule3[[#This Row],[Payment Number]]&lt;&gt;"",PaymentSchedule3[[#This Row],[Total
Payment]]-PaymentSchedule3[[#This Row],[Interest]],"")</f>
        <v>577.1640156763433</v>
      </c>
      <c r="I143" s="25">
        <f ca="1">IF(PaymentSchedule3[[#This Row],[Payment Number]]&lt;&gt;"",PaymentSchedule3[[#This Row],[Beginning
Balance]]*(InterestRate/PaymentsPerYear),"")</f>
        <v>1634.9667807944411</v>
      </c>
      <c r="J143" s="25">
        <f ca="1">IF(PaymentSchedule3[[#This Row],[Payment Number]]&lt;&gt;"",IF(PaymentSchedule3[[#This Row],[Scheduled Payment]]+PaymentSchedule3[[#This Row],[Extra
Payment]]&lt;=PaymentSchedule3[[#This Row],[Beginning
Balance]],PaymentSchedule3[[#This Row],[Beginning
Balance]]-PaymentSchedule3[[#This Row],[Principal]],0),"")</f>
        <v>279702.85554908495</v>
      </c>
      <c r="K143" s="25">
        <f ca="1">IF(PaymentSchedule3[[#This Row],[Payment Number]]&lt;&gt;"",SUM(INDEX(PaymentSchedule3[Interest],1,1):PaymentSchedule3[[#This Row],[Interest]]),"")</f>
        <v>234779.8590902868</v>
      </c>
      <c r="L143" s="25">
        <f ca="1">IF(PaymentSchedule3[[#This Row],[Payment Number]]&lt;&gt;"",SUM(INDEX(PaymentSchedule3[Principal],1,1):PaymentSchedule3[[#This Row],[Principal]]),"")</f>
        <v>52797.144450915133</v>
      </c>
    </row>
    <row r="144" spans="2:12" x14ac:dyDescent="0.25">
      <c r="B144" s="23">
        <f ca="1">IF(LoanIsGood,IF(ROW()-ROW(PaymentSchedule3[[#Headers],[Payment Number]])&gt;ScheduledNumberOfPayments,"",ROW()-ROW(PaymentSchedule3[[#Headers],[Payment Number]])),"")</f>
        <v>131</v>
      </c>
      <c r="C144" s="24">
        <f ca="1">IF(PaymentSchedule3[[#This Row],[Payment Number]]&lt;&gt;"",EOMONTH(LoanStartDate,ROW(PaymentSchedule3[[#This Row],[Payment Number]])-ROW(PaymentSchedule3[[#Headers],[Payment Number]])-2)+DAY(LoanStartDate),"")</f>
        <v>49423</v>
      </c>
      <c r="D144" s="25">
        <f ca="1">IF(PaymentSchedule3[[#This Row],[Payment Number]]&lt;&gt;"",IF(ROW()-ROW(PaymentSchedule3[[#Headers],[Beginning
Balance]])=1,LoanAmount,INDEX(PaymentSchedule3[Ending
Balance],ROW()-ROW(PaymentSchedule3[[#Headers],[Beginning
Balance]])-1)),"")</f>
        <v>279702.85554908495</v>
      </c>
      <c r="E144" s="25">
        <f ca="1">IF(PaymentSchedule3[[#This Row],[Payment Number]]&lt;&gt;"",ScheduledPayment,"")</f>
        <v>2212.1307964707844</v>
      </c>
      <c r="F1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4" s="25">
        <f ca="1">IF(PaymentSchedule3[[#This Row],[Payment Number]]&lt;&gt;"",PaymentSchedule3[[#This Row],[Total
Payment]]-PaymentSchedule3[[#This Row],[Interest]],"")</f>
        <v>580.53080576778871</v>
      </c>
      <c r="I144" s="25">
        <f ca="1">IF(PaymentSchedule3[[#This Row],[Payment Number]]&lt;&gt;"",PaymentSchedule3[[#This Row],[Beginning
Balance]]*(InterestRate/PaymentsPerYear),"")</f>
        <v>1631.5999907029957</v>
      </c>
      <c r="J144" s="25">
        <f ca="1">IF(PaymentSchedule3[[#This Row],[Payment Number]]&lt;&gt;"",IF(PaymentSchedule3[[#This Row],[Scheduled Payment]]+PaymentSchedule3[[#This Row],[Extra
Payment]]&lt;=PaymentSchedule3[[#This Row],[Beginning
Balance]],PaymentSchedule3[[#This Row],[Beginning
Balance]]-PaymentSchedule3[[#This Row],[Principal]],0),"")</f>
        <v>279122.32474331715</v>
      </c>
      <c r="K144" s="25">
        <f ca="1">IF(PaymentSchedule3[[#This Row],[Payment Number]]&lt;&gt;"",SUM(INDEX(PaymentSchedule3[Interest],1,1):PaymentSchedule3[[#This Row],[Interest]]),"")</f>
        <v>236411.45908098979</v>
      </c>
      <c r="L144" s="25">
        <f ca="1">IF(PaymentSchedule3[[#This Row],[Payment Number]]&lt;&gt;"",SUM(INDEX(PaymentSchedule3[Principal],1,1):PaymentSchedule3[[#This Row],[Principal]]),"")</f>
        <v>53377.675256682924</v>
      </c>
    </row>
    <row r="145" spans="2:12" x14ac:dyDescent="0.25">
      <c r="B145" s="23">
        <f ca="1">IF(LoanIsGood,IF(ROW()-ROW(PaymentSchedule3[[#Headers],[Payment Number]])&gt;ScheduledNumberOfPayments,"",ROW()-ROW(PaymentSchedule3[[#Headers],[Payment Number]])),"")</f>
        <v>132</v>
      </c>
      <c r="C145" s="24">
        <f ca="1">IF(PaymentSchedule3[[#This Row],[Payment Number]]&lt;&gt;"",EOMONTH(LoanStartDate,ROW(PaymentSchedule3[[#This Row],[Payment Number]])-ROW(PaymentSchedule3[[#Headers],[Payment Number]])-2)+DAY(LoanStartDate),"")</f>
        <v>49453</v>
      </c>
      <c r="D145" s="25">
        <f ca="1">IF(PaymentSchedule3[[#This Row],[Payment Number]]&lt;&gt;"",IF(ROW()-ROW(PaymentSchedule3[[#Headers],[Beginning
Balance]])=1,LoanAmount,INDEX(PaymentSchedule3[Ending
Balance],ROW()-ROW(PaymentSchedule3[[#Headers],[Beginning
Balance]])-1)),"")</f>
        <v>279122.32474331715</v>
      </c>
      <c r="E145" s="25">
        <f ca="1">IF(PaymentSchedule3[[#This Row],[Payment Number]]&lt;&gt;"",ScheduledPayment,"")</f>
        <v>2212.1307964707844</v>
      </c>
      <c r="F1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5" s="25">
        <f ca="1">IF(PaymentSchedule3[[#This Row],[Payment Number]]&lt;&gt;"",PaymentSchedule3[[#This Row],[Total
Payment]]-PaymentSchedule3[[#This Row],[Interest]],"")</f>
        <v>583.9172354681009</v>
      </c>
      <c r="I145" s="25">
        <f ca="1">IF(PaymentSchedule3[[#This Row],[Payment Number]]&lt;&gt;"",PaymentSchedule3[[#This Row],[Beginning
Balance]]*(InterestRate/PaymentsPerYear),"")</f>
        <v>1628.2135610026835</v>
      </c>
      <c r="J145" s="25">
        <f ca="1">IF(PaymentSchedule3[[#This Row],[Payment Number]]&lt;&gt;"",IF(PaymentSchedule3[[#This Row],[Scheduled Payment]]+PaymentSchedule3[[#This Row],[Extra
Payment]]&lt;=PaymentSchedule3[[#This Row],[Beginning
Balance]],PaymentSchedule3[[#This Row],[Beginning
Balance]]-PaymentSchedule3[[#This Row],[Principal]],0),"")</f>
        <v>278538.40750784904</v>
      </c>
      <c r="K145" s="25">
        <f ca="1">IF(PaymentSchedule3[[#This Row],[Payment Number]]&lt;&gt;"",SUM(INDEX(PaymentSchedule3[Interest],1,1):PaymentSchedule3[[#This Row],[Interest]]),"")</f>
        <v>238039.67264199248</v>
      </c>
      <c r="L145" s="25">
        <f ca="1">IF(PaymentSchedule3[[#This Row],[Payment Number]]&lt;&gt;"",SUM(INDEX(PaymentSchedule3[Principal],1,1):PaymentSchedule3[[#This Row],[Principal]]),"")</f>
        <v>53961.592492151023</v>
      </c>
    </row>
    <row r="146" spans="2:12" x14ac:dyDescent="0.25">
      <c r="B146" s="23">
        <f ca="1">IF(LoanIsGood,IF(ROW()-ROW(PaymentSchedule3[[#Headers],[Payment Number]])&gt;ScheduledNumberOfPayments,"",ROW()-ROW(PaymentSchedule3[[#Headers],[Payment Number]])),"")</f>
        <v>133</v>
      </c>
      <c r="C146" s="24">
        <f ca="1">IF(PaymentSchedule3[[#This Row],[Payment Number]]&lt;&gt;"",EOMONTH(LoanStartDate,ROW(PaymentSchedule3[[#This Row],[Payment Number]])-ROW(PaymentSchedule3[[#Headers],[Payment Number]])-2)+DAY(LoanStartDate),"")</f>
        <v>49484</v>
      </c>
      <c r="D146" s="25">
        <f ca="1">IF(PaymentSchedule3[[#This Row],[Payment Number]]&lt;&gt;"",IF(ROW()-ROW(PaymentSchedule3[[#Headers],[Beginning
Balance]])=1,LoanAmount,INDEX(PaymentSchedule3[Ending
Balance],ROW()-ROW(PaymentSchedule3[[#Headers],[Beginning
Balance]])-1)),"")</f>
        <v>278538.40750784904</v>
      </c>
      <c r="E146" s="25">
        <f ca="1">IF(PaymentSchedule3[[#This Row],[Payment Number]]&lt;&gt;"",ScheduledPayment,"")</f>
        <v>2212.1307964707844</v>
      </c>
      <c r="F1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6" s="25">
        <f ca="1">IF(PaymentSchedule3[[#This Row],[Payment Number]]&lt;&gt;"",PaymentSchedule3[[#This Row],[Total
Payment]]-PaymentSchedule3[[#This Row],[Interest]],"")</f>
        <v>587.32341934166493</v>
      </c>
      <c r="I146" s="25">
        <f ca="1">IF(PaymentSchedule3[[#This Row],[Payment Number]]&lt;&gt;"",PaymentSchedule3[[#This Row],[Beginning
Balance]]*(InterestRate/PaymentsPerYear),"")</f>
        <v>1624.8073771291195</v>
      </c>
      <c r="J146" s="25">
        <f ca="1">IF(PaymentSchedule3[[#This Row],[Payment Number]]&lt;&gt;"",IF(PaymentSchedule3[[#This Row],[Scheduled Payment]]+PaymentSchedule3[[#This Row],[Extra
Payment]]&lt;=PaymentSchedule3[[#This Row],[Beginning
Balance]],PaymentSchedule3[[#This Row],[Beginning
Balance]]-PaymentSchedule3[[#This Row],[Principal]],0),"")</f>
        <v>277951.0840885074</v>
      </c>
      <c r="K146" s="25">
        <f ca="1">IF(PaymentSchedule3[[#This Row],[Payment Number]]&lt;&gt;"",SUM(INDEX(PaymentSchedule3[Interest],1,1):PaymentSchedule3[[#This Row],[Interest]]),"")</f>
        <v>239664.48001912161</v>
      </c>
      <c r="L146" s="25">
        <f ca="1">IF(PaymentSchedule3[[#This Row],[Payment Number]]&lt;&gt;"",SUM(INDEX(PaymentSchedule3[Principal],1,1):PaymentSchedule3[[#This Row],[Principal]]),"")</f>
        <v>54548.915911492688</v>
      </c>
    </row>
    <row r="147" spans="2:12" x14ac:dyDescent="0.25">
      <c r="B147" s="23">
        <f ca="1">IF(LoanIsGood,IF(ROW()-ROW(PaymentSchedule3[[#Headers],[Payment Number]])&gt;ScheduledNumberOfPayments,"",ROW()-ROW(PaymentSchedule3[[#Headers],[Payment Number]])),"")</f>
        <v>134</v>
      </c>
      <c r="C147" s="24">
        <f ca="1">IF(PaymentSchedule3[[#This Row],[Payment Number]]&lt;&gt;"",EOMONTH(LoanStartDate,ROW(PaymentSchedule3[[#This Row],[Payment Number]])-ROW(PaymentSchedule3[[#Headers],[Payment Number]])-2)+DAY(LoanStartDate),"")</f>
        <v>49514</v>
      </c>
      <c r="D147" s="25">
        <f ca="1">IF(PaymentSchedule3[[#This Row],[Payment Number]]&lt;&gt;"",IF(ROW()-ROW(PaymentSchedule3[[#Headers],[Beginning
Balance]])=1,LoanAmount,INDEX(PaymentSchedule3[Ending
Balance],ROW()-ROW(PaymentSchedule3[[#Headers],[Beginning
Balance]])-1)),"")</f>
        <v>277951.0840885074</v>
      </c>
      <c r="E147" s="25">
        <f ca="1">IF(PaymentSchedule3[[#This Row],[Payment Number]]&lt;&gt;"",ScheduledPayment,"")</f>
        <v>2212.1307964707844</v>
      </c>
      <c r="F1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7" s="25">
        <f ca="1">IF(PaymentSchedule3[[#This Row],[Payment Number]]&lt;&gt;"",PaymentSchedule3[[#This Row],[Total
Payment]]-PaymentSchedule3[[#This Row],[Interest]],"")</f>
        <v>590.74947262115779</v>
      </c>
      <c r="I147" s="25">
        <f ca="1">IF(PaymentSchedule3[[#This Row],[Payment Number]]&lt;&gt;"",PaymentSchedule3[[#This Row],[Beginning
Balance]]*(InterestRate/PaymentsPerYear),"")</f>
        <v>1621.3813238496266</v>
      </c>
      <c r="J147" s="25">
        <f ca="1">IF(PaymentSchedule3[[#This Row],[Payment Number]]&lt;&gt;"",IF(PaymentSchedule3[[#This Row],[Scheduled Payment]]+PaymentSchedule3[[#This Row],[Extra
Payment]]&lt;=PaymentSchedule3[[#This Row],[Beginning
Balance]],PaymentSchedule3[[#This Row],[Beginning
Balance]]-PaymentSchedule3[[#This Row],[Principal]],0),"")</f>
        <v>277360.33461588627</v>
      </c>
      <c r="K147" s="25">
        <f ca="1">IF(PaymentSchedule3[[#This Row],[Payment Number]]&lt;&gt;"",SUM(INDEX(PaymentSchedule3[Interest],1,1):PaymentSchedule3[[#This Row],[Interest]]),"")</f>
        <v>241285.86134297124</v>
      </c>
      <c r="L147" s="25">
        <f ca="1">IF(PaymentSchedule3[[#This Row],[Payment Number]]&lt;&gt;"",SUM(INDEX(PaymentSchedule3[Principal],1,1):PaymentSchedule3[[#This Row],[Principal]]),"")</f>
        <v>55139.665384113847</v>
      </c>
    </row>
    <row r="148" spans="2:12" x14ac:dyDescent="0.25">
      <c r="B148" s="23">
        <f ca="1">IF(LoanIsGood,IF(ROW()-ROW(PaymentSchedule3[[#Headers],[Payment Number]])&gt;ScheduledNumberOfPayments,"",ROW()-ROW(PaymentSchedule3[[#Headers],[Payment Number]])),"")</f>
        <v>135</v>
      </c>
      <c r="C148" s="24">
        <f ca="1">IF(PaymentSchedule3[[#This Row],[Payment Number]]&lt;&gt;"",EOMONTH(LoanStartDate,ROW(PaymentSchedule3[[#This Row],[Payment Number]])-ROW(PaymentSchedule3[[#Headers],[Payment Number]])-2)+DAY(LoanStartDate),"")</f>
        <v>49545</v>
      </c>
      <c r="D148" s="25">
        <f ca="1">IF(PaymentSchedule3[[#This Row],[Payment Number]]&lt;&gt;"",IF(ROW()-ROW(PaymentSchedule3[[#Headers],[Beginning
Balance]])=1,LoanAmount,INDEX(PaymentSchedule3[Ending
Balance],ROW()-ROW(PaymentSchedule3[[#Headers],[Beginning
Balance]])-1)),"")</f>
        <v>277360.33461588627</v>
      </c>
      <c r="E148" s="25">
        <f ca="1">IF(PaymentSchedule3[[#This Row],[Payment Number]]&lt;&gt;"",ScheduledPayment,"")</f>
        <v>2212.1307964707844</v>
      </c>
      <c r="F1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8" s="25">
        <f ca="1">IF(PaymentSchedule3[[#This Row],[Payment Number]]&lt;&gt;"",PaymentSchedule3[[#This Row],[Total
Payment]]-PaymentSchedule3[[#This Row],[Interest]],"")</f>
        <v>594.19551121144764</v>
      </c>
      <c r="I148" s="25">
        <f ca="1">IF(PaymentSchedule3[[#This Row],[Payment Number]]&lt;&gt;"",PaymentSchedule3[[#This Row],[Beginning
Balance]]*(InterestRate/PaymentsPerYear),"")</f>
        <v>1617.9352852593368</v>
      </c>
      <c r="J148" s="25">
        <f ca="1">IF(PaymentSchedule3[[#This Row],[Payment Number]]&lt;&gt;"",IF(PaymentSchedule3[[#This Row],[Scheduled Payment]]+PaymentSchedule3[[#This Row],[Extra
Payment]]&lt;=PaymentSchedule3[[#This Row],[Beginning
Balance]],PaymentSchedule3[[#This Row],[Beginning
Balance]]-PaymentSchedule3[[#This Row],[Principal]],0),"")</f>
        <v>276766.1391046748</v>
      </c>
      <c r="K148" s="25">
        <f ca="1">IF(PaymentSchedule3[[#This Row],[Payment Number]]&lt;&gt;"",SUM(INDEX(PaymentSchedule3[Interest],1,1):PaymentSchedule3[[#This Row],[Interest]]),"")</f>
        <v>242903.79662823057</v>
      </c>
      <c r="L148" s="25">
        <f ca="1">IF(PaymentSchedule3[[#This Row],[Payment Number]]&lt;&gt;"",SUM(INDEX(PaymentSchedule3[Principal],1,1):PaymentSchedule3[[#This Row],[Principal]]),"")</f>
        <v>55733.860895325291</v>
      </c>
    </row>
    <row r="149" spans="2:12" x14ac:dyDescent="0.25">
      <c r="B149" s="23">
        <f ca="1">IF(LoanIsGood,IF(ROW()-ROW(PaymentSchedule3[[#Headers],[Payment Number]])&gt;ScheduledNumberOfPayments,"",ROW()-ROW(PaymentSchedule3[[#Headers],[Payment Number]])),"")</f>
        <v>136</v>
      </c>
      <c r="C149" s="24">
        <f ca="1">IF(PaymentSchedule3[[#This Row],[Payment Number]]&lt;&gt;"",EOMONTH(LoanStartDate,ROW(PaymentSchedule3[[#This Row],[Payment Number]])-ROW(PaymentSchedule3[[#Headers],[Payment Number]])-2)+DAY(LoanStartDate),"")</f>
        <v>49576</v>
      </c>
      <c r="D149" s="25">
        <f ca="1">IF(PaymentSchedule3[[#This Row],[Payment Number]]&lt;&gt;"",IF(ROW()-ROW(PaymentSchedule3[[#Headers],[Beginning
Balance]])=1,LoanAmount,INDEX(PaymentSchedule3[Ending
Balance],ROW()-ROW(PaymentSchedule3[[#Headers],[Beginning
Balance]])-1)),"")</f>
        <v>276766.1391046748</v>
      </c>
      <c r="E149" s="25">
        <f ca="1">IF(PaymentSchedule3[[#This Row],[Payment Number]]&lt;&gt;"",ScheduledPayment,"")</f>
        <v>2212.1307964707844</v>
      </c>
      <c r="F1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49" s="25">
        <f ca="1">IF(PaymentSchedule3[[#This Row],[Payment Number]]&lt;&gt;"",PaymentSchedule3[[#This Row],[Total
Payment]]-PaymentSchedule3[[#This Row],[Interest]],"")</f>
        <v>597.66165169351461</v>
      </c>
      <c r="I149" s="25">
        <f ca="1">IF(PaymentSchedule3[[#This Row],[Payment Number]]&lt;&gt;"",PaymentSchedule3[[#This Row],[Beginning
Balance]]*(InterestRate/PaymentsPerYear),"")</f>
        <v>1614.4691447772698</v>
      </c>
      <c r="J149" s="25">
        <f ca="1">IF(PaymentSchedule3[[#This Row],[Payment Number]]&lt;&gt;"",IF(PaymentSchedule3[[#This Row],[Scheduled Payment]]+PaymentSchedule3[[#This Row],[Extra
Payment]]&lt;=PaymentSchedule3[[#This Row],[Beginning
Balance]],PaymentSchedule3[[#This Row],[Beginning
Balance]]-PaymentSchedule3[[#This Row],[Principal]],0),"")</f>
        <v>276168.47745298129</v>
      </c>
      <c r="K149" s="25">
        <f ca="1">IF(PaymentSchedule3[[#This Row],[Payment Number]]&lt;&gt;"",SUM(INDEX(PaymentSchedule3[Interest],1,1):PaymentSchedule3[[#This Row],[Interest]]),"")</f>
        <v>244518.26577300785</v>
      </c>
      <c r="L149" s="25">
        <f ca="1">IF(PaymentSchedule3[[#This Row],[Payment Number]]&lt;&gt;"",SUM(INDEX(PaymentSchedule3[Principal],1,1):PaymentSchedule3[[#This Row],[Principal]]),"")</f>
        <v>56331.522547018809</v>
      </c>
    </row>
    <row r="150" spans="2:12" x14ac:dyDescent="0.25">
      <c r="B150" s="23">
        <f ca="1">IF(LoanIsGood,IF(ROW()-ROW(PaymentSchedule3[[#Headers],[Payment Number]])&gt;ScheduledNumberOfPayments,"",ROW()-ROW(PaymentSchedule3[[#Headers],[Payment Number]])),"")</f>
        <v>137</v>
      </c>
      <c r="C150" s="24">
        <f ca="1">IF(PaymentSchedule3[[#This Row],[Payment Number]]&lt;&gt;"",EOMONTH(LoanStartDate,ROW(PaymentSchedule3[[#This Row],[Payment Number]])-ROW(PaymentSchedule3[[#Headers],[Payment Number]])-2)+DAY(LoanStartDate),"")</f>
        <v>49606</v>
      </c>
      <c r="D150" s="25">
        <f ca="1">IF(PaymentSchedule3[[#This Row],[Payment Number]]&lt;&gt;"",IF(ROW()-ROW(PaymentSchedule3[[#Headers],[Beginning
Balance]])=1,LoanAmount,INDEX(PaymentSchedule3[Ending
Balance],ROW()-ROW(PaymentSchedule3[[#Headers],[Beginning
Balance]])-1)),"")</f>
        <v>276168.47745298129</v>
      </c>
      <c r="E150" s="25">
        <f ca="1">IF(PaymentSchedule3[[#This Row],[Payment Number]]&lt;&gt;"",ScheduledPayment,"")</f>
        <v>2212.1307964707844</v>
      </c>
      <c r="F1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0" s="25">
        <f ca="1">IF(PaymentSchedule3[[#This Row],[Payment Number]]&lt;&gt;"",PaymentSchedule3[[#This Row],[Total
Payment]]-PaymentSchedule3[[#This Row],[Interest]],"")</f>
        <v>601.14801132839352</v>
      </c>
      <c r="I150" s="25">
        <f ca="1">IF(PaymentSchedule3[[#This Row],[Payment Number]]&lt;&gt;"",PaymentSchedule3[[#This Row],[Beginning
Balance]]*(InterestRate/PaymentsPerYear),"")</f>
        <v>1610.9827851423909</v>
      </c>
      <c r="J150" s="25">
        <f ca="1">IF(PaymentSchedule3[[#This Row],[Payment Number]]&lt;&gt;"",IF(PaymentSchedule3[[#This Row],[Scheduled Payment]]+PaymentSchedule3[[#This Row],[Extra
Payment]]&lt;=PaymentSchedule3[[#This Row],[Beginning
Balance]],PaymentSchedule3[[#This Row],[Beginning
Balance]]-PaymentSchedule3[[#This Row],[Principal]],0),"")</f>
        <v>275567.32944165287</v>
      </c>
      <c r="K150" s="25">
        <f ca="1">IF(PaymentSchedule3[[#This Row],[Payment Number]]&lt;&gt;"",SUM(INDEX(PaymentSchedule3[Interest],1,1):PaymentSchedule3[[#This Row],[Interest]]),"")</f>
        <v>246129.24855815026</v>
      </c>
      <c r="L150" s="25">
        <f ca="1">IF(PaymentSchedule3[[#This Row],[Payment Number]]&lt;&gt;"",SUM(INDEX(PaymentSchedule3[Principal],1,1):PaymentSchedule3[[#This Row],[Principal]]),"")</f>
        <v>56932.670558347199</v>
      </c>
    </row>
    <row r="151" spans="2:12" x14ac:dyDescent="0.25">
      <c r="B151" s="23">
        <f ca="1">IF(LoanIsGood,IF(ROW()-ROW(PaymentSchedule3[[#Headers],[Payment Number]])&gt;ScheduledNumberOfPayments,"",ROW()-ROW(PaymentSchedule3[[#Headers],[Payment Number]])),"")</f>
        <v>138</v>
      </c>
      <c r="C151" s="24">
        <f ca="1">IF(PaymentSchedule3[[#This Row],[Payment Number]]&lt;&gt;"",EOMONTH(LoanStartDate,ROW(PaymentSchedule3[[#This Row],[Payment Number]])-ROW(PaymentSchedule3[[#Headers],[Payment Number]])-2)+DAY(LoanStartDate),"")</f>
        <v>49637</v>
      </c>
      <c r="D151" s="25">
        <f ca="1">IF(PaymentSchedule3[[#This Row],[Payment Number]]&lt;&gt;"",IF(ROW()-ROW(PaymentSchedule3[[#Headers],[Beginning
Balance]])=1,LoanAmount,INDEX(PaymentSchedule3[Ending
Balance],ROW()-ROW(PaymentSchedule3[[#Headers],[Beginning
Balance]])-1)),"")</f>
        <v>275567.32944165287</v>
      </c>
      <c r="E151" s="25">
        <f ca="1">IF(PaymentSchedule3[[#This Row],[Payment Number]]&lt;&gt;"",ScheduledPayment,"")</f>
        <v>2212.1307964707844</v>
      </c>
      <c r="F1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1" s="25">
        <f ca="1">IF(PaymentSchedule3[[#This Row],[Payment Number]]&lt;&gt;"",PaymentSchedule3[[#This Row],[Total
Payment]]-PaymentSchedule3[[#This Row],[Interest]],"")</f>
        <v>604.65470806114263</v>
      </c>
      <c r="I151" s="25">
        <f ca="1">IF(PaymentSchedule3[[#This Row],[Payment Number]]&lt;&gt;"",PaymentSchedule3[[#This Row],[Beginning
Balance]]*(InterestRate/PaymentsPerYear),"")</f>
        <v>1607.4760884096418</v>
      </c>
      <c r="J151" s="25">
        <f ca="1">IF(PaymentSchedule3[[#This Row],[Payment Number]]&lt;&gt;"",IF(PaymentSchedule3[[#This Row],[Scheduled Payment]]+PaymentSchedule3[[#This Row],[Extra
Payment]]&lt;=PaymentSchedule3[[#This Row],[Beginning
Balance]],PaymentSchedule3[[#This Row],[Beginning
Balance]]-PaymentSchedule3[[#This Row],[Principal]],0),"")</f>
        <v>274962.67473359173</v>
      </c>
      <c r="K151" s="25">
        <f ca="1">IF(PaymentSchedule3[[#This Row],[Payment Number]]&lt;&gt;"",SUM(INDEX(PaymentSchedule3[Interest],1,1):PaymentSchedule3[[#This Row],[Interest]]),"")</f>
        <v>247736.72464655989</v>
      </c>
      <c r="L151" s="25">
        <f ca="1">IF(PaymentSchedule3[[#This Row],[Payment Number]]&lt;&gt;"",SUM(INDEX(PaymentSchedule3[Principal],1,1):PaymentSchedule3[[#This Row],[Principal]]),"")</f>
        <v>57537.325266408341</v>
      </c>
    </row>
    <row r="152" spans="2:12" x14ac:dyDescent="0.25">
      <c r="B152" s="23">
        <f ca="1">IF(LoanIsGood,IF(ROW()-ROW(PaymentSchedule3[[#Headers],[Payment Number]])&gt;ScheduledNumberOfPayments,"",ROW()-ROW(PaymentSchedule3[[#Headers],[Payment Number]])),"")</f>
        <v>139</v>
      </c>
      <c r="C152" s="24">
        <f ca="1">IF(PaymentSchedule3[[#This Row],[Payment Number]]&lt;&gt;"",EOMONTH(LoanStartDate,ROW(PaymentSchedule3[[#This Row],[Payment Number]])-ROW(PaymentSchedule3[[#Headers],[Payment Number]])-2)+DAY(LoanStartDate),"")</f>
        <v>49667</v>
      </c>
      <c r="D152" s="25">
        <f ca="1">IF(PaymentSchedule3[[#This Row],[Payment Number]]&lt;&gt;"",IF(ROW()-ROW(PaymentSchedule3[[#Headers],[Beginning
Balance]])=1,LoanAmount,INDEX(PaymentSchedule3[Ending
Balance],ROW()-ROW(PaymentSchedule3[[#Headers],[Beginning
Balance]])-1)),"")</f>
        <v>274962.67473359173</v>
      </c>
      <c r="E152" s="25">
        <f ca="1">IF(PaymentSchedule3[[#This Row],[Payment Number]]&lt;&gt;"",ScheduledPayment,"")</f>
        <v>2212.1307964707844</v>
      </c>
      <c r="F1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2" s="25">
        <f ca="1">IF(PaymentSchedule3[[#This Row],[Payment Number]]&lt;&gt;"",PaymentSchedule3[[#This Row],[Total
Payment]]-PaymentSchedule3[[#This Row],[Interest]],"")</f>
        <v>608.18186052483247</v>
      </c>
      <c r="I152" s="25">
        <f ca="1">IF(PaymentSchedule3[[#This Row],[Payment Number]]&lt;&gt;"",PaymentSchedule3[[#This Row],[Beginning
Balance]]*(InterestRate/PaymentsPerYear),"")</f>
        <v>1603.9489359459519</v>
      </c>
      <c r="J152" s="25">
        <f ca="1">IF(PaymentSchedule3[[#This Row],[Payment Number]]&lt;&gt;"",IF(PaymentSchedule3[[#This Row],[Scheduled Payment]]+PaymentSchedule3[[#This Row],[Extra
Payment]]&lt;=PaymentSchedule3[[#This Row],[Beginning
Balance]],PaymentSchedule3[[#This Row],[Beginning
Balance]]-PaymentSchedule3[[#This Row],[Principal]],0),"")</f>
        <v>274354.49287306692</v>
      </c>
      <c r="K152" s="25">
        <f ca="1">IF(PaymentSchedule3[[#This Row],[Payment Number]]&lt;&gt;"",SUM(INDEX(PaymentSchedule3[Interest],1,1):PaymentSchedule3[[#This Row],[Interest]]),"")</f>
        <v>249340.67358250584</v>
      </c>
      <c r="L152" s="25">
        <f ca="1">IF(PaymentSchedule3[[#This Row],[Payment Number]]&lt;&gt;"",SUM(INDEX(PaymentSchedule3[Principal],1,1):PaymentSchedule3[[#This Row],[Principal]]),"")</f>
        <v>58145.507126933175</v>
      </c>
    </row>
    <row r="153" spans="2:12" x14ac:dyDescent="0.25">
      <c r="B153" s="23">
        <f ca="1">IF(LoanIsGood,IF(ROW()-ROW(PaymentSchedule3[[#Headers],[Payment Number]])&gt;ScheduledNumberOfPayments,"",ROW()-ROW(PaymentSchedule3[[#Headers],[Payment Number]])),"")</f>
        <v>140</v>
      </c>
      <c r="C153" s="24">
        <f ca="1">IF(PaymentSchedule3[[#This Row],[Payment Number]]&lt;&gt;"",EOMONTH(LoanStartDate,ROW(PaymentSchedule3[[#This Row],[Payment Number]])-ROW(PaymentSchedule3[[#Headers],[Payment Number]])-2)+DAY(LoanStartDate),"")</f>
        <v>49698</v>
      </c>
      <c r="D153" s="25">
        <f ca="1">IF(PaymentSchedule3[[#This Row],[Payment Number]]&lt;&gt;"",IF(ROW()-ROW(PaymentSchedule3[[#Headers],[Beginning
Balance]])=1,LoanAmount,INDEX(PaymentSchedule3[Ending
Balance],ROW()-ROW(PaymentSchedule3[[#Headers],[Beginning
Balance]])-1)),"")</f>
        <v>274354.49287306692</v>
      </c>
      <c r="E153" s="25">
        <f ca="1">IF(PaymentSchedule3[[#This Row],[Payment Number]]&lt;&gt;"",ScheduledPayment,"")</f>
        <v>2212.1307964707844</v>
      </c>
      <c r="F1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3" s="25">
        <f ca="1">IF(PaymentSchedule3[[#This Row],[Payment Number]]&lt;&gt;"",PaymentSchedule3[[#This Row],[Total
Payment]]-PaymentSchedule3[[#This Row],[Interest]],"")</f>
        <v>611.72958804456061</v>
      </c>
      <c r="I153" s="25">
        <f ca="1">IF(PaymentSchedule3[[#This Row],[Payment Number]]&lt;&gt;"",PaymentSchedule3[[#This Row],[Beginning
Balance]]*(InterestRate/PaymentsPerYear),"")</f>
        <v>1600.4012084262238</v>
      </c>
      <c r="J153" s="25">
        <f ca="1">IF(PaymentSchedule3[[#This Row],[Payment Number]]&lt;&gt;"",IF(PaymentSchedule3[[#This Row],[Scheduled Payment]]+PaymentSchedule3[[#This Row],[Extra
Payment]]&lt;=PaymentSchedule3[[#This Row],[Beginning
Balance]],PaymentSchedule3[[#This Row],[Beginning
Balance]]-PaymentSchedule3[[#This Row],[Principal]],0),"")</f>
        <v>273742.76328502235</v>
      </c>
      <c r="K153" s="25">
        <f ca="1">IF(PaymentSchedule3[[#This Row],[Payment Number]]&lt;&gt;"",SUM(INDEX(PaymentSchedule3[Interest],1,1):PaymentSchedule3[[#This Row],[Interest]]),"")</f>
        <v>250941.07479093206</v>
      </c>
      <c r="L153" s="25">
        <f ca="1">IF(PaymentSchedule3[[#This Row],[Payment Number]]&lt;&gt;"",SUM(INDEX(PaymentSchedule3[Principal],1,1):PaymentSchedule3[[#This Row],[Principal]]),"")</f>
        <v>58757.236714977735</v>
      </c>
    </row>
    <row r="154" spans="2:12" x14ac:dyDescent="0.25">
      <c r="B154" s="23">
        <f ca="1">IF(LoanIsGood,IF(ROW()-ROW(PaymentSchedule3[[#Headers],[Payment Number]])&gt;ScheduledNumberOfPayments,"",ROW()-ROW(PaymentSchedule3[[#Headers],[Payment Number]])),"")</f>
        <v>141</v>
      </c>
      <c r="C154" s="24">
        <f ca="1">IF(PaymentSchedule3[[#This Row],[Payment Number]]&lt;&gt;"",EOMONTH(LoanStartDate,ROW(PaymentSchedule3[[#This Row],[Payment Number]])-ROW(PaymentSchedule3[[#Headers],[Payment Number]])-2)+DAY(LoanStartDate),"")</f>
        <v>49729</v>
      </c>
      <c r="D154" s="25">
        <f ca="1">IF(PaymentSchedule3[[#This Row],[Payment Number]]&lt;&gt;"",IF(ROW()-ROW(PaymentSchedule3[[#Headers],[Beginning
Balance]])=1,LoanAmount,INDEX(PaymentSchedule3[Ending
Balance],ROW()-ROW(PaymentSchedule3[[#Headers],[Beginning
Balance]])-1)),"")</f>
        <v>273742.76328502235</v>
      </c>
      <c r="E154" s="25">
        <f ca="1">IF(PaymentSchedule3[[#This Row],[Payment Number]]&lt;&gt;"",ScheduledPayment,"")</f>
        <v>2212.1307964707844</v>
      </c>
      <c r="F1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4" s="25">
        <f ca="1">IF(PaymentSchedule3[[#This Row],[Payment Number]]&lt;&gt;"",PaymentSchedule3[[#This Row],[Total
Payment]]-PaymentSchedule3[[#This Row],[Interest]],"")</f>
        <v>615.29801064148728</v>
      </c>
      <c r="I154" s="25">
        <f ca="1">IF(PaymentSchedule3[[#This Row],[Payment Number]]&lt;&gt;"",PaymentSchedule3[[#This Row],[Beginning
Balance]]*(InterestRate/PaymentsPerYear),"")</f>
        <v>1596.8327858292971</v>
      </c>
      <c r="J154" s="25">
        <f ca="1">IF(PaymentSchedule3[[#This Row],[Payment Number]]&lt;&gt;"",IF(PaymentSchedule3[[#This Row],[Scheduled Payment]]+PaymentSchedule3[[#This Row],[Extra
Payment]]&lt;=PaymentSchedule3[[#This Row],[Beginning
Balance]],PaymentSchedule3[[#This Row],[Beginning
Balance]]-PaymentSchedule3[[#This Row],[Principal]],0),"")</f>
        <v>273127.46527438087</v>
      </c>
      <c r="K154" s="25">
        <f ca="1">IF(PaymentSchedule3[[#This Row],[Payment Number]]&lt;&gt;"",SUM(INDEX(PaymentSchedule3[Interest],1,1):PaymentSchedule3[[#This Row],[Interest]]),"")</f>
        <v>252537.90757676135</v>
      </c>
      <c r="L154" s="25">
        <f ca="1">IF(PaymentSchedule3[[#This Row],[Payment Number]]&lt;&gt;"",SUM(INDEX(PaymentSchedule3[Principal],1,1):PaymentSchedule3[[#This Row],[Principal]]),"")</f>
        <v>59372.534725619225</v>
      </c>
    </row>
    <row r="155" spans="2:12" x14ac:dyDescent="0.25">
      <c r="B155" s="23">
        <f ca="1">IF(LoanIsGood,IF(ROW()-ROW(PaymentSchedule3[[#Headers],[Payment Number]])&gt;ScheduledNumberOfPayments,"",ROW()-ROW(PaymentSchedule3[[#Headers],[Payment Number]])),"")</f>
        <v>142</v>
      </c>
      <c r="C155" s="24">
        <f ca="1">IF(PaymentSchedule3[[#This Row],[Payment Number]]&lt;&gt;"",EOMONTH(LoanStartDate,ROW(PaymentSchedule3[[#This Row],[Payment Number]])-ROW(PaymentSchedule3[[#Headers],[Payment Number]])-2)+DAY(LoanStartDate),"")</f>
        <v>49758</v>
      </c>
      <c r="D155" s="25">
        <f ca="1">IF(PaymentSchedule3[[#This Row],[Payment Number]]&lt;&gt;"",IF(ROW()-ROW(PaymentSchedule3[[#Headers],[Beginning
Balance]])=1,LoanAmount,INDEX(PaymentSchedule3[Ending
Balance],ROW()-ROW(PaymentSchedule3[[#Headers],[Beginning
Balance]])-1)),"")</f>
        <v>273127.46527438087</v>
      </c>
      <c r="E155" s="25">
        <f ca="1">IF(PaymentSchedule3[[#This Row],[Payment Number]]&lt;&gt;"",ScheduledPayment,"")</f>
        <v>2212.1307964707844</v>
      </c>
      <c r="F1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5" s="25">
        <f ca="1">IF(PaymentSchedule3[[#This Row],[Payment Number]]&lt;&gt;"",PaymentSchedule3[[#This Row],[Total
Payment]]-PaymentSchedule3[[#This Row],[Interest]],"")</f>
        <v>618.88724903689581</v>
      </c>
      <c r="I155" s="25">
        <f ca="1">IF(PaymentSchedule3[[#This Row],[Payment Number]]&lt;&gt;"",PaymentSchedule3[[#This Row],[Beginning
Balance]]*(InterestRate/PaymentsPerYear),"")</f>
        <v>1593.2435474338886</v>
      </c>
      <c r="J155" s="25">
        <f ca="1">IF(PaymentSchedule3[[#This Row],[Payment Number]]&lt;&gt;"",IF(PaymentSchedule3[[#This Row],[Scheduled Payment]]+PaymentSchedule3[[#This Row],[Extra
Payment]]&lt;=PaymentSchedule3[[#This Row],[Beginning
Balance]],PaymentSchedule3[[#This Row],[Beginning
Balance]]-PaymentSchedule3[[#This Row],[Principal]],0),"")</f>
        <v>272508.57802534394</v>
      </c>
      <c r="K155" s="25">
        <f ca="1">IF(PaymentSchedule3[[#This Row],[Payment Number]]&lt;&gt;"",SUM(INDEX(PaymentSchedule3[Interest],1,1):PaymentSchedule3[[#This Row],[Interest]]),"")</f>
        <v>254131.15112419525</v>
      </c>
      <c r="L155" s="25">
        <f ca="1">IF(PaymentSchedule3[[#This Row],[Payment Number]]&lt;&gt;"",SUM(INDEX(PaymentSchedule3[Principal],1,1):PaymentSchedule3[[#This Row],[Principal]]),"")</f>
        <v>59991.421974656121</v>
      </c>
    </row>
    <row r="156" spans="2:12" x14ac:dyDescent="0.25">
      <c r="B156" s="23">
        <f ca="1">IF(LoanIsGood,IF(ROW()-ROW(PaymentSchedule3[[#Headers],[Payment Number]])&gt;ScheduledNumberOfPayments,"",ROW()-ROW(PaymentSchedule3[[#Headers],[Payment Number]])),"")</f>
        <v>143</v>
      </c>
      <c r="C156" s="24">
        <f ca="1">IF(PaymentSchedule3[[#This Row],[Payment Number]]&lt;&gt;"",EOMONTH(LoanStartDate,ROW(PaymentSchedule3[[#This Row],[Payment Number]])-ROW(PaymentSchedule3[[#Headers],[Payment Number]])-2)+DAY(LoanStartDate),"")</f>
        <v>49789</v>
      </c>
      <c r="D156" s="25">
        <f ca="1">IF(PaymentSchedule3[[#This Row],[Payment Number]]&lt;&gt;"",IF(ROW()-ROW(PaymentSchedule3[[#Headers],[Beginning
Balance]])=1,LoanAmount,INDEX(PaymentSchedule3[Ending
Balance],ROW()-ROW(PaymentSchedule3[[#Headers],[Beginning
Balance]])-1)),"")</f>
        <v>272508.57802534394</v>
      </c>
      <c r="E156" s="25">
        <f ca="1">IF(PaymentSchedule3[[#This Row],[Payment Number]]&lt;&gt;"",ScheduledPayment,"")</f>
        <v>2212.1307964707844</v>
      </c>
      <c r="F1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6" s="25">
        <f ca="1">IF(PaymentSchedule3[[#This Row],[Payment Number]]&lt;&gt;"",PaymentSchedule3[[#This Row],[Total
Payment]]-PaymentSchedule3[[#This Row],[Interest]],"")</f>
        <v>622.49742465627787</v>
      </c>
      <c r="I156" s="25">
        <f ca="1">IF(PaymentSchedule3[[#This Row],[Payment Number]]&lt;&gt;"",PaymentSchedule3[[#This Row],[Beginning
Balance]]*(InterestRate/PaymentsPerYear),"")</f>
        <v>1589.6333718145065</v>
      </c>
      <c r="J156" s="25">
        <f ca="1">IF(PaymentSchedule3[[#This Row],[Payment Number]]&lt;&gt;"",IF(PaymentSchedule3[[#This Row],[Scheduled Payment]]+PaymentSchedule3[[#This Row],[Extra
Payment]]&lt;=PaymentSchedule3[[#This Row],[Beginning
Balance]],PaymentSchedule3[[#This Row],[Beginning
Balance]]-PaymentSchedule3[[#This Row],[Principal]],0),"")</f>
        <v>271886.08060068765</v>
      </c>
      <c r="K156" s="25">
        <f ca="1">IF(PaymentSchedule3[[#This Row],[Payment Number]]&lt;&gt;"",SUM(INDEX(PaymentSchedule3[Interest],1,1):PaymentSchedule3[[#This Row],[Interest]]),"")</f>
        <v>255720.78449600976</v>
      </c>
      <c r="L156" s="25">
        <f ca="1">IF(PaymentSchedule3[[#This Row],[Payment Number]]&lt;&gt;"",SUM(INDEX(PaymentSchedule3[Principal],1,1):PaymentSchedule3[[#This Row],[Principal]]),"")</f>
        <v>60613.919399312399</v>
      </c>
    </row>
    <row r="157" spans="2:12" x14ac:dyDescent="0.25">
      <c r="B157" s="23">
        <f ca="1">IF(LoanIsGood,IF(ROW()-ROW(PaymentSchedule3[[#Headers],[Payment Number]])&gt;ScheduledNumberOfPayments,"",ROW()-ROW(PaymentSchedule3[[#Headers],[Payment Number]])),"")</f>
        <v>144</v>
      </c>
      <c r="C157" s="24">
        <f ca="1">IF(PaymentSchedule3[[#This Row],[Payment Number]]&lt;&gt;"",EOMONTH(LoanStartDate,ROW(PaymentSchedule3[[#This Row],[Payment Number]])-ROW(PaymentSchedule3[[#Headers],[Payment Number]])-2)+DAY(LoanStartDate),"")</f>
        <v>49819</v>
      </c>
      <c r="D157" s="25">
        <f ca="1">IF(PaymentSchedule3[[#This Row],[Payment Number]]&lt;&gt;"",IF(ROW()-ROW(PaymentSchedule3[[#Headers],[Beginning
Balance]])=1,LoanAmount,INDEX(PaymentSchedule3[Ending
Balance],ROW()-ROW(PaymentSchedule3[[#Headers],[Beginning
Balance]])-1)),"")</f>
        <v>271886.08060068765</v>
      </c>
      <c r="E157" s="25">
        <f ca="1">IF(PaymentSchedule3[[#This Row],[Payment Number]]&lt;&gt;"",ScheduledPayment,"")</f>
        <v>2212.1307964707844</v>
      </c>
      <c r="F1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7" s="25">
        <f ca="1">IF(PaymentSchedule3[[#This Row],[Payment Number]]&lt;&gt;"",PaymentSchedule3[[#This Row],[Total
Payment]]-PaymentSchedule3[[#This Row],[Interest]],"")</f>
        <v>626.12865963343961</v>
      </c>
      <c r="I157" s="25">
        <f ca="1">IF(PaymentSchedule3[[#This Row],[Payment Number]]&lt;&gt;"",PaymentSchedule3[[#This Row],[Beginning
Balance]]*(InterestRate/PaymentsPerYear),"")</f>
        <v>1586.0021368373448</v>
      </c>
      <c r="J157" s="25">
        <f ca="1">IF(PaymentSchedule3[[#This Row],[Payment Number]]&lt;&gt;"",IF(PaymentSchedule3[[#This Row],[Scheduled Payment]]+PaymentSchedule3[[#This Row],[Extra
Payment]]&lt;=PaymentSchedule3[[#This Row],[Beginning
Balance]],PaymentSchedule3[[#This Row],[Beginning
Balance]]-PaymentSchedule3[[#This Row],[Principal]],0),"")</f>
        <v>271259.9519410542</v>
      </c>
      <c r="K157" s="25">
        <f ca="1">IF(PaymentSchedule3[[#This Row],[Payment Number]]&lt;&gt;"",SUM(INDEX(PaymentSchedule3[Interest],1,1):PaymentSchedule3[[#This Row],[Interest]]),"")</f>
        <v>257306.7866328471</v>
      </c>
      <c r="L157" s="25">
        <f ca="1">IF(PaymentSchedule3[[#This Row],[Payment Number]]&lt;&gt;"",SUM(INDEX(PaymentSchedule3[Principal],1,1):PaymentSchedule3[[#This Row],[Principal]]),"")</f>
        <v>61240.048058945838</v>
      </c>
    </row>
    <row r="158" spans="2:12" x14ac:dyDescent="0.25">
      <c r="B158" s="23">
        <f ca="1">IF(LoanIsGood,IF(ROW()-ROW(PaymentSchedule3[[#Headers],[Payment Number]])&gt;ScheduledNumberOfPayments,"",ROW()-ROW(PaymentSchedule3[[#Headers],[Payment Number]])),"")</f>
        <v>145</v>
      </c>
      <c r="C158" s="24">
        <f ca="1">IF(PaymentSchedule3[[#This Row],[Payment Number]]&lt;&gt;"",EOMONTH(LoanStartDate,ROW(PaymentSchedule3[[#This Row],[Payment Number]])-ROW(PaymentSchedule3[[#Headers],[Payment Number]])-2)+DAY(LoanStartDate),"")</f>
        <v>49850</v>
      </c>
      <c r="D158" s="25">
        <f ca="1">IF(PaymentSchedule3[[#This Row],[Payment Number]]&lt;&gt;"",IF(ROW()-ROW(PaymentSchedule3[[#Headers],[Beginning
Balance]])=1,LoanAmount,INDEX(PaymentSchedule3[Ending
Balance],ROW()-ROW(PaymentSchedule3[[#Headers],[Beginning
Balance]])-1)),"")</f>
        <v>271259.9519410542</v>
      </c>
      <c r="E158" s="25">
        <f ca="1">IF(PaymentSchedule3[[#This Row],[Payment Number]]&lt;&gt;"",ScheduledPayment,"")</f>
        <v>2212.1307964707844</v>
      </c>
      <c r="F1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8" s="25">
        <f ca="1">IF(PaymentSchedule3[[#This Row],[Payment Number]]&lt;&gt;"",PaymentSchedule3[[#This Row],[Total
Payment]]-PaymentSchedule3[[#This Row],[Interest]],"")</f>
        <v>629.78107681463484</v>
      </c>
      <c r="I158" s="25">
        <f ca="1">IF(PaymentSchedule3[[#This Row],[Payment Number]]&lt;&gt;"",PaymentSchedule3[[#This Row],[Beginning
Balance]]*(InterestRate/PaymentsPerYear),"")</f>
        <v>1582.3497196561495</v>
      </c>
      <c r="J158" s="25">
        <f ca="1">IF(PaymentSchedule3[[#This Row],[Payment Number]]&lt;&gt;"",IF(PaymentSchedule3[[#This Row],[Scheduled Payment]]+PaymentSchedule3[[#This Row],[Extra
Payment]]&lt;=PaymentSchedule3[[#This Row],[Beginning
Balance]],PaymentSchedule3[[#This Row],[Beginning
Balance]]-PaymentSchedule3[[#This Row],[Principal]],0),"")</f>
        <v>270630.17086423957</v>
      </c>
      <c r="K158" s="25">
        <f ca="1">IF(PaymentSchedule3[[#This Row],[Payment Number]]&lt;&gt;"",SUM(INDEX(PaymentSchedule3[Interest],1,1):PaymentSchedule3[[#This Row],[Interest]]),"")</f>
        <v>258889.13635250324</v>
      </c>
      <c r="L158" s="25">
        <f ca="1">IF(PaymentSchedule3[[#This Row],[Payment Number]]&lt;&gt;"",SUM(INDEX(PaymentSchedule3[Principal],1,1):PaymentSchedule3[[#This Row],[Principal]]),"")</f>
        <v>61869.829135760476</v>
      </c>
    </row>
    <row r="159" spans="2:12" x14ac:dyDescent="0.25">
      <c r="B159" s="23">
        <f ca="1">IF(LoanIsGood,IF(ROW()-ROW(PaymentSchedule3[[#Headers],[Payment Number]])&gt;ScheduledNumberOfPayments,"",ROW()-ROW(PaymentSchedule3[[#Headers],[Payment Number]])),"")</f>
        <v>146</v>
      </c>
      <c r="C159" s="24">
        <f ca="1">IF(PaymentSchedule3[[#This Row],[Payment Number]]&lt;&gt;"",EOMONTH(LoanStartDate,ROW(PaymentSchedule3[[#This Row],[Payment Number]])-ROW(PaymentSchedule3[[#Headers],[Payment Number]])-2)+DAY(LoanStartDate),"")</f>
        <v>49880</v>
      </c>
      <c r="D159" s="25">
        <f ca="1">IF(PaymentSchedule3[[#This Row],[Payment Number]]&lt;&gt;"",IF(ROW()-ROW(PaymentSchedule3[[#Headers],[Beginning
Balance]])=1,LoanAmount,INDEX(PaymentSchedule3[Ending
Balance],ROW()-ROW(PaymentSchedule3[[#Headers],[Beginning
Balance]])-1)),"")</f>
        <v>270630.17086423957</v>
      </c>
      <c r="E159" s="25">
        <f ca="1">IF(PaymentSchedule3[[#This Row],[Payment Number]]&lt;&gt;"",ScheduledPayment,"")</f>
        <v>2212.1307964707844</v>
      </c>
      <c r="F1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59" s="25">
        <f ca="1">IF(PaymentSchedule3[[#This Row],[Payment Number]]&lt;&gt;"",PaymentSchedule3[[#This Row],[Total
Payment]]-PaymentSchedule3[[#This Row],[Interest]],"")</f>
        <v>633.45479976272009</v>
      </c>
      <c r="I159" s="25">
        <f ca="1">IF(PaymentSchedule3[[#This Row],[Payment Number]]&lt;&gt;"",PaymentSchedule3[[#This Row],[Beginning
Balance]]*(InterestRate/PaymentsPerYear),"")</f>
        <v>1578.6759967080643</v>
      </c>
      <c r="J159" s="25">
        <f ca="1">IF(PaymentSchedule3[[#This Row],[Payment Number]]&lt;&gt;"",IF(PaymentSchedule3[[#This Row],[Scheduled Payment]]+PaymentSchedule3[[#This Row],[Extra
Payment]]&lt;=PaymentSchedule3[[#This Row],[Beginning
Balance]],PaymentSchedule3[[#This Row],[Beginning
Balance]]-PaymentSchedule3[[#This Row],[Principal]],0),"")</f>
        <v>269996.71606447687</v>
      </c>
      <c r="K159" s="25">
        <f ca="1">IF(PaymentSchedule3[[#This Row],[Payment Number]]&lt;&gt;"",SUM(INDEX(PaymentSchedule3[Interest],1,1):PaymentSchedule3[[#This Row],[Interest]]),"")</f>
        <v>260467.81234921131</v>
      </c>
      <c r="L159" s="25">
        <f ca="1">IF(PaymentSchedule3[[#This Row],[Payment Number]]&lt;&gt;"",SUM(INDEX(PaymentSchedule3[Principal],1,1):PaymentSchedule3[[#This Row],[Principal]]),"")</f>
        <v>62503.283935523199</v>
      </c>
    </row>
    <row r="160" spans="2:12" x14ac:dyDescent="0.25">
      <c r="B160" s="23">
        <f ca="1">IF(LoanIsGood,IF(ROW()-ROW(PaymentSchedule3[[#Headers],[Payment Number]])&gt;ScheduledNumberOfPayments,"",ROW()-ROW(PaymentSchedule3[[#Headers],[Payment Number]])),"")</f>
        <v>147</v>
      </c>
      <c r="C160" s="24">
        <f ca="1">IF(PaymentSchedule3[[#This Row],[Payment Number]]&lt;&gt;"",EOMONTH(LoanStartDate,ROW(PaymentSchedule3[[#This Row],[Payment Number]])-ROW(PaymentSchedule3[[#Headers],[Payment Number]])-2)+DAY(LoanStartDate),"")</f>
        <v>49911</v>
      </c>
      <c r="D160" s="25">
        <f ca="1">IF(PaymentSchedule3[[#This Row],[Payment Number]]&lt;&gt;"",IF(ROW()-ROW(PaymentSchedule3[[#Headers],[Beginning
Balance]])=1,LoanAmount,INDEX(PaymentSchedule3[Ending
Balance],ROW()-ROW(PaymentSchedule3[[#Headers],[Beginning
Balance]])-1)),"")</f>
        <v>269996.71606447687</v>
      </c>
      <c r="E160" s="25">
        <f ca="1">IF(PaymentSchedule3[[#This Row],[Payment Number]]&lt;&gt;"",ScheduledPayment,"")</f>
        <v>2212.1307964707844</v>
      </c>
      <c r="F1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0" s="25">
        <f ca="1">IF(PaymentSchedule3[[#This Row],[Payment Number]]&lt;&gt;"",PaymentSchedule3[[#This Row],[Total
Payment]]-PaymentSchedule3[[#This Row],[Interest]],"")</f>
        <v>637.14995276133595</v>
      </c>
      <c r="I160" s="25">
        <f ca="1">IF(PaymentSchedule3[[#This Row],[Payment Number]]&lt;&gt;"",PaymentSchedule3[[#This Row],[Beginning
Balance]]*(InterestRate/PaymentsPerYear),"")</f>
        <v>1574.9808437094484</v>
      </c>
      <c r="J160" s="25">
        <f ca="1">IF(PaymentSchedule3[[#This Row],[Payment Number]]&lt;&gt;"",IF(PaymentSchedule3[[#This Row],[Scheduled Payment]]+PaymentSchedule3[[#This Row],[Extra
Payment]]&lt;=PaymentSchedule3[[#This Row],[Beginning
Balance]],PaymentSchedule3[[#This Row],[Beginning
Balance]]-PaymentSchedule3[[#This Row],[Principal]],0),"")</f>
        <v>269359.56611171551</v>
      </c>
      <c r="K160" s="25">
        <f ca="1">IF(PaymentSchedule3[[#This Row],[Payment Number]]&lt;&gt;"",SUM(INDEX(PaymentSchedule3[Interest],1,1):PaymentSchedule3[[#This Row],[Interest]]),"")</f>
        <v>262042.79319292077</v>
      </c>
      <c r="L160" s="25">
        <f ca="1">IF(PaymentSchedule3[[#This Row],[Payment Number]]&lt;&gt;"",SUM(INDEX(PaymentSchedule3[Principal],1,1):PaymentSchedule3[[#This Row],[Principal]]),"")</f>
        <v>63140.433888284533</v>
      </c>
    </row>
    <row r="161" spans="2:12" x14ac:dyDescent="0.25">
      <c r="B161" s="23">
        <f ca="1">IF(LoanIsGood,IF(ROW()-ROW(PaymentSchedule3[[#Headers],[Payment Number]])&gt;ScheduledNumberOfPayments,"",ROW()-ROW(PaymentSchedule3[[#Headers],[Payment Number]])),"")</f>
        <v>148</v>
      </c>
      <c r="C161" s="24">
        <f ca="1">IF(PaymentSchedule3[[#This Row],[Payment Number]]&lt;&gt;"",EOMONTH(LoanStartDate,ROW(PaymentSchedule3[[#This Row],[Payment Number]])-ROW(PaymentSchedule3[[#Headers],[Payment Number]])-2)+DAY(LoanStartDate),"")</f>
        <v>49942</v>
      </c>
      <c r="D161" s="25">
        <f ca="1">IF(PaymentSchedule3[[#This Row],[Payment Number]]&lt;&gt;"",IF(ROW()-ROW(PaymentSchedule3[[#Headers],[Beginning
Balance]])=1,LoanAmount,INDEX(PaymentSchedule3[Ending
Balance],ROW()-ROW(PaymentSchedule3[[#Headers],[Beginning
Balance]])-1)),"")</f>
        <v>269359.56611171551</v>
      </c>
      <c r="E161" s="25">
        <f ca="1">IF(PaymentSchedule3[[#This Row],[Payment Number]]&lt;&gt;"",ScheduledPayment,"")</f>
        <v>2212.1307964707844</v>
      </c>
      <c r="F1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1" s="25">
        <f ca="1">IF(PaymentSchedule3[[#This Row],[Payment Number]]&lt;&gt;"",PaymentSchedule3[[#This Row],[Total
Payment]]-PaymentSchedule3[[#This Row],[Interest]],"")</f>
        <v>640.86666081911039</v>
      </c>
      <c r="I161" s="25">
        <f ca="1">IF(PaymentSchedule3[[#This Row],[Payment Number]]&lt;&gt;"",PaymentSchedule3[[#This Row],[Beginning
Balance]]*(InterestRate/PaymentsPerYear),"")</f>
        <v>1571.264135651674</v>
      </c>
      <c r="J161" s="25">
        <f ca="1">IF(PaymentSchedule3[[#This Row],[Payment Number]]&lt;&gt;"",IF(PaymentSchedule3[[#This Row],[Scheduled Payment]]+PaymentSchedule3[[#This Row],[Extra
Payment]]&lt;=PaymentSchedule3[[#This Row],[Beginning
Balance]],PaymentSchedule3[[#This Row],[Beginning
Balance]]-PaymentSchedule3[[#This Row],[Principal]],0),"")</f>
        <v>268718.69945089641</v>
      </c>
      <c r="K161" s="25">
        <f ca="1">IF(PaymentSchedule3[[#This Row],[Payment Number]]&lt;&gt;"",SUM(INDEX(PaymentSchedule3[Interest],1,1):PaymentSchedule3[[#This Row],[Interest]]),"")</f>
        <v>263614.05732857244</v>
      </c>
      <c r="L161" s="25">
        <f ca="1">IF(PaymentSchedule3[[#This Row],[Payment Number]]&lt;&gt;"",SUM(INDEX(PaymentSchedule3[Principal],1,1):PaymentSchedule3[[#This Row],[Principal]]),"")</f>
        <v>63781.300549103646</v>
      </c>
    </row>
    <row r="162" spans="2:12" x14ac:dyDescent="0.25">
      <c r="B162" s="23">
        <f ca="1">IF(LoanIsGood,IF(ROW()-ROW(PaymentSchedule3[[#Headers],[Payment Number]])&gt;ScheduledNumberOfPayments,"",ROW()-ROW(PaymentSchedule3[[#Headers],[Payment Number]])),"")</f>
        <v>149</v>
      </c>
      <c r="C162" s="24">
        <f ca="1">IF(PaymentSchedule3[[#This Row],[Payment Number]]&lt;&gt;"",EOMONTH(LoanStartDate,ROW(PaymentSchedule3[[#This Row],[Payment Number]])-ROW(PaymentSchedule3[[#Headers],[Payment Number]])-2)+DAY(LoanStartDate),"")</f>
        <v>49972</v>
      </c>
      <c r="D162" s="25">
        <f ca="1">IF(PaymentSchedule3[[#This Row],[Payment Number]]&lt;&gt;"",IF(ROW()-ROW(PaymentSchedule3[[#Headers],[Beginning
Balance]])=1,LoanAmount,INDEX(PaymentSchedule3[Ending
Balance],ROW()-ROW(PaymentSchedule3[[#Headers],[Beginning
Balance]])-1)),"")</f>
        <v>268718.69945089641</v>
      </c>
      <c r="E162" s="25">
        <f ca="1">IF(PaymentSchedule3[[#This Row],[Payment Number]]&lt;&gt;"",ScheduledPayment,"")</f>
        <v>2212.1307964707844</v>
      </c>
      <c r="F1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2" s="25">
        <f ca="1">IF(PaymentSchedule3[[#This Row],[Payment Number]]&lt;&gt;"",PaymentSchedule3[[#This Row],[Total
Payment]]-PaymentSchedule3[[#This Row],[Interest]],"")</f>
        <v>644.60504967388852</v>
      </c>
      <c r="I162" s="25">
        <f ca="1">IF(PaymentSchedule3[[#This Row],[Payment Number]]&lt;&gt;"",PaymentSchedule3[[#This Row],[Beginning
Balance]]*(InterestRate/PaymentsPerYear),"")</f>
        <v>1567.5257467968959</v>
      </c>
      <c r="J162" s="25">
        <f ca="1">IF(PaymentSchedule3[[#This Row],[Payment Number]]&lt;&gt;"",IF(PaymentSchedule3[[#This Row],[Scheduled Payment]]+PaymentSchedule3[[#This Row],[Extra
Payment]]&lt;=PaymentSchedule3[[#This Row],[Beginning
Balance]],PaymentSchedule3[[#This Row],[Beginning
Balance]]-PaymentSchedule3[[#This Row],[Principal]],0),"")</f>
        <v>268074.09440122254</v>
      </c>
      <c r="K162" s="25">
        <f ca="1">IF(PaymentSchedule3[[#This Row],[Payment Number]]&lt;&gt;"",SUM(INDEX(PaymentSchedule3[Interest],1,1):PaymentSchedule3[[#This Row],[Interest]]),"")</f>
        <v>265181.58307536936</v>
      </c>
      <c r="L162" s="25">
        <f ca="1">IF(PaymentSchedule3[[#This Row],[Payment Number]]&lt;&gt;"",SUM(INDEX(PaymentSchedule3[Principal],1,1):PaymentSchedule3[[#This Row],[Principal]]),"")</f>
        <v>64425.905598777535</v>
      </c>
    </row>
    <row r="163" spans="2:12" x14ac:dyDescent="0.25">
      <c r="B163" s="23">
        <f ca="1">IF(LoanIsGood,IF(ROW()-ROW(PaymentSchedule3[[#Headers],[Payment Number]])&gt;ScheduledNumberOfPayments,"",ROW()-ROW(PaymentSchedule3[[#Headers],[Payment Number]])),"")</f>
        <v>150</v>
      </c>
      <c r="C163" s="24">
        <f ca="1">IF(PaymentSchedule3[[#This Row],[Payment Number]]&lt;&gt;"",EOMONTH(LoanStartDate,ROW(PaymentSchedule3[[#This Row],[Payment Number]])-ROW(PaymentSchedule3[[#Headers],[Payment Number]])-2)+DAY(LoanStartDate),"")</f>
        <v>50003</v>
      </c>
      <c r="D163" s="25">
        <f ca="1">IF(PaymentSchedule3[[#This Row],[Payment Number]]&lt;&gt;"",IF(ROW()-ROW(PaymentSchedule3[[#Headers],[Beginning
Balance]])=1,LoanAmount,INDEX(PaymentSchedule3[Ending
Balance],ROW()-ROW(PaymentSchedule3[[#Headers],[Beginning
Balance]])-1)),"")</f>
        <v>268074.09440122254</v>
      </c>
      <c r="E163" s="25">
        <f ca="1">IF(PaymentSchedule3[[#This Row],[Payment Number]]&lt;&gt;"",ScheduledPayment,"")</f>
        <v>2212.1307964707844</v>
      </c>
      <c r="F1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3" s="25">
        <f ca="1">IF(PaymentSchedule3[[#This Row],[Payment Number]]&lt;&gt;"",PaymentSchedule3[[#This Row],[Total
Payment]]-PaymentSchedule3[[#This Row],[Interest]],"")</f>
        <v>648.36524579698607</v>
      </c>
      <c r="I163" s="25">
        <f ca="1">IF(PaymentSchedule3[[#This Row],[Payment Number]]&lt;&gt;"",PaymentSchedule3[[#This Row],[Beginning
Balance]]*(InterestRate/PaymentsPerYear),"")</f>
        <v>1563.7655506737983</v>
      </c>
      <c r="J163" s="25">
        <f ca="1">IF(PaymentSchedule3[[#This Row],[Payment Number]]&lt;&gt;"",IF(PaymentSchedule3[[#This Row],[Scheduled Payment]]+PaymentSchedule3[[#This Row],[Extra
Payment]]&lt;=PaymentSchedule3[[#This Row],[Beginning
Balance]],PaymentSchedule3[[#This Row],[Beginning
Balance]]-PaymentSchedule3[[#This Row],[Principal]],0),"")</f>
        <v>267425.72915542556</v>
      </c>
      <c r="K163" s="25">
        <f ca="1">IF(PaymentSchedule3[[#This Row],[Payment Number]]&lt;&gt;"",SUM(INDEX(PaymentSchedule3[Interest],1,1):PaymentSchedule3[[#This Row],[Interest]]),"")</f>
        <v>266745.34862604318</v>
      </c>
      <c r="L163" s="25">
        <f ca="1">IF(PaymentSchedule3[[#This Row],[Payment Number]]&lt;&gt;"",SUM(INDEX(PaymentSchedule3[Principal],1,1):PaymentSchedule3[[#This Row],[Principal]]),"")</f>
        <v>65074.270844574523</v>
      </c>
    </row>
    <row r="164" spans="2:12" x14ac:dyDescent="0.25">
      <c r="B164" s="23">
        <f ca="1">IF(LoanIsGood,IF(ROW()-ROW(PaymentSchedule3[[#Headers],[Payment Number]])&gt;ScheduledNumberOfPayments,"",ROW()-ROW(PaymentSchedule3[[#Headers],[Payment Number]])),"")</f>
        <v>151</v>
      </c>
      <c r="C164" s="24">
        <f ca="1">IF(PaymentSchedule3[[#This Row],[Payment Number]]&lt;&gt;"",EOMONTH(LoanStartDate,ROW(PaymentSchedule3[[#This Row],[Payment Number]])-ROW(PaymentSchedule3[[#Headers],[Payment Number]])-2)+DAY(LoanStartDate),"")</f>
        <v>50033</v>
      </c>
      <c r="D164" s="25">
        <f ca="1">IF(PaymentSchedule3[[#This Row],[Payment Number]]&lt;&gt;"",IF(ROW()-ROW(PaymentSchedule3[[#Headers],[Beginning
Balance]])=1,LoanAmount,INDEX(PaymentSchedule3[Ending
Balance],ROW()-ROW(PaymentSchedule3[[#Headers],[Beginning
Balance]])-1)),"")</f>
        <v>267425.72915542556</v>
      </c>
      <c r="E164" s="25">
        <f ca="1">IF(PaymentSchedule3[[#This Row],[Payment Number]]&lt;&gt;"",ScheduledPayment,"")</f>
        <v>2212.1307964707844</v>
      </c>
      <c r="F1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4" s="25">
        <f ca="1">IF(PaymentSchedule3[[#This Row],[Payment Number]]&lt;&gt;"",PaymentSchedule3[[#This Row],[Total
Payment]]-PaymentSchedule3[[#This Row],[Interest]],"")</f>
        <v>652.14737639746863</v>
      </c>
      <c r="I164" s="25">
        <f ca="1">IF(PaymentSchedule3[[#This Row],[Payment Number]]&lt;&gt;"",PaymentSchedule3[[#This Row],[Beginning
Balance]]*(InterestRate/PaymentsPerYear),"")</f>
        <v>1559.9834200733158</v>
      </c>
      <c r="J164" s="25">
        <f ca="1">IF(PaymentSchedule3[[#This Row],[Payment Number]]&lt;&gt;"",IF(PaymentSchedule3[[#This Row],[Scheduled Payment]]+PaymentSchedule3[[#This Row],[Extra
Payment]]&lt;=PaymentSchedule3[[#This Row],[Beginning
Balance]],PaymentSchedule3[[#This Row],[Beginning
Balance]]-PaymentSchedule3[[#This Row],[Principal]],0),"")</f>
        <v>266773.58177902811</v>
      </c>
      <c r="K164" s="25">
        <f ca="1">IF(PaymentSchedule3[[#This Row],[Payment Number]]&lt;&gt;"",SUM(INDEX(PaymentSchedule3[Interest],1,1):PaymentSchedule3[[#This Row],[Interest]]),"")</f>
        <v>268305.33204611647</v>
      </c>
      <c r="L164" s="25">
        <f ca="1">IF(PaymentSchedule3[[#This Row],[Payment Number]]&lt;&gt;"",SUM(INDEX(PaymentSchedule3[Principal],1,1):PaymentSchedule3[[#This Row],[Principal]]),"")</f>
        <v>65726.418220971987</v>
      </c>
    </row>
    <row r="165" spans="2:12" x14ac:dyDescent="0.25">
      <c r="B165" s="23">
        <f ca="1">IF(LoanIsGood,IF(ROW()-ROW(PaymentSchedule3[[#Headers],[Payment Number]])&gt;ScheduledNumberOfPayments,"",ROW()-ROW(PaymentSchedule3[[#Headers],[Payment Number]])),"")</f>
        <v>152</v>
      </c>
      <c r="C165" s="24">
        <f ca="1">IF(PaymentSchedule3[[#This Row],[Payment Number]]&lt;&gt;"",EOMONTH(LoanStartDate,ROW(PaymentSchedule3[[#This Row],[Payment Number]])-ROW(PaymentSchedule3[[#Headers],[Payment Number]])-2)+DAY(LoanStartDate),"")</f>
        <v>50064</v>
      </c>
      <c r="D165" s="25">
        <f ca="1">IF(PaymentSchedule3[[#This Row],[Payment Number]]&lt;&gt;"",IF(ROW()-ROW(PaymentSchedule3[[#Headers],[Beginning
Balance]])=1,LoanAmount,INDEX(PaymentSchedule3[Ending
Balance],ROW()-ROW(PaymentSchedule3[[#Headers],[Beginning
Balance]])-1)),"")</f>
        <v>266773.58177902811</v>
      </c>
      <c r="E165" s="25">
        <f ca="1">IF(PaymentSchedule3[[#This Row],[Payment Number]]&lt;&gt;"",ScheduledPayment,"")</f>
        <v>2212.1307964707844</v>
      </c>
      <c r="F1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5" s="25">
        <f ca="1">IF(PaymentSchedule3[[#This Row],[Payment Number]]&lt;&gt;"",PaymentSchedule3[[#This Row],[Total
Payment]]-PaymentSchedule3[[#This Row],[Interest]],"")</f>
        <v>655.95156942645372</v>
      </c>
      <c r="I165" s="25">
        <f ca="1">IF(PaymentSchedule3[[#This Row],[Payment Number]]&lt;&gt;"",PaymentSchedule3[[#This Row],[Beginning
Balance]]*(InterestRate/PaymentsPerYear),"")</f>
        <v>1556.1792270443307</v>
      </c>
      <c r="J165" s="25">
        <f ca="1">IF(PaymentSchedule3[[#This Row],[Payment Number]]&lt;&gt;"",IF(PaymentSchedule3[[#This Row],[Scheduled Payment]]+PaymentSchedule3[[#This Row],[Extra
Payment]]&lt;=PaymentSchedule3[[#This Row],[Beginning
Balance]],PaymentSchedule3[[#This Row],[Beginning
Balance]]-PaymentSchedule3[[#This Row],[Principal]],0),"")</f>
        <v>266117.63020960166</v>
      </c>
      <c r="K165" s="25">
        <f ca="1">IF(PaymentSchedule3[[#This Row],[Payment Number]]&lt;&gt;"",SUM(INDEX(PaymentSchedule3[Interest],1,1):PaymentSchedule3[[#This Row],[Interest]]),"")</f>
        <v>269861.51127316081</v>
      </c>
      <c r="L165" s="25">
        <f ca="1">IF(PaymentSchedule3[[#This Row],[Payment Number]]&lt;&gt;"",SUM(INDEX(PaymentSchedule3[Principal],1,1):PaymentSchedule3[[#This Row],[Principal]]),"")</f>
        <v>66382.369790398443</v>
      </c>
    </row>
    <row r="166" spans="2:12" x14ac:dyDescent="0.25">
      <c r="B166" s="23">
        <f ca="1">IF(LoanIsGood,IF(ROW()-ROW(PaymentSchedule3[[#Headers],[Payment Number]])&gt;ScheduledNumberOfPayments,"",ROW()-ROW(PaymentSchedule3[[#Headers],[Payment Number]])),"")</f>
        <v>153</v>
      </c>
      <c r="C166" s="24">
        <f ca="1">IF(PaymentSchedule3[[#This Row],[Payment Number]]&lt;&gt;"",EOMONTH(LoanStartDate,ROW(PaymentSchedule3[[#This Row],[Payment Number]])-ROW(PaymentSchedule3[[#Headers],[Payment Number]])-2)+DAY(LoanStartDate),"")</f>
        <v>50095</v>
      </c>
      <c r="D166" s="25">
        <f ca="1">IF(PaymentSchedule3[[#This Row],[Payment Number]]&lt;&gt;"",IF(ROW()-ROW(PaymentSchedule3[[#Headers],[Beginning
Balance]])=1,LoanAmount,INDEX(PaymentSchedule3[Ending
Balance],ROW()-ROW(PaymentSchedule3[[#Headers],[Beginning
Balance]])-1)),"")</f>
        <v>266117.63020960166</v>
      </c>
      <c r="E166" s="25">
        <f ca="1">IF(PaymentSchedule3[[#This Row],[Payment Number]]&lt;&gt;"",ScheduledPayment,"")</f>
        <v>2212.1307964707844</v>
      </c>
      <c r="F1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6" s="25">
        <f ca="1">IF(PaymentSchedule3[[#This Row],[Payment Number]]&lt;&gt;"",PaymentSchedule3[[#This Row],[Total
Payment]]-PaymentSchedule3[[#This Row],[Interest]],"")</f>
        <v>659.77795358144135</v>
      </c>
      <c r="I166" s="25">
        <f ca="1">IF(PaymentSchedule3[[#This Row],[Payment Number]]&lt;&gt;"",PaymentSchedule3[[#This Row],[Beginning
Balance]]*(InterestRate/PaymentsPerYear),"")</f>
        <v>1552.352842889343</v>
      </c>
      <c r="J166" s="25">
        <f ca="1">IF(PaymentSchedule3[[#This Row],[Payment Number]]&lt;&gt;"",IF(PaymentSchedule3[[#This Row],[Scheduled Payment]]+PaymentSchedule3[[#This Row],[Extra
Payment]]&lt;=PaymentSchedule3[[#This Row],[Beginning
Balance]],PaymentSchedule3[[#This Row],[Beginning
Balance]]-PaymentSchedule3[[#This Row],[Principal]],0),"")</f>
        <v>265457.85225602024</v>
      </c>
      <c r="K166" s="25">
        <f ca="1">IF(PaymentSchedule3[[#This Row],[Payment Number]]&lt;&gt;"",SUM(INDEX(PaymentSchedule3[Interest],1,1):PaymentSchedule3[[#This Row],[Interest]]),"")</f>
        <v>271413.86411605013</v>
      </c>
      <c r="L166" s="25">
        <f ca="1">IF(PaymentSchedule3[[#This Row],[Payment Number]]&lt;&gt;"",SUM(INDEX(PaymentSchedule3[Principal],1,1):PaymentSchedule3[[#This Row],[Principal]]),"")</f>
        <v>67042.147743979891</v>
      </c>
    </row>
    <row r="167" spans="2:12" x14ac:dyDescent="0.25">
      <c r="B167" s="23">
        <f ca="1">IF(LoanIsGood,IF(ROW()-ROW(PaymentSchedule3[[#Headers],[Payment Number]])&gt;ScheduledNumberOfPayments,"",ROW()-ROW(PaymentSchedule3[[#Headers],[Payment Number]])),"")</f>
        <v>154</v>
      </c>
      <c r="C167" s="24">
        <f ca="1">IF(PaymentSchedule3[[#This Row],[Payment Number]]&lt;&gt;"",EOMONTH(LoanStartDate,ROW(PaymentSchedule3[[#This Row],[Payment Number]])-ROW(PaymentSchedule3[[#Headers],[Payment Number]])-2)+DAY(LoanStartDate),"")</f>
        <v>50123</v>
      </c>
      <c r="D167" s="25">
        <f ca="1">IF(PaymentSchedule3[[#This Row],[Payment Number]]&lt;&gt;"",IF(ROW()-ROW(PaymentSchedule3[[#Headers],[Beginning
Balance]])=1,LoanAmount,INDEX(PaymentSchedule3[Ending
Balance],ROW()-ROW(PaymentSchedule3[[#Headers],[Beginning
Balance]])-1)),"")</f>
        <v>265457.85225602024</v>
      </c>
      <c r="E167" s="25">
        <f ca="1">IF(PaymentSchedule3[[#This Row],[Payment Number]]&lt;&gt;"",ScheduledPayment,"")</f>
        <v>2212.1307964707844</v>
      </c>
      <c r="F1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7" s="25">
        <f ca="1">IF(PaymentSchedule3[[#This Row],[Payment Number]]&lt;&gt;"",PaymentSchedule3[[#This Row],[Total
Payment]]-PaymentSchedule3[[#This Row],[Interest]],"")</f>
        <v>663.62665831066624</v>
      </c>
      <c r="I167" s="25">
        <f ca="1">IF(PaymentSchedule3[[#This Row],[Payment Number]]&lt;&gt;"",PaymentSchedule3[[#This Row],[Beginning
Balance]]*(InterestRate/PaymentsPerYear),"")</f>
        <v>1548.5041381601181</v>
      </c>
      <c r="J167" s="25">
        <f ca="1">IF(PaymentSchedule3[[#This Row],[Payment Number]]&lt;&gt;"",IF(PaymentSchedule3[[#This Row],[Scheduled Payment]]+PaymentSchedule3[[#This Row],[Extra
Payment]]&lt;=PaymentSchedule3[[#This Row],[Beginning
Balance]],PaymentSchedule3[[#This Row],[Beginning
Balance]]-PaymentSchedule3[[#This Row],[Principal]],0),"")</f>
        <v>264794.22559770959</v>
      </c>
      <c r="K167" s="25">
        <f ca="1">IF(PaymentSchedule3[[#This Row],[Payment Number]]&lt;&gt;"",SUM(INDEX(PaymentSchedule3[Interest],1,1):PaymentSchedule3[[#This Row],[Interest]]),"")</f>
        <v>272962.36825421022</v>
      </c>
      <c r="L167" s="25">
        <f ca="1">IF(PaymentSchedule3[[#This Row],[Payment Number]]&lt;&gt;"",SUM(INDEX(PaymentSchedule3[Principal],1,1):PaymentSchedule3[[#This Row],[Principal]]),"")</f>
        <v>67705.774402290554</v>
      </c>
    </row>
    <row r="168" spans="2:12" x14ac:dyDescent="0.25">
      <c r="B168" s="23">
        <f ca="1">IF(LoanIsGood,IF(ROW()-ROW(PaymentSchedule3[[#Headers],[Payment Number]])&gt;ScheduledNumberOfPayments,"",ROW()-ROW(PaymentSchedule3[[#Headers],[Payment Number]])),"")</f>
        <v>155</v>
      </c>
      <c r="C168" s="24">
        <f ca="1">IF(PaymentSchedule3[[#This Row],[Payment Number]]&lt;&gt;"",EOMONTH(LoanStartDate,ROW(PaymentSchedule3[[#This Row],[Payment Number]])-ROW(PaymentSchedule3[[#Headers],[Payment Number]])-2)+DAY(LoanStartDate),"")</f>
        <v>50154</v>
      </c>
      <c r="D168" s="25">
        <f ca="1">IF(PaymentSchedule3[[#This Row],[Payment Number]]&lt;&gt;"",IF(ROW()-ROW(PaymentSchedule3[[#Headers],[Beginning
Balance]])=1,LoanAmount,INDEX(PaymentSchedule3[Ending
Balance],ROW()-ROW(PaymentSchedule3[[#Headers],[Beginning
Balance]])-1)),"")</f>
        <v>264794.22559770959</v>
      </c>
      <c r="E168" s="25">
        <f ca="1">IF(PaymentSchedule3[[#This Row],[Payment Number]]&lt;&gt;"",ScheduledPayment,"")</f>
        <v>2212.1307964707844</v>
      </c>
      <c r="F1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8" s="25">
        <f ca="1">IF(PaymentSchedule3[[#This Row],[Payment Number]]&lt;&gt;"",PaymentSchedule3[[#This Row],[Total
Payment]]-PaymentSchedule3[[#This Row],[Interest]],"")</f>
        <v>667.49781381747835</v>
      </c>
      <c r="I168" s="25">
        <f ca="1">IF(PaymentSchedule3[[#This Row],[Payment Number]]&lt;&gt;"",PaymentSchedule3[[#This Row],[Beginning
Balance]]*(InterestRate/PaymentsPerYear),"")</f>
        <v>1544.632982653306</v>
      </c>
      <c r="J168" s="25">
        <f ca="1">IF(PaymentSchedule3[[#This Row],[Payment Number]]&lt;&gt;"",IF(PaymentSchedule3[[#This Row],[Scheduled Payment]]+PaymentSchedule3[[#This Row],[Extra
Payment]]&lt;=PaymentSchedule3[[#This Row],[Beginning
Balance]],PaymentSchedule3[[#This Row],[Beginning
Balance]]-PaymentSchedule3[[#This Row],[Principal]],0),"")</f>
        <v>264126.72778389213</v>
      </c>
      <c r="K168" s="25">
        <f ca="1">IF(PaymentSchedule3[[#This Row],[Payment Number]]&lt;&gt;"",SUM(INDEX(PaymentSchedule3[Interest],1,1):PaymentSchedule3[[#This Row],[Interest]]),"")</f>
        <v>274507.00123686355</v>
      </c>
      <c r="L168" s="25">
        <f ca="1">IF(PaymentSchedule3[[#This Row],[Payment Number]]&lt;&gt;"",SUM(INDEX(PaymentSchedule3[Principal],1,1):PaymentSchedule3[[#This Row],[Principal]]),"")</f>
        <v>68373.272216108031</v>
      </c>
    </row>
    <row r="169" spans="2:12" x14ac:dyDescent="0.25">
      <c r="B169" s="23">
        <f ca="1">IF(LoanIsGood,IF(ROW()-ROW(PaymentSchedule3[[#Headers],[Payment Number]])&gt;ScheduledNumberOfPayments,"",ROW()-ROW(PaymentSchedule3[[#Headers],[Payment Number]])),"")</f>
        <v>156</v>
      </c>
      <c r="C169" s="24">
        <f ca="1">IF(PaymentSchedule3[[#This Row],[Payment Number]]&lt;&gt;"",EOMONTH(LoanStartDate,ROW(PaymentSchedule3[[#This Row],[Payment Number]])-ROW(PaymentSchedule3[[#Headers],[Payment Number]])-2)+DAY(LoanStartDate),"")</f>
        <v>50184</v>
      </c>
      <c r="D169" s="25">
        <f ca="1">IF(PaymentSchedule3[[#This Row],[Payment Number]]&lt;&gt;"",IF(ROW()-ROW(PaymentSchedule3[[#Headers],[Beginning
Balance]])=1,LoanAmount,INDEX(PaymentSchedule3[Ending
Balance],ROW()-ROW(PaymentSchedule3[[#Headers],[Beginning
Balance]])-1)),"")</f>
        <v>264126.72778389213</v>
      </c>
      <c r="E169" s="25">
        <f ca="1">IF(PaymentSchedule3[[#This Row],[Payment Number]]&lt;&gt;"",ScheduledPayment,"")</f>
        <v>2212.1307964707844</v>
      </c>
      <c r="F1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69" s="25">
        <f ca="1">IF(PaymentSchedule3[[#This Row],[Payment Number]]&lt;&gt;"",PaymentSchedule3[[#This Row],[Total
Payment]]-PaymentSchedule3[[#This Row],[Interest]],"")</f>
        <v>671.39155106474686</v>
      </c>
      <c r="I169" s="25">
        <f ca="1">IF(PaymentSchedule3[[#This Row],[Payment Number]]&lt;&gt;"",PaymentSchedule3[[#This Row],[Beginning
Balance]]*(InterestRate/PaymentsPerYear),"")</f>
        <v>1540.7392454060375</v>
      </c>
      <c r="J169" s="25">
        <f ca="1">IF(PaymentSchedule3[[#This Row],[Payment Number]]&lt;&gt;"",IF(PaymentSchedule3[[#This Row],[Scheduled Payment]]+PaymentSchedule3[[#This Row],[Extra
Payment]]&lt;=PaymentSchedule3[[#This Row],[Beginning
Balance]],PaymentSchedule3[[#This Row],[Beginning
Balance]]-PaymentSchedule3[[#This Row],[Principal]],0),"")</f>
        <v>263455.33623282739</v>
      </c>
      <c r="K169" s="25">
        <f ca="1">IF(PaymentSchedule3[[#This Row],[Payment Number]]&lt;&gt;"",SUM(INDEX(PaymentSchedule3[Interest],1,1):PaymentSchedule3[[#This Row],[Interest]]),"")</f>
        <v>276047.74048226961</v>
      </c>
      <c r="L169" s="25">
        <f ca="1">IF(PaymentSchedule3[[#This Row],[Payment Number]]&lt;&gt;"",SUM(INDEX(PaymentSchedule3[Principal],1,1):PaymentSchedule3[[#This Row],[Principal]]),"")</f>
        <v>69044.66376717278</v>
      </c>
    </row>
    <row r="170" spans="2:12" x14ac:dyDescent="0.25">
      <c r="B170" s="23">
        <f ca="1">IF(LoanIsGood,IF(ROW()-ROW(PaymentSchedule3[[#Headers],[Payment Number]])&gt;ScheduledNumberOfPayments,"",ROW()-ROW(PaymentSchedule3[[#Headers],[Payment Number]])),"")</f>
        <v>157</v>
      </c>
      <c r="C170" s="24">
        <f ca="1">IF(PaymentSchedule3[[#This Row],[Payment Number]]&lt;&gt;"",EOMONTH(LoanStartDate,ROW(PaymentSchedule3[[#This Row],[Payment Number]])-ROW(PaymentSchedule3[[#Headers],[Payment Number]])-2)+DAY(LoanStartDate),"")</f>
        <v>50215</v>
      </c>
      <c r="D170" s="25">
        <f ca="1">IF(PaymentSchedule3[[#This Row],[Payment Number]]&lt;&gt;"",IF(ROW()-ROW(PaymentSchedule3[[#Headers],[Beginning
Balance]])=1,LoanAmount,INDEX(PaymentSchedule3[Ending
Balance],ROW()-ROW(PaymentSchedule3[[#Headers],[Beginning
Balance]])-1)),"")</f>
        <v>263455.33623282739</v>
      </c>
      <c r="E170" s="25">
        <f ca="1">IF(PaymentSchedule3[[#This Row],[Payment Number]]&lt;&gt;"",ScheduledPayment,"")</f>
        <v>2212.1307964707844</v>
      </c>
      <c r="F1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0" s="25">
        <f ca="1">IF(PaymentSchedule3[[#This Row],[Payment Number]]&lt;&gt;"",PaymentSchedule3[[#This Row],[Total
Payment]]-PaymentSchedule3[[#This Row],[Interest]],"")</f>
        <v>675.30800177929109</v>
      </c>
      <c r="I170" s="25">
        <f ca="1">IF(PaymentSchedule3[[#This Row],[Payment Number]]&lt;&gt;"",PaymentSchedule3[[#This Row],[Beginning
Balance]]*(InterestRate/PaymentsPerYear),"")</f>
        <v>1536.8227946914933</v>
      </c>
      <c r="J170" s="25">
        <f ca="1">IF(PaymentSchedule3[[#This Row],[Payment Number]]&lt;&gt;"",IF(PaymentSchedule3[[#This Row],[Scheduled Payment]]+PaymentSchedule3[[#This Row],[Extra
Payment]]&lt;=PaymentSchedule3[[#This Row],[Beginning
Balance]],PaymentSchedule3[[#This Row],[Beginning
Balance]]-PaymentSchedule3[[#This Row],[Principal]],0),"")</f>
        <v>262780.02823104808</v>
      </c>
      <c r="K170" s="25">
        <f ca="1">IF(PaymentSchedule3[[#This Row],[Payment Number]]&lt;&gt;"",SUM(INDEX(PaymentSchedule3[Interest],1,1):PaymentSchedule3[[#This Row],[Interest]]),"")</f>
        <v>277584.5632769611</v>
      </c>
      <c r="L170" s="25">
        <f ca="1">IF(PaymentSchedule3[[#This Row],[Payment Number]]&lt;&gt;"",SUM(INDEX(PaymentSchedule3[Principal],1,1):PaymentSchedule3[[#This Row],[Principal]]),"")</f>
        <v>69719.971768952077</v>
      </c>
    </row>
    <row r="171" spans="2:12" x14ac:dyDescent="0.25">
      <c r="B171" s="23">
        <f ca="1">IF(LoanIsGood,IF(ROW()-ROW(PaymentSchedule3[[#Headers],[Payment Number]])&gt;ScheduledNumberOfPayments,"",ROW()-ROW(PaymentSchedule3[[#Headers],[Payment Number]])),"")</f>
        <v>158</v>
      </c>
      <c r="C171" s="24">
        <f ca="1">IF(PaymentSchedule3[[#This Row],[Payment Number]]&lt;&gt;"",EOMONTH(LoanStartDate,ROW(PaymentSchedule3[[#This Row],[Payment Number]])-ROW(PaymentSchedule3[[#Headers],[Payment Number]])-2)+DAY(LoanStartDate),"")</f>
        <v>50245</v>
      </c>
      <c r="D171" s="25">
        <f ca="1">IF(PaymentSchedule3[[#This Row],[Payment Number]]&lt;&gt;"",IF(ROW()-ROW(PaymentSchedule3[[#Headers],[Beginning
Balance]])=1,LoanAmount,INDEX(PaymentSchedule3[Ending
Balance],ROW()-ROW(PaymentSchedule3[[#Headers],[Beginning
Balance]])-1)),"")</f>
        <v>262780.02823104808</v>
      </c>
      <c r="E171" s="25">
        <f ca="1">IF(PaymentSchedule3[[#This Row],[Payment Number]]&lt;&gt;"",ScheduledPayment,"")</f>
        <v>2212.1307964707844</v>
      </c>
      <c r="F1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1" s="25">
        <f ca="1">IF(PaymentSchedule3[[#This Row],[Payment Number]]&lt;&gt;"",PaymentSchedule3[[#This Row],[Total
Payment]]-PaymentSchedule3[[#This Row],[Interest]],"")</f>
        <v>679.24729845633715</v>
      </c>
      <c r="I171" s="25">
        <f ca="1">IF(PaymentSchedule3[[#This Row],[Payment Number]]&lt;&gt;"",PaymentSchedule3[[#This Row],[Beginning
Balance]]*(InterestRate/PaymentsPerYear),"")</f>
        <v>1532.8834980144472</v>
      </c>
      <c r="J171" s="25">
        <f ca="1">IF(PaymentSchedule3[[#This Row],[Payment Number]]&lt;&gt;"",IF(PaymentSchedule3[[#This Row],[Scheduled Payment]]+PaymentSchedule3[[#This Row],[Extra
Payment]]&lt;=PaymentSchedule3[[#This Row],[Beginning
Balance]],PaymentSchedule3[[#This Row],[Beginning
Balance]]-PaymentSchedule3[[#This Row],[Principal]],0),"")</f>
        <v>262100.78093259173</v>
      </c>
      <c r="K171" s="25">
        <f ca="1">IF(PaymentSchedule3[[#This Row],[Payment Number]]&lt;&gt;"",SUM(INDEX(PaymentSchedule3[Interest],1,1):PaymentSchedule3[[#This Row],[Interest]]),"")</f>
        <v>279117.44677497557</v>
      </c>
      <c r="L171" s="25">
        <f ca="1">IF(PaymentSchedule3[[#This Row],[Payment Number]]&lt;&gt;"",SUM(INDEX(PaymentSchedule3[Principal],1,1):PaymentSchedule3[[#This Row],[Principal]]),"")</f>
        <v>70399.219067408412</v>
      </c>
    </row>
    <row r="172" spans="2:12" x14ac:dyDescent="0.25">
      <c r="B172" s="23">
        <f ca="1">IF(LoanIsGood,IF(ROW()-ROW(PaymentSchedule3[[#Headers],[Payment Number]])&gt;ScheduledNumberOfPayments,"",ROW()-ROW(PaymentSchedule3[[#Headers],[Payment Number]])),"")</f>
        <v>159</v>
      </c>
      <c r="C172" s="24">
        <f ca="1">IF(PaymentSchedule3[[#This Row],[Payment Number]]&lt;&gt;"",EOMONTH(LoanStartDate,ROW(PaymentSchedule3[[#This Row],[Payment Number]])-ROW(PaymentSchedule3[[#Headers],[Payment Number]])-2)+DAY(LoanStartDate),"")</f>
        <v>50276</v>
      </c>
      <c r="D172" s="25">
        <f ca="1">IF(PaymentSchedule3[[#This Row],[Payment Number]]&lt;&gt;"",IF(ROW()-ROW(PaymentSchedule3[[#Headers],[Beginning
Balance]])=1,LoanAmount,INDEX(PaymentSchedule3[Ending
Balance],ROW()-ROW(PaymentSchedule3[[#Headers],[Beginning
Balance]])-1)),"")</f>
        <v>262100.78093259173</v>
      </c>
      <c r="E172" s="25">
        <f ca="1">IF(PaymentSchedule3[[#This Row],[Payment Number]]&lt;&gt;"",ScheduledPayment,"")</f>
        <v>2212.1307964707844</v>
      </c>
      <c r="F1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2" s="25">
        <f ca="1">IF(PaymentSchedule3[[#This Row],[Payment Number]]&lt;&gt;"",PaymentSchedule3[[#This Row],[Total
Payment]]-PaymentSchedule3[[#This Row],[Interest]],"")</f>
        <v>683.20957436399931</v>
      </c>
      <c r="I172" s="25">
        <f ca="1">IF(PaymentSchedule3[[#This Row],[Payment Number]]&lt;&gt;"",PaymentSchedule3[[#This Row],[Beginning
Balance]]*(InterestRate/PaymentsPerYear),"")</f>
        <v>1528.9212221067851</v>
      </c>
      <c r="J172" s="25">
        <f ca="1">IF(PaymentSchedule3[[#This Row],[Payment Number]]&lt;&gt;"",IF(PaymentSchedule3[[#This Row],[Scheduled Payment]]+PaymentSchedule3[[#This Row],[Extra
Payment]]&lt;=PaymentSchedule3[[#This Row],[Beginning
Balance]],PaymentSchedule3[[#This Row],[Beginning
Balance]]-PaymentSchedule3[[#This Row],[Principal]],0),"")</f>
        <v>261417.57135822772</v>
      </c>
      <c r="K172" s="25">
        <f ca="1">IF(PaymentSchedule3[[#This Row],[Payment Number]]&lt;&gt;"",SUM(INDEX(PaymentSchedule3[Interest],1,1):PaymentSchedule3[[#This Row],[Interest]]),"")</f>
        <v>280646.36799708236</v>
      </c>
      <c r="L172" s="25">
        <f ca="1">IF(PaymentSchedule3[[#This Row],[Payment Number]]&lt;&gt;"",SUM(INDEX(PaymentSchedule3[Principal],1,1):PaymentSchedule3[[#This Row],[Principal]]),"")</f>
        <v>71082.428641772407</v>
      </c>
    </row>
    <row r="173" spans="2:12" x14ac:dyDescent="0.25">
      <c r="B173" s="23">
        <f ca="1">IF(LoanIsGood,IF(ROW()-ROW(PaymentSchedule3[[#Headers],[Payment Number]])&gt;ScheduledNumberOfPayments,"",ROW()-ROW(PaymentSchedule3[[#Headers],[Payment Number]])),"")</f>
        <v>160</v>
      </c>
      <c r="C173" s="24">
        <f ca="1">IF(PaymentSchedule3[[#This Row],[Payment Number]]&lt;&gt;"",EOMONTH(LoanStartDate,ROW(PaymentSchedule3[[#This Row],[Payment Number]])-ROW(PaymentSchedule3[[#Headers],[Payment Number]])-2)+DAY(LoanStartDate),"")</f>
        <v>50307</v>
      </c>
      <c r="D173" s="25">
        <f ca="1">IF(PaymentSchedule3[[#This Row],[Payment Number]]&lt;&gt;"",IF(ROW()-ROW(PaymentSchedule3[[#Headers],[Beginning
Balance]])=1,LoanAmount,INDEX(PaymentSchedule3[Ending
Balance],ROW()-ROW(PaymentSchedule3[[#Headers],[Beginning
Balance]])-1)),"")</f>
        <v>261417.57135822772</v>
      </c>
      <c r="E173" s="25">
        <f ca="1">IF(PaymentSchedule3[[#This Row],[Payment Number]]&lt;&gt;"",ScheduledPayment,"")</f>
        <v>2212.1307964707844</v>
      </c>
      <c r="F1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3" s="25">
        <f ca="1">IF(PaymentSchedule3[[#This Row],[Payment Number]]&lt;&gt;"",PaymentSchedule3[[#This Row],[Total
Payment]]-PaymentSchedule3[[#This Row],[Interest]],"")</f>
        <v>687.19496354778926</v>
      </c>
      <c r="I173" s="25">
        <f ca="1">IF(PaymentSchedule3[[#This Row],[Payment Number]]&lt;&gt;"",PaymentSchedule3[[#This Row],[Beginning
Balance]]*(InterestRate/PaymentsPerYear),"")</f>
        <v>1524.9358329229951</v>
      </c>
      <c r="J173" s="25">
        <f ca="1">IF(PaymentSchedule3[[#This Row],[Payment Number]]&lt;&gt;"",IF(PaymentSchedule3[[#This Row],[Scheduled Payment]]+PaymentSchedule3[[#This Row],[Extra
Payment]]&lt;=PaymentSchedule3[[#This Row],[Beginning
Balance]],PaymentSchedule3[[#This Row],[Beginning
Balance]]-PaymentSchedule3[[#This Row],[Principal]],0),"")</f>
        <v>260730.37639467994</v>
      </c>
      <c r="K173" s="25">
        <f ca="1">IF(PaymentSchedule3[[#This Row],[Payment Number]]&lt;&gt;"",SUM(INDEX(PaymentSchedule3[Interest],1,1):PaymentSchedule3[[#This Row],[Interest]]),"")</f>
        <v>282171.30383000534</v>
      </c>
      <c r="L173" s="25">
        <f ca="1">IF(PaymentSchedule3[[#This Row],[Payment Number]]&lt;&gt;"",SUM(INDEX(PaymentSchedule3[Principal],1,1):PaymentSchedule3[[#This Row],[Principal]]),"")</f>
        <v>71769.623605320201</v>
      </c>
    </row>
    <row r="174" spans="2:12" x14ac:dyDescent="0.25">
      <c r="B174" s="23">
        <f ca="1">IF(LoanIsGood,IF(ROW()-ROW(PaymentSchedule3[[#Headers],[Payment Number]])&gt;ScheduledNumberOfPayments,"",ROW()-ROW(PaymentSchedule3[[#Headers],[Payment Number]])),"")</f>
        <v>161</v>
      </c>
      <c r="C174" s="24">
        <f ca="1">IF(PaymentSchedule3[[#This Row],[Payment Number]]&lt;&gt;"",EOMONTH(LoanStartDate,ROW(PaymentSchedule3[[#This Row],[Payment Number]])-ROW(PaymentSchedule3[[#Headers],[Payment Number]])-2)+DAY(LoanStartDate),"")</f>
        <v>50337</v>
      </c>
      <c r="D174" s="25">
        <f ca="1">IF(PaymentSchedule3[[#This Row],[Payment Number]]&lt;&gt;"",IF(ROW()-ROW(PaymentSchedule3[[#Headers],[Beginning
Balance]])=1,LoanAmount,INDEX(PaymentSchedule3[Ending
Balance],ROW()-ROW(PaymentSchedule3[[#Headers],[Beginning
Balance]])-1)),"")</f>
        <v>260730.37639467994</v>
      </c>
      <c r="E174" s="25">
        <f ca="1">IF(PaymentSchedule3[[#This Row],[Payment Number]]&lt;&gt;"",ScheduledPayment,"")</f>
        <v>2212.1307964707844</v>
      </c>
      <c r="F1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4" s="25">
        <f ca="1">IF(PaymentSchedule3[[#This Row],[Payment Number]]&lt;&gt;"",PaymentSchedule3[[#This Row],[Total
Payment]]-PaymentSchedule3[[#This Row],[Interest]],"")</f>
        <v>691.20360083515129</v>
      </c>
      <c r="I174" s="25">
        <f ca="1">IF(PaymentSchedule3[[#This Row],[Payment Number]]&lt;&gt;"",PaymentSchedule3[[#This Row],[Beginning
Balance]]*(InterestRate/PaymentsPerYear),"")</f>
        <v>1520.9271956356331</v>
      </c>
      <c r="J174" s="25">
        <f ca="1">IF(PaymentSchedule3[[#This Row],[Payment Number]]&lt;&gt;"",IF(PaymentSchedule3[[#This Row],[Scheduled Payment]]+PaymentSchedule3[[#This Row],[Extra
Payment]]&lt;=PaymentSchedule3[[#This Row],[Beginning
Balance]],PaymentSchedule3[[#This Row],[Beginning
Balance]]-PaymentSchedule3[[#This Row],[Principal]],0),"")</f>
        <v>260039.1727938448</v>
      </c>
      <c r="K174" s="25">
        <f ca="1">IF(PaymentSchedule3[[#This Row],[Payment Number]]&lt;&gt;"",SUM(INDEX(PaymentSchedule3[Interest],1,1):PaymentSchedule3[[#This Row],[Interest]]),"")</f>
        <v>283692.23102564097</v>
      </c>
      <c r="L174" s="25">
        <f ca="1">IF(PaymentSchedule3[[#This Row],[Payment Number]]&lt;&gt;"",SUM(INDEX(PaymentSchedule3[Principal],1,1):PaymentSchedule3[[#This Row],[Principal]]),"")</f>
        <v>72460.827206155358</v>
      </c>
    </row>
    <row r="175" spans="2:12" x14ac:dyDescent="0.25">
      <c r="B175" s="23">
        <f ca="1">IF(LoanIsGood,IF(ROW()-ROW(PaymentSchedule3[[#Headers],[Payment Number]])&gt;ScheduledNumberOfPayments,"",ROW()-ROW(PaymentSchedule3[[#Headers],[Payment Number]])),"")</f>
        <v>162</v>
      </c>
      <c r="C175" s="24">
        <f ca="1">IF(PaymentSchedule3[[#This Row],[Payment Number]]&lt;&gt;"",EOMONTH(LoanStartDate,ROW(PaymentSchedule3[[#This Row],[Payment Number]])-ROW(PaymentSchedule3[[#Headers],[Payment Number]])-2)+DAY(LoanStartDate),"")</f>
        <v>50368</v>
      </c>
      <c r="D175" s="25">
        <f ca="1">IF(PaymentSchedule3[[#This Row],[Payment Number]]&lt;&gt;"",IF(ROW()-ROW(PaymentSchedule3[[#Headers],[Beginning
Balance]])=1,LoanAmount,INDEX(PaymentSchedule3[Ending
Balance],ROW()-ROW(PaymentSchedule3[[#Headers],[Beginning
Balance]])-1)),"")</f>
        <v>260039.1727938448</v>
      </c>
      <c r="E175" s="25">
        <f ca="1">IF(PaymentSchedule3[[#This Row],[Payment Number]]&lt;&gt;"",ScheduledPayment,"")</f>
        <v>2212.1307964707844</v>
      </c>
      <c r="F1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5" s="25">
        <f ca="1">IF(PaymentSchedule3[[#This Row],[Payment Number]]&lt;&gt;"",PaymentSchedule3[[#This Row],[Total
Payment]]-PaymentSchedule3[[#This Row],[Interest]],"")</f>
        <v>695.23562184002299</v>
      </c>
      <c r="I175" s="25">
        <f ca="1">IF(PaymentSchedule3[[#This Row],[Payment Number]]&lt;&gt;"",PaymentSchedule3[[#This Row],[Beginning
Balance]]*(InterestRate/PaymentsPerYear),"")</f>
        <v>1516.8951746307614</v>
      </c>
      <c r="J175" s="25">
        <f ca="1">IF(PaymentSchedule3[[#This Row],[Payment Number]]&lt;&gt;"",IF(PaymentSchedule3[[#This Row],[Scheduled Payment]]+PaymentSchedule3[[#This Row],[Extra
Payment]]&lt;=PaymentSchedule3[[#This Row],[Beginning
Balance]],PaymentSchedule3[[#This Row],[Beginning
Balance]]-PaymentSchedule3[[#This Row],[Principal]],0),"")</f>
        <v>259343.93717200478</v>
      </c>
      <c r="K175" s="25">
        <f ca="1">IF(PaymentSchedule3[[#This Row],[Payment Number]]&lt;&gt;"",SUM(INDEX(PaymentSchedule3[Interest],1,1):PaymentSchedule3[[#This Row],[Interest]]),"")</f>
        <v>285209.12620027171</v>
      </c>
      <c r="L175" s="25">
        <f ca="1">IF(PaymentSchedule3[[#This Row],[Payment Number]]&lt;&gt;"",SUM(INDEX(PaymentSchedule3[Principal],1,1):PaymentSchedule3[[#This Row],[Principal]]),"")</f>
        <v>73156.062827995382</v>
      </c>
    </row>
    <row r="176" spans="2:12" x14ac:dyDescent="0.25">
      <c r="B176" s="23">
        <f ca="1">IF(LoanIsGood,IF(ROW()-ROW(PaymentSchedule3[[#Headers],[Payment Number]])&gt;ScheduledNumberOfPayments,"",ROW()-ROW(PaymentSchedule3[[#Headers],[Payment Number]])),"")</f>
        <v>163</v>
      </c>
      <c r="C176" s="24">
        <f ca="1">IF(PaymentSchedule3[[#This Row],[Payment Number]]&lt;&gt;"",EOMONTH(LoanStartDate,ROW(PaymentSchedule3[[#This Row],[Payment Number]])-ROW(PaymentSchedule3[[#Headers],[Payment Number]])-2)+DAY(LoanStartDate),"")</f>
        <v>50398</v>
      </c>
      <c r="D176" s="25">
        <f ca="1">IF(PaymentSchedule3[[#This Row],[Payment Number]]&lt;&gt;"",IF(ROW()-ROW(PaymentSchedule3[[#Headers],[Beginning
Balance]])=1,LoanAmount,INDEX(PaymentSchedule3[Ending
Balance],ROW()-ROW(PaymentSchedule3[[#Headers],[Beginning
Balance]])-1)),"")</f>
        <v>259343.93717200478</v>
      </c>
      <c r="E176" s="25">
        <f ca="1">IF(PaymentSchedule3[[#This Row],[Payment Number]]&lt;&gt;"",ScheduledPayment,"")</f>
        <v>2212.1307964707844</v>
      </c>
      <c r="F1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6" s="25">
        <f ca="1">IF(PaymentSchedule3[[#This Row],[Payment Number]]&lt;&gt;"",PaymentSchedule3[[#This Row],[Total
Payment]]-PaymentSchedule3[[#This Row],[Interest]],"")</f>
        <v>699.29116296742313</v>
      </c>
      <c r="I176" s="25">
        <f ca="1">IF(PaymentSchedule3[[#This Row],[Payment Number]]&lt;&gt;"",PaymentSchedule3[[#This Row],[Beginning
Balance]]*(InterestRate/PaymentsPerYear),"")</f>
        <v>1512.8396335033613</v>
      </c>
      <c r="J176" s="25">
        <f ca="1">IF(PaymentSchedule3[[#This Row],[Payment Number]]&lt;&gt;"",IF(PaymentSchedule3[[#This Row],[Scheduled Payment]]+PaymentSchedule3[[#This Row],[Extra
Payment]]&lt;=PaymentSchedule3[[#This Row],[Beginning
Balance]],PaymentSchedule3[[#This Row],[Beginning
Balance]]-PaymentSchedule3[[#This Row],[Principal]],0),"")</f>
        <v>258644.64600903736</v>
      </c>
      <c r="K176" s="25">
        <f ca="1">IF(PaymentSchedule3[[#This Row],[Payment Number]]&lt;&gt;"",SUM(INDEX(PaymentSchedule3[Interest],1,1):PaymentSchedule3[[#This Row],[Interest]]),"")</f>
        <v>286721.96583377506</v>
      </c>
      <c r="L176" s="25">
        <f ca="1">IF(PaymentSchedule3[[#This Row],[Payment Number]]&lt;&gt;"",SUM(INDEX(PaymentSchedule3[Principal],1,1):PaymentSchedule3[[#This Row],[Principal]]),"")</f>
        <v>73855.353990962802</v>
      </c>
    </row>
    <row r="177" spans="2:12" x14ac:dyDescent="0.25">
      <c r="B177" s="23">
        <f ca="1">IF(LoanIsGood,IF(ROW()-ROW(PaymentSchedule3[[#Headers],[Payment Number]])&gt;ScheduledNumberOfPayments,"",ROW()-ROW(PaymentSchedule3[[#Headers],[Payment Number]])),"")</f>
        <v>164</v>
      </c>
      <c r="C177" s="24">
        <f ca="1">IF(PaymentSchedule3[[#This Row],[Payment Number]]&lt;&gt;"",EOMONTH(LoanStartDate,ROW(PaymentSchedule3[[#This Row],[Payment Number]])-ROW(PaymentSchedule3[[#Headers],[Payment Number]])-2)+DAY(LoanStartDate),"")</f>
        <v>50429</v>
      </c>
      <c r="D177" s="25">
        <f ca="1">IF(PaymentSchedule3[[#This Row],[Payment Number]]&lt;&gt;"",IF(ROW()-ROW(PaymentSchedule3[[#Headers],[Beginning
Balance]])=1,LoanAmount,INDEX(PaymentSchedule3[Ending
Balance],ROW()-ROW(PaymentSchedule3[[#Headers],[Beginning
Balance]])-1)),"")</f>
        <v>258644.64600903736</v>
      </c>
      <c r="E177" s="25">
        <f ca="1">IF(PaymentSchedule3[[#This Row],[Payment Number]]&lt;&gt;"",ScheduledPayment,"")</f>
        <v>2212.1307964707844</v>
      </c>
      <c r="F1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7" s="25">
        <f ca="1">IF(PaymentSchedule3[[#This Row],[Payment Number]]&lt;&gt;"",PaymentSchedule3[[#This Row],[Total
Payment]]-PaymentSchedule3[[#This Row],[Interest]],"")</f>
        <v>703.3703614180663</v>
      </c>
      <c r="I177" s="25">
        <f ca="1">IF(PaymentSchedule3[[#This Row],[Payment Number]]&lt;&gt;"",PaymentSchedule3[[#This Row],[Beginning
Balance]]*(InterestRate/PaymentsPerYear),"")</f>
        <v>1508.7604350527181</v>
      </c>
      <c r="J177" s="25">
        <f ca="1">IF(PaymentSchedule3[[#This Row],[Payment Number]]&lt;&gt;"",IF(PaymentSchedule3[[#This Row],[Scheduled Payment]]+PaymentSchedule3[[#This Row],[Extra
Payment]]&lt;=PaymentSchedule3[[#This Row],[Beginning
Balance]],PaymentSchedule3[[#This Row],[Beginning
Balance]]-PaymentSchedule3[[#This Row],[Principal]],0),"")</f>
        <v>257941.2756476193</v>
      </c>
      <c r="K177" s="25">
        <f ca="1">IF(PaymentSchedule3[[#This Row],[Payment Number]]&lt;&gt;"",SUM(INDEX(PaymentSchedule3[Interest],1,1):PaymentSchedule3[[#This Row],[Interest]]),"")</f>
        <v>288230.7262688278</v>
      </c>
      <c r="L177" s="25">
        <f ca="1">IF(PaymentSchedule3[[#This Row],[Payment Number]]&lt;&gt;"",SUM(INDEX(PaymentSchedule3[Principal],1,1):PaymentSchedule3[[#This Row],[Principal]]),"")</f>
        <v>74558.724352380872</v>
      </c>
    </row>
    <row r="178" spans="2:12" x14ac:dyDescent="0.25">
      <c r="B178" s="23">
        <f ca="1">IF(LoanIsGood,IF(ROW()-ROW(PaymentSchedule3[[#Headers],[Payment Number]])&gt;ScheduledNumberOfPayments,"",ROW()-ROW(PaymentSchedule3[[#Headers],[Payment Number]])),"")</f>
        <v>165</v>
      </c>
      <c r="C178" s="24">
        <f ca="1">IF(PaymentSchedule3[[#This Row],[Payment Number]]&lt;&gt;"",EOMONTH(LoanStartDate,ROW(PaymentSchedule3[[#This Row],[Payment Number]])-ROW(PaymentSchedule3[[#Headers],[Payment Number]])-2)+DAY(LoanStartDate),"")</f>
        <v>50460</v>
      </c>
      <c r="D178" s="25">
        <f ca="1">IF(PaymentSchedule3[[#This Row],[Payment Number]]&lt;&gt;"",IF(ROW()-ROW(PaymentSchedule3[[#Headers],[Beginning
Balance]])=1,LoanAmount,INDEX(PaymentSchedule3[Ending
Balance],ROW()-ROW(PaymentSchedule3[[#Headers],[Beginning
Balance]])-1)),"")</f>
        <v>257941.2756476193</v>
      </c>
      <c r="E178" s="25">
        <f ca="1">IF(PaymentSchedule3[[#This Row],[Payment Number]]&lt;&gt;"",ScheduledPayment,"")</f>
        <v>2212.1307964707844</v>
      </c>
      <c r="F1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8" s="25">
        <f ca="1">IF(PaymentSchedule3[[#This Row],[Payment Number]]&lt;&gt;"",PaymentSchedule3[[#This Row],[Total
Payment]]-PaymentSchedule3[[#This Row],[Interest]],"")</f>
        <v>707.47335519300509</v>
      </c>
      <c r="I178" s="25">
        <f ca="1">IF(PaymentSchedule3[[#This Row],[Payment Number]]&lt;&gt;"",PaymentSchedule3[[#This Row],[Beginning
Balance]]*(InterestRate/PaymentsPerYear),"")</f>
        <v>1504.6574412777793</v>
      </c>
      <c r="J178" s="25">
        <f ca="1">IF(PaymentSchedule3[[#This Row],[Payment Number]]&lt;&gt;"",IF(PaymentSchedule3[[#This Row],[Scheduled Payment]]+PaymentSchedule3[[#This Row],[Extra
Payment]]&lt;=PaymentSchedule3[[#This Row],[Beginning
Balance]],PaymentSchedule3[[#This Row],[Beginning
Balance]]-PaymentSchedule3[[#This Row],[Principal]],0),"")</f>
        <v>257233.80229242629</v>
      </c>
      <c r="K178" s="25">
        <f ca="1">IF(PaymentSchedule3[[#This Row],[Payment Number]]&lt;&gt;"",SUM(INDEX(PaymentSchedule3[Interest],1,1):PaymentSchedule3[[#This Row],[Interest]]),"")</f>
        <v>289735.38371010555</v>
      </c>
      <c r="L178" s="25">
        <f ca="1">IF(PaymentSchedule3[[#This Row],[Payment Number]]&lt;&gt;"",SUM(INDEX(PaymentSchedule3[Principal],1,1):PaymentSchedule3[[#This Row],[Principal]]),"")</f>
        <v>75266.197707573883</v>
      </c>
    </row>
    <row r="179" spans="2:12" x14ac:dyDescent="0.25">
      <c r="B179" s="23">
        <f ca="1">IF(LoanIsGood,IF(ROW()-ROW(PaymentSchedule3[[#Headers],[Payment Number]])&gt;ScheduledNumberOfPayments,"",ROW()-ROW(PaymentSchedule3[[#Headers],[Payment Number]])),"")</f>
        <v>166</v>
      </c>
      <c r="C179" s="24">
        <f ca="1">IF(PaymentSchedule3[[#This Row],[Payment Number]]&lt;&gt;"",EOMONTH(LoanStartDate,ROW(PaymentSchedule3[[#This Row],[Payment Number]])-ROW(PaymentSchedule3[[#Headers],[Payment Number]])-2)+DAY(LoanStartDate),"")</f>
        <v>50488</v>
      </c>
      <c r="D179" s="25">
        <f ca="1">IF(PaymentSchedule3[[#This Row],[Payment Number]]&lt;&gt;"",IF(ROW()-ROW(PaymentSchedule3[[#Headers],[Beginning
Balance]])=1,LoanAmount,INDEX(PaymentSchedule3[Ending
Balance],ROW()-ROW(PaymentSchedule3[[#Headers],[Beginning
Balance]])-1)),"")</f>
        <v>257233.80229242629</v>
      </c>
      <c r="E179" s="25">
        <f ca="1">IF(PaymentSchedule3[[#This Row],[Payment Number]]&lt;&gt;"",ScheduledPayment,"")</f>
        <v>2212.1307964707844</v>
      </c>
      <c r="F1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79" s="25">
        <f ca="1">IF(PaymentSchedule3[[#This Row],[Payment Number]]&lt;&gt;"",PaymentSchedule3[[#This Row],[Total
Payment]]-PaymentSchedule3[[#This Row],[Interest]],"")</f>
        <v>711.60028309829772</v>
      </c>
      <c r="I179" s="25">
        <f ca="1">IF(PaymentSchedule3[[#This Row],[Payment Number]]&lt;&gt;"",PaymentSchedule3[[#This Row],[Beginning
Balance]]*(InterestRate/PaymentsPerYear),"")</f>
        <v>1500.5305133724867</v>
      </c>
      <c r="J179" s="25">
        <f ca="1">IF(PaymentSchedule3[[#This Row],[Payment Number]]&lt;&gt;"",IF(PaymentSchedule3[[#This Row],[Scheduled Payment]]+PaymentSchedule3[[#This Row],[Extra
Payment]]&lt;=PaymentSchedule3[[#This Row],[Beginning
Balance]],PaymentSchedule3[[#This Row],[Beginning
Balance]]-PaymentSchedule3[[#This Row],[Principal]],0),"")</f>
        <v>256522.202009328</v>
      </c>
      <c r="K179" s="25">
        <f ca="1">IF(PaymentSchedule3[[#This Row],[Payment Number]]&lt;&gt;"",SUM(INDEX(PaymentSchedule3[Interest],1,1):PaymentSchedule3[[#This Row],[Interest]]),"")</f>
        <v>291235.91422347806</v>
      </c>
      <c r="L179" s="25">
        <f ca="1">IF(PaymentSchedule3[[#This Row],[Payment Number]]&lt;&gt;"",SUM(INDEX(PaymentSchedule3[Principal],1,1):PaymentSchedule3[[#This Row],[Principal]]),"")</f>
        <v>75977.797990672174</v>
      </c>
    </row>
    <row r="180" spans="2:12" x14ac:dyDescent="0.25">
      <c r="B180" s="23">
        <f ca="1">IF(LoanIsGood,IF(ROW()-ROW(PaymentSchedule3[[#Headers],[Payment Number]])&gt;ScheduledNumberOfPayments,"",ROW()-ROW(PaymentSchedule3[[#Headers],[Payment Number]])),"")</f>
        <v>167</v>
      </c>
      <c r="C180" s="24">
        <f ca="1">IF(PaymentSchedule3[[#This Row],[Payment Number]]&lt;&gt;"",EOMONTH(LoanStartDate,ROW(PaymentSchedule3[[#This Row],[Payment Number]])-ROW(PaymentSchedule3[[#Headers],[Payment Number]])-2)+DAY(LoanStartDate),"")</f>
        <v>50519</v>
      </c>
      <c r="D180" s="25">
        <f ca="1">IF(PaymentSchedule3[[#This Row],[Payment Number]]&lt;&gt;"",IF(ROW()-ROW(PaymentSchedule3[[#Headers],[Beginning
Balance]])=1,LoanAmount,INDEX(PaymentSchedule3[Ending
Balance],ROW()-ROW(PaymentSchedule3[[#Headers],[Beginning
Balance]])-1)),"")</f>
        <v>256522.202009328</v>
      </c>
      <c r="E180" s="25">
        <f ca="1">IF(PaymentSchedule3[[#This Row],[Payment Number]]&lt;&gt;"",ScheduledPayment,"")</f>
        <v>2212.1307964707844</v>
      </c>
      <c r="F1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0" s="25">
        <f ca="1">IF(PaymentSchedule3[[#This Row],[Payment Number]]&lt;&gt;"",PaymentSchedule3[[#This Row],[Total
Payment]]-PaymentSchedule3[[#This Row],[Interest]],"")</f>
        <v>715.75128474970438</v>
      </c>
      <c r="I180" s="25">
        <f ca="1">IF(PaymentSchedule3[[#This Row],[Payment Number]]&lt;&gt;"",PaymentSchedule3[[#This Row],[Beginning
Balance]]*(InterestRate/PaymentsPerYear),"")</f>
        <v>1496.37951172108</v>
      </c>
      <c r="J180" s="25">
        <f ca="1">IF(PaymentSchedule3[[#This Row],[Payment Number]]&lt;&gt;"",IF(PaymentSchedule3[[#This Row],[Scheduled Payment]]+PaymentSchedule3[[#This Row],[Extra
Payment]]&lt;=PaymentSchedule3[[#This Row],[Beginning
Balance]],PaymentSchedule3[[#This Row],[Beginning
Balance]]-PaymentSchedule3[[#This Row],[Principal]],0),"")</f>
        <v>255806.45072457829</v>
      </c>
      <c r="K180" s="25">
        <f ca="1">IF(PaymentSchedule3[[#This Row],[Payment Number]]&lt;&gt;"",SUM(INDEX(PaymentSchedule3[Interest],1,1):PaymentSchedule3[[#This Row],[Interest]]),"")</f>
        <v>292732.29373519914</v>
      </c>
      <c r="L180" s="25">
        <f ca="1">IF(PaymentSchedule3[[#This Row],[Payment Number]]&lt;&gt;"",SUM(INDEX(PaymentSchedule3[Principal],1,1):PaymentSchedule3[[#This Row],[Principal]]),"")</f>
        <v>76693.549275421872</v>
      </c>
    </row>
    <row r="181" spans="2:12" x14ac:dyDescent="0.25">
      <c r="B181" s="23">
        <f ca="1">IF(LoanIsGood,IF(ROW()-ROW(PaymentSchedule3[[#Headers],[Payment Number]])&gt;ScheduledNumberOfPayments,"",ROW()-ROW(PaymentSchedule3[[#Headers],[Payment Number]])),"")</f>
        <v>168</v>
      </c>
      <c r="C181" s="24">
        <f ca="1">IF(PaymentSchedule3[[#This Row],[Payment Number]]&lt;&gt;"",EOMONTH(LoanStartDate,ROW(PaymentSchedule3[[#This Row],[Payment Number]])-ROW(PaymentSchedule3[[#Headers],[Payment Number]])-2)+DAY(LoanStartDate),"")</f>
        <v>50549</v>
      </c>
      <c r="D181" s="25">
        <f ca="1">IF(PaymentSchedule3[[#This Row],[Payment Number]]&lt;&gt;"",IF(ROW()-ROW(PaymentSchedule3[[#Headers],[Beginning
Balance]])=1,LoanAmount,INDEX(PaymentSchedule3[Ending
Balance],ROW()-ROW(PaymentSchedule3[[#Headers],[Beginning
Balance]])-1)),"")</f>
        <v>255806.45072457829</v>
      </c>
      <c r="E181" s="25">
        <f ca="1">IF(PaymentSchedule3[[#This Row],[Payment Number]]&lt;&gt;"",ScheduledPayment,"")</f>
        <v>2212.1307964707844</v>
      </c>
      <c r="F1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1" s="25">
        <f ca="1">IF(PaymentSchedule3[[#This Row],[Payment Number]]&lt;&gt;"",PaymentSchedule3[[#This Row],[Total
Payment]]-PaymentSchedule3[[#This Row],[Interest]],"")</f>
        <v>719.92650057741093</v>
      </c>
      <c r="I181" s="25">
        <f ca="1">IF(PaymentSchedule3[[#This Row],[Payment Number]]&lt;&gt;"",PaymentSchedule3[[#This Row],[Beginning
Balance]]*(InterestRate/PaymentsPerYear),"")</f>
        <v>1492.2042958933735</v>
      </c>
      <c r="J181" s="25">
        <f ca="1">IF(PaymentSchedule3[[#This Row],[Payment Number]]&lt;&gt;"",IF(PaymentSchedule3[[#This Row],[Scheduled Payment]]+PaymentSchedule3[[#This Row],[Extra
Payment]]&lt;=PaymentSchedule3[[#This Row],[Beginning
Balance]],PaymentSchedule3[[#This Row],[Beginning
Balance]]-PaymentSchedule3[[#This Row],[Principal]],0),"")</f>
        <v>255086.52422400087</v>
      </c>
      <c r="K181" s="25">
        <f ca="1">IF(PaymentSchedule3[[#This Row],[Payment Number]]&lt;&gt;"",SUM(INDEX(PaymentSchedule3[Interest],1,1):PaymentSchedule3[[#This Row],[Interest]]),"")</f>
        <v>294224.49803109252</v>
      </c>
      <c r="L181" s="25">
        <f ca="1">IF(PaymentSchedule3[[#This Row],[Payment Number]]&lt;&gt;"",SUM(INDEX(PaymentSchedule3[Principal],1,1):PaymentSchedule3[[#This Row],[Principal]]),"")</f>
        <v>77413.475775999279</v>
      </c>
    </row>
    <row r="182" spans="2:12" x14ac:dyDescent="0.25">
      <c r="B182" s="23">
        <f ca="1">IF(LoanIsGood,IF(ROW()-ROW(PaymentSchedule3[[#Headers],[Payment Number]])&gt;ScheduledNumberOfPayments,"",ROW()-ROW(PaymentSchedule3[[#Headers],[Payment Number]])),"")</f>
        <v>169</v>
      </c>
      <c r="C182" s="24">
        <f ca="1">IF(PaymentSchedule3[[#This Row],[Payment Number]]&lt;&gt;"",EOMONTH(LoanStartDate,ROW(PaymentSchedule3[[#This Row],[Payment Number]])-ROW(PaymentSchedule3[[#Headers],[Payment Number]])-2)+DAY(LoanStartDate),"")</f>
        <v>50580</v>
      </c>
      <c r="D182" s="25">
        <f ca="1">IF(PaymentSchedule3[[#This Row],[Payment Number]]&lt;&gt;"",IF(ROW()-ROW(PaymentSchedule3[[#Headers],[Beginning
Balance]])=1,LoanAmount,INDEX(PaymentSchedule3[Ending
Balance],ROW()-ROW(PaymentSchedule3[[#Headers],[Beginning
Balance]])-1)),"")</f>
        <v>255086.52422400087</v>
      </c>
      <c r="E182" s="25">
        <f ca="1">IF(PaymentSchedule3[[#This Row],[Payment Number]]&lt;&gt;"",ScheduledPayment,"")</f>
        <v>2212.1307964707844</v>
      </c>
      <c r="F1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2" s="25">
        <f ca="1">IF(PaymentSchedule3[[#This Row],[Payment Number]]&lt;&gt;"",PaymentSchedule3[[#This Row],[Total
Payment]]-PaymentSchedule3[[#This Row],[Interest]],"")</f>
        <v>724.12607183077921</v>
      </c>
      <c r="I182" s="25">
        <f ca="1">IF(PaymentSchedule3[[#This Row],[Payment Number]]&lt;&gt;"",PaymentSchedule3[[#This Row],[Beginning
Balance]]*(InterestRate/PaymentsPerYear),"")</f>
        <v>1488.0047246400052</v>
      </c>
      <c r="J182" s="25">
        <f ca="1">IF(PaymentSchedule3[[#This Row],[Payment Number]]&lt;&gt;"",IF(PaymentSchedule3[[#This Row],[Scheduled Payment]]+PaymentSchedule3[[#This Row],[Extra
Payment]]&lt;=PaymentSchedule3[[#This Row],[Beginning
Balance]],PaymentSchedule3[[#This Row],[Beginning
Balance]]-PaymentSchedule3[[#This Row],[Principal]],0),"")</f>
        <v>254362.39815217009</v>
      </c>
      <c r="K182" s="25">
        <f ca="1">IF(PaymentSchedule3[[#This Row],[Payment Number]]&lt;&gt;"",SUM(INDEX(PaymentSchedule3[Interest],1,1):PaymentSchedule3[[#This Row],[Interest]]),"")</f>
        <v>295712.50275573251</v>
      </c>
      <c r="L182" s="25">
        <f ca="1">IF(PaymentSchedule3[[#This Row],[Payment Number]]&lt;&gt;"",SUM(INDEX(PaymentSchedule3[Principal],1,1):PaymentSchedule3[[#This Row],[Principal]]),"")</f>
        <v>78137.601847830054</v>
      </c>
    </row>
    <row r="183" spans="2:12" x14ac:dyDescent="0.25">
      <c r="B183" s="23">
        <f ca="1">IF(LoanIsGood,IF(ROW()-ROW(PaymentSchedule3[[#Headers],[Payment Number]])&gt;ScheduledNumberOfPayments,"",ROW()-ROW(PaymentSchedule3[[#Headers],[Payment Number]])),"")</f>
        <v>170</v>
      </c>
      <c r="C183" s="24">
        <f ca="1">IF(PaymentSchedule3[[#This Row],[Payment Number]]&lt;&gt;"",EOMONTH(LoanStartDate,ROW(PaymentSchedule3[[#This Row],[Payment Number]])-ROW(PaymentSchedule3[[#Headers],[Payment Number]])-2)+DAY(LoanStartDate),"")</f>
        <v>50610</v>
      </c>
      <c r="D183" s="25">
        <f ca="1">IF(PaymentSchedule3[[#This Row],[Payment Number]]&lt;&gt;"",IF(ROW()-ROW(PaymentSchedule3[[#Headers],[Beginning
Balance]])=1,LoanAmount,INDEX(PaymentSchedule3[Ending
Balance],ROW()-ROW(PaymentSchedule3[[#Headers],[Beginning
Balance]])-1)),"")</f>
        <v>254362.39815217009</v>
      </c>
      <c r="E183" s="25">
        <f ca="1">IF(PaymentSchedule3[[#This Row],[Payment Number]]&lt;&gt;"",ScheduledPayment,"")</f>
        <v>2212.1307964707844</v>
      </c>
      <c r="F1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3" s="25">
        <f ca="1">IF(PaymentSchedule3[[#This Row],[Payment Number]]&lt;&gt;"",PaymentSchedule3[[#This Row],[Total
Payment]]-PaymentSchedule3[[#This Row],[Interest]],"")</f>
        <v>728.35014058312549</v>
      </c>
      <c r="I183" s="25">
        <f ca="1">IF(PaymentSchedule3[[#This Row],[Payment Number]]&lt;&gt;"",PaymentSchedule3[[#This Row],[Beginning
Balance]]*(InterestRate/PaymentsPerYear),"")</f>
        <v>1483.7806558876589</v>
      </c>
      <c r="J183" s="25">
        <f ca="1">IF(PaymentSchedule3[[#This Row],[Payment Number]]&lt;&gt;"",IF(PaymentSchedule3[[#This Row],[Scheduled Payment]]+PaymentSchedule3[[#This Row],[Extra
Payment]]&lt;=PaymentSchedule3[[#This Row],[Beginning
Balance]],PaymentSchedule3[[#This Row],[Beginning
Balance]]-PaymentSchedule3[[#This Row],[Principal]],0),"")</f>
        <v>253634.04801158697</v>
      </c>
      <c r="K183" s="25">
        <f ca="1">IF(PaymentSchedule3[[#This Row],[Payment Number]]&lt;&gt;"",SUM(INDEX(PaymentSchedule3[Interest],1,1):PaymentSchedule3[[#This Row],[Interest]]),"")</f>
        <v>297196.28341162018</v>
      </c>
      <c r="L183" s="25">
        <f ca="1">IF(PaymentSchedule3[[#This Row],[Payment Number]]&lt;&gt;"",SUM(INDEX(PaymentSchedule3[Principal],1,1):PaymentSchedule3[[#This Row],[Principal]]),"")</f>
        <v>78865.951988413173</v>
      </c>
    </row>
    <row r="184" spans="2:12" x14ac:dyDescent="0.25">
      <c r="B184" s="23">
        <f ca="1">IF(LoanIsGood,IF(ROW()-ROW(PaymentSchedule3[[#Headers],[Payment Number]])&gt;ScheduledNumberOfPayments,"",ROW()-ROW(PaymentSchedule3[[#Headers],[Payment Number]])),"")</f>
        <v>171</v>
      </c>
      <c r="C184" s="24">
        <f ca="1">IF(PaymentSchedule3[[#This Row],[Payment Number]]&lt;&gt;"",EOMONTH(LoanStartDate,ROW(PaymentSchedule3[[#This Row],[Payment Number]])-ROW(PaymentSchedule3[[#Headers],[Payment Number]])-2)+DAY(LoanStartDate),"")</f>
        <v>50641</v>
      </c>
      <c r="D184" s="25">
        <f ca="1">IF(PaymentSchedule3[[#This Row],[Payment Number]]&lt;&gt;"",IF(ROW()-ROW(PaymentSchedule3[[#Headers],[Beginning
Balance]])=1,LoanAmount,INDEX(PaymentSchedule3[Ending
Balance],ROW()-ROW(PaymentSchedule3[[#Headers],[Beginning
Balance]])-1)),"")</f>
        <v>253634.04801158697</v>
      </c>
      <c r="E184" s="25">
        <f ca="1">IF(PaymentSchedule3[[#This Row],[Payment Number]]&lt;&gt;"",ScheduledPayment,"")</f>
        <v>2212.1307964707844</v>
      </c>
      <c r="F1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4" s="25">
        <f ca="1">IF(PaymentSchedule3[[#This Row],[Payment Number]]&lt;&gt;"",PaymentSchedule3[[#This Row],[Total
Payment]]-PaymentSchedule3[[#This Row],[Interest]],"")</f>
        <v>732.59884973652697</v>
      </c>
      <c r="I184" s="25">
        <f ca="1">IF(PaymentSchedule3[[#This Row],[Payment Number]]&lt;&gt;"",PaymentSchedule3[[#This Row],[Beginning
Balance]]*(InterestRate/PaymentsPerYear),"")</f>
        <v>1479.5319467342574</v>
      </c>
      <c r="J184" s="25">
        <f ca="1">IF(PaymentSchedule3[[#This Row],[Payment Number]]&lt;&gt;"",IF(PaymentSchedule3[[#This Row],[Scheduled Payment]]+PaymentSchedule3[[#This Row],[Extra
Payment]]&lt;=PaymentSchedule3[[#This Row],[Beginning
Balance]],PaymentSchedule3[[#This Row],[Beginning
Balance]]-PaymentSchedule3[[#This Row],[Principal]],0),"")</f>
        <v>252901.44916185044</v>
      </c>
      <c r="K184" s="25">
        <f ca="1">IF(PaymentSchedule3[[#This Row],[Payment Number]]&lt;&gt;"",SUM(INDEX(PaymentSchedule3[Interest],1,1):PaymentSchedule3[[#This Row],[Interest]]),"")</f>
        <v>298675.81535835442</v>
      </c>
      <c r="L184" s="25">
        <f ca="1">IF(PaymentSchedule3[[#This Row],[Payment Number]]&lt;&gt;"",SUM(INDEX(PaymentSchedule3[Principal],1,1):PaymentSchedule3[[#This Row],[Principal]]),"")</f>
        <v>79598.550838149706</v>
      </c>
    </row>
    <row r="185" spans="2:12" x14ac:dyDescent="0.25">
      <c r="B185" s="23">
        <f ca="1">IF(LoanIsGood,IF(ROW()-ROW(PaymentSchedule3[[#Headers],[Payment Number]])&gt;ScheduledNumberOfPayments,"",ROW()-ROW(PaymentSchedule3[[#Headers],[Payment Number]])),"")</f>
        <v>172</v>
      </c>
      <c r="C185" s="24">
        <f ca="1">IF(PaymentSchedule3[[#This Row],[Payment Number]]&lt;&gt;"",EOMONTH(LoanStartDate,ROW(PaymentSchedule3[[#This Row],[Payment Number]])-ROW(PaymentSchedule3[[#Headers],[Payment Number]])-2)+DAY(LoanStartDate),"")</f>
        <v>50672</v>
      </c>
      <c r="D185" s="25">
        <f ca="1">IF(PaymentSchedule3[[#This Row],[Payment Number]]&lt;&gt;"",IF(ROW()-ROW(PaymentSchedule3[[#Headers],[Beginning
Balance]])=1,LoanAmount,INDEX(PaymentSchedule3[Ending
Balance],ROW()-ROW(PaymentSchedule3[[#Headers],[Beginning
Balance]])-1)),"")</f>
        <v>252901.44916185044</v>
      </c>
      <c r="E185" s="25">
        <f ca="1">IF(PaymentSchedule3[[#This Row],[Payment Number]]&lt;&gt;"",ScheduledPayment,"")</f>
        <v>2212.1307964707844</v>
      </c>
      <c r="F1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5" s="25">
        <f ca="1">IF(PaymentSchedule3[[#This Row],[Payment Number]]&lt;&gt;"",PaymentSchedule3[[#This Row],[Total
Payment]]-PaymentSchedule3[[#This Row],[Interest]],"")</f>
        <v>736.87234302665684</v>
      </c>
      <c r="I185" s="25">
        <f ca="1">IF(PaymentSchedule3[[#This Row],[Payment Number]]&lt;&gt;"",PaymentSchedule3[[#This Row],[Beginning
Balance]]*(InterestRate/PaymentsPerYear),"")</f>
        <v>1475.2584534441276</v>
      </c>
      <c r="J185" s="25">
        <f ca="1">IF(PaymentSchedule3[[#This Row],[Payment Number]]&lt;&gt;"",IF(PaymentSchedule3[[#This Row],[Scheduled Payment]]+PaymentSchedule3[[#This Row],[Extra
Payment]]&lt;=PaymentSchedule3[[#This Row],[Beginning
Balance]],PaymentSchedule3[[#This Row],[Beginning
Balance]]-PaymentSchedule3[[#This Row],[Principal]],0),"")</f>
        <v>252164.57681882379</v>
      </c>
      <c r="K185" s="25">
        <f ca="1">IF(PaymentSchedule3[[#This Row],[Payment Number]]&lt;&gt;"",SUM(INDEX(PaymentSchedule3[Interest],1,1):PaymentSchedule3[[#This Row],[Interest]]),"")</f>
        <v>300151.07381179853</v>
      </c>
      <c r="L185" s="25">
        <f ca="1">IF(PaymentSchedule3[[#This Row],[Payment Number]]&lt;&gt;"",SUM(INDEX(PaymentSchedule3[Principal],1,1):PaymentSchedule3[[#This Row],[Principal]]),"")</f>
        <v>80335.42318117636</v>
      </c>
    </row>
    <row r="186" spans="2:12" x14ac:dyDescent="0.25">
      <c r="B186" s="23">
        <f ca="1">IF(LoanIsGood,IF(ROW()-ROW(PaymentSchedule3[[#Headers],[Payment Number]])&gt;ScheduledNumberOfPayments,"",ROW()-ROW(PaymentSchedule3[[#Headers],[Payment Number]])),"")</f>
        <v>173</v>
      </c>
      <c r="C186" s="24">
        <f ca="1">IF(PaymentSchedule3[[#This Row],[Payment Number]]&lt;&gt;"",EOMONTH(LoanStartDate,ROW(PaymentSchedule3[[#This Row],[Payment Number]])-ROW(PaymentSchedule3[[#Headers],[Payment Number]])-2)+DAY(LoanStartDate),"")</f>
        <v>50702</v>
      </c>
      <c r="D186" s="25">
        <f ca="1">IF(PaymentSchedule3[[#This Row],[Payment Number]]&lt;&gt;"",IF(ROW()-ROW(PaymentSchedule3[[#Headers],[Beginning
Balance]])=1,LoanAmount,INDEX(PaymentSchedule3[Ending
Balance],ROW()-ROW(PaymentSchedule3[[#Headers],[Beginning
Balance]])-1)),"")</f>
        <v>252164.57681882379</v>
      </c>
      <c r="E186" s="25">
        <f ca="1">IF(PaymentSchedule3[[#This Row],[Payment Number]]&lt;&gt;"",ScheduledPayment,"")</f>
        <v>2212.1307964707844</v>
      </c>
      <c r="F1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6" s="25">
        <f ca="1">IF(PaymentSchedule3[[#This Row],[Payment Number]]&lt;&gt;"",PaymentSchedule3[[#This Row],[Total
Payment]]-PaymentSchedule3[[#This Row],[Interest]],"")</f>
        <v>741.17076502764553</v>
      </c>
      <c r="I186" s="25">
        <f ca="1">IF(PaymentSchedule3[[#This Row],[Payment Number]]&lt;&gt;"",PaymentSchedule3[[#This Row],[Beginning
Balance]]*(InterestRate/PaymentsPerYear),"")</f>
        <v>1470.9600314431389</v>
      </c>
      <c r="J186" s="25">
        <f ca="1">IF(PaymentSchedule3[[#This Row],[Payment Number]]&lt;&gt;"",IF(PaymentSchedule3[[#This Row],[Scheduled Payment]]+PaymentSchedule3[[#This Row],[Extra
Payment]]&lt;=PaymentSchedule3[[#This Row],[Beginning
Balance]],PaymentSchedule3[[#This Row],[Beginning
Balance]]-PaymentSchedule3[[#This Row],[Principal]],0),"")</f>
        <v>251423.40605379615</v>
      </c>
      <c r="K186" s="25">
        <f ca="1">IF(PaymentSchedule3[[#This Row],[Payment Number]]&lt;&gt;"",SUM(INDEX(PaymentSchedule3[Interest],1,1):PaymentSchedule3[[#This Row],[Interest]]),"")</f>
        <v>301622.03384324169</v>
      </c>
      <c r="L186" s="25">
        <f ca="1">IF(PaymentSchedule3[[#This Row],[Payment Number]]&lt;&gt;"",SUM(INDEX(PaymentSchedule3[Principal],1,1):PaymentSchedule3[[#This Row],[Principal]]),"")</f>
        <v>81076.593946204011</v>
      </c>
    </row>
    <row r="187" spans="2:12" x14ac:dyDescent="0.25">
      <c r="B187" s="23">
        <f ca="1">IF(LoanIsGood,IF(ROW()-ROW(PaymentSchedule3[[#Headers],[Payment Number]])&gt;ScheduledNumberOfPayments,"",ROW()-ROW(PaymentSchedule3[[#Headers],[Payment Number]])),"")</f>
        <v>174</v>
      </c>
      <c r="C187" s="24">
        <f ca="1">IF(PaymentSchedule3[[#This Row],[Payment Number]]&lt;&gt;"",EOMONTH(LoanStartDate,ROW(PaymentSchedule3[[#This Row],[Payment Number]])-ROW(PaymentSchedule3[[#Headers],[Payment Number]])-2)+DAY(LoanStartDate),"")</f>
        <v>50733</v>
      </c>
      <c r="D187" s="25">
        <f ca="1">IF(PaymentSchedule3[[#This Row],[Payment Number]]&lt;&gt;"",IF(ROW()-ROW(PaymentSchedule3[[#Headers],[Beginning
Balance]])=1,LoanAmount,INDEX(PaymentSchedule3[Ending
Balance],ROW()-ROW(PaymentSchedule3[[#Headers],[Beginning
Balance]])-1)),"")</f>
        <v>251423.40605379615</v>
      </c>
      <c r="E187" s="25">
        <f ca="1">IF(PaymentSchedule3[[#This Row],[Payment Number]]&lt;&gt;"",ScheduledPayment,"")</f>
        <v>2212.1307964707844</v>
      </c>
      <c r="F1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7" s="25">
        <f ca="1">IF(PaymentSchedule3[[#This Row],[Payment Number]]&lt;&gt;"",PaymentSchedule3[[#This Row],[Total
Payment]]-PaymentSchedule3[[#This Row],[Interest]],"")</f>
        <v>745.49426115697338</v>
      </c>
      <c r="I187" s="25">
        <f ca="1">IF(PaymentSchedule3[[#This Row],[Payment Number]]&lt;&gt;"",PaymentSchedule3[[#This Row],[Beginning
Balance]]*(InterestRate/PaymentsPerYear),"")</f>
        <v>1466.636535313811</v>
      </c>
      <c r="J187" s="25">
        <f ca="1">IF(PaymentSchedule3[[#This Row],[Payment Number]]&lt;&gt;"",IF(PaymentSchedule3[[#This Row],[Scheduled Payment]]+PaymentSchedule3[[#This Row],[Extra
Payment]]&lt;=PaymentSchedule3[[#This Row],[Beginning
Balance]],PaymentSchedule3[[#This Row],[Beginning
Balance]]-PaymentSchedule3[[#This Row],[Principal]],0),"")</f>
        <v>250677.91179263918</v>
      </c>
      <c r="K187" s="25">
        <f ca="1">IF(PaymentSchedule3[[#This Row],[Payment Number]]&lt;&gt;"",SUM(INDEX(PaymentSchedule3[Interest],1,1):PaymentSchedule3[[#This Row],[Interest]]),"")</f>
        <v>303088.67037855549</v>
      </c>
      <c r="L187" s="25">
        <f ca="1">IF(PaymentSchedule3[[#This Row],[Payment Number]]&lt;&gt;"",SUM(INDEX(PaymentSchedule3[Principal],1,1):PaymentSchedule3[[#This Row],[Principal]]),"")</f>
        <v>81822.088207360983</v>
      </c>
    </row>
    <row r="188" spans="2:12" x14ac:dyDescent="0.25">
      <c r="B188" s="23">
        <f ca="1">IF(LoanIsGood,IF(ROW()-ROW(PaymentSchedule3[[#Headers],[Payment Number]])&gt;ScheduledNumberOfPayments,"",ROW()-ROW(PaymentSchedule3[[#Headers],[Payment Number]])),"")</f>
        <v>175</v>
      </c>
      <c r="C188" s="24">
        <f ca="1">IF(PaymentSchedule3[[#This Row],[Payment Number]]&lt;&gt;"",EOMONTH(LoanStartDate,ROW(PaymentSchedule3[[#This Row],[Payment Number]])-ROW(PaymentSchedule3[[#Headers],[Payment Number]])-2)+DAY(LoanStartDate),"")</f>
        <v>50763</v>
      </c>
      <c r="D188" s="25">
        <f ca="1">IF(PaymentSchedule3[[#This Row],[Payment Number]]&lt;&gt;"",IF(ROW()-ROW(PaymentSchedule3[[#Headers],[Beginning
Balance]])=1,LoanAmount,INDEX(PaymentSchedule3[Ending
Balance],ROW()-ROW(PaymentSchedule3[[#Headers],[Beginning
Balance]])-1)),"")</f>
        <v>250677.91179263918</v>
      </c>
      <c r="E188" s="25">
        <f ca="1">IF(PaymentSchedule3[[#This Row],[Payment Number]]&lt;&gt;"",ScheduledPayment,"")</f>
        <v>2212.1307964707844</v>
      </c>
      <c r="F1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8" s="25">
        <f ca="1">IF(PaymentSchedule3[[#This Row],[Payment Number]]&lt;&gt;"",PaymentSchedule3[[#This Row],[Total
Payment]]-PaymentSchedule3[[#This Row],[Interest]],"")</f>
        <v>749.84297768038914</v>
      </c>
      <c r="I188" s="25">
        <f ca="1">IF(PaymentSchedule3[[#This Row],[Payment Number]]&lt;&gt;"",PaymentSchedule3[[#This Row],[Beginning
Balance]]*(InterestRate/PaymentsPerYear),"")</f>
        <v>1462.2878187903952</v>
      </c>
      <c r="J188" s="25">
        <f ca="1">IF(PaymentSchedule3[[#This Row],[Payment Number]]&lt;&gt;"",IF(PaymentSchedule3[[#This Row],[Scheduled Payment]]+PaymentSchedule3[[#This Row],[Extra
Payment]]&lt;=PaymentSchedule3[[#This Row],[Beginning
Balance]],PaymentSchedule3[[#This Row],[Beginning
Balance]]-PaymentSchedule3[[#This Row],[Principal]],0),"")</f>
        <v>249928.06881495879</v>
      </c>
      <c r="K188" s="25">
        <f ca="1">IF(PaymentSchedule3[[#This Row],[Payment Number]]&lt;&gt;"",SUM(INDEX(PaymentSchedule3[Interest],1,1):PaymentSchedule3[[#This Row],[Interest]]),"")</f>
        <v>304550.9581973459</v>
      </c>
      <c r="L188" s="25">
        <f ca="1">IF(PaymentSchedule3[[#This Row],[Payment Number]]&lt;&gt;"",SUM(INDEX(PaymentSchedule3[Principal],1,1):PaymentSchedule3[[#This Row],[Principal]]),"")</f>
        <v>82571.931185041365</v>
      </c>
    </row>
    <row r="189" spans="2:12" x14ac:dyDescent="0.25">
      <c r="B189" s="23">
        <f ca="1">IF(LoanIsGood,IF(ROW()-ROW(PaymentSchedule3[[#Headers],[Payment Number]])&gt;ScheduledNumberOfPayments,"",ROW()-ROW(PaymentSchedule3[[#Headers],[Payment Number]])),"")</f>
        <v>176</v>
      </c>
      <c r="C189" s="24">
        <f ca="1">IF(PaymentSchedule3[[#This Row],[Payment Number]]&lt;&gt;"",EOMONTH(LoanStartDate,ROW(PaymentSchedule3[[#This Row],[Payment Number]])-ROW(PaymentSchedule3[[#Headers],[Payment Number]])-2)+DAY(LoanStartDate),"")</f>
        <v>50794</v>
      </c>
      <c r="D189" s="25">
        <f ca="1">IF(PaymentSchedule3[[#This Row],[Payment Number]]&lt;&gt;"",IF(ROW()-ROW(PaymentSchedule3[[#Headers],[Beginning
Balance]])=1,LoanAmount,INDEX(PaymentSchedule3[Ending
Balance],ROW()-ROW(PaymentSchedule3[[#Headers],[Beginning
Balance]])-1)),"")</f>
        <v>249928.06881495879</v>
      </c>
      <c r="E189" s="25">
        <f ca="1">IF(PaymentSchedule3[[#This Row],[Payment Number]]&lt;&gt;"",ScheduledPayment,"")</f>
        <v>2212.1307964707844</v>
      </c>
      <c r="F1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89" s="25">
        <f ca="1">IF(PaymentSchedule3[[#This Row],[Payment Number]]&lt;&gt;"",PaymentSchedule3[[#This Row],[Total
Payment]]-PaymentSchedule3[[#This Row],[Interest]],"")</f>
        <v>754.2170617168581</v>
      </c>
      <c r="I189" s="25">
        <f ca="1">IF(PaymentSchedule3[[#This Row],[Payment Number]]&lt;&gt;"",PaymentSchedule3[[#This Row],[Beginning
Balance]]*(InterestRate/PaymentsPerYear),"")</f>
        <v>1457.9137347539263</v>
      </c>
      <c r="J189" s="25">
        <f ca="1">IF(PaymentSchedule3[[#This Row],[Payment Number]]&lt;&gt;"",IF(PaymentSchedule3[[#This Row],[Scheduled Payment]]+PaymentSchedule3[[#This Row],[Extra
Payment]]&lt;=PaymentSchedule3[[#This Row],[Beginning
Balance]],PaymentSchedule3[[#This Row],[Beginning
Balance]]-PaymentSchedule3[[#This Row],[Principal]],0),"")</f>
        <v>249173.85175324194</v>
      </c>
      <c r="K189" s="25">
        <f ca="1">IF(PaymentSchedule3[[#This Row],[Payment Number]]&lt;&gt;"",SUM(INDEX(PaymentSchedule3[Interest],1,1):PaymentSchedule3[[#This Row],[Interest]]),"")</f>
        <v>306008.87193209981</v>
      </c>
      <c r="L189" s="25">
        <f ca="1">IF(PaymentSchedule3[[#This Row],[Payment Number]]&lt;&gt;"",SUM(INDEX(PaymentSchedule3[Principal],1,1):PaymentSchedule3[[#This Row],[Principal]]),"")</f>
        <v>83326.148246758225</v>
      </c>
    </row>
    <row r="190" spans="2:12" x14ac:dyDescent="0.25">
      <c r="B190" s="23">
        <f ca="1">IF(LoanIsGood,IF(ROW()-ROW(PaymentSchedule3[[#Headers],[Payment Number]])&gt;ScheduledNumberOfPayments,"",ROW()-ROW(PaymentSchedule3[[#Headers],[Payment Number]])),"")</f>
        <v>177</v>
      </c>
      <c r="C190" s="24">
        <f ca="1">IF(PaymentSchedule3[[#This Row],[Payment Number]]&lt;&gt;"",EOMONTH(LoanStartDate,ROW(PaymentSchedule3[[#This Row],[Payment Number]])-ROW(PaymentSchedule3[[#Headers],[Payment Number]])-2)+DAY(LoanStartDate),"")</f>
        <v>50825</v>
      </c>
      <c r="D190" s="25">
        <f ca="1">IF(PaymentSchedule3[[#This Row],[Payment Number]]&lt;&gt;"",IF(ROW()-ROW(PaymentSchedule3[[#Headers],[Beginning
Balance]])=1,LoanAmount,INDEX(PaymentSchedule3[Ending
Balance],ROW()-ROW(PaymentSchedule3[[#Headers],[Beginning
Balance]])-1)),"")</f>
        <v>249173.85175324194</v>
      </c>
      <c r="E190" s="25">
        <f ca="1">IF(PaymentSchedule3[[#This Row],[Payment Number]]&lt;&gt;"",ScheduledPayment,"")</f>
        <v>2212.1307964707844</v>
      </c>
      <c r="F1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0" s="25">
        <f ca="1">IF(PaymentSchedule3[[#This Row],[Payment Number]]&lt;&gt;"",PaymentSchedule3[[#This Row],[Total
Payment]]-PaymentSchedule3[[#This Row],[Interest]],"")</f>
        <v>758.61666124353974</v>
      </c>
      <c r="I190" s="25">
        <f ca="1">IF(PaymentSchedule3[[#This Row],[Payment Number]]&lt;&gt;"",PaymentSchedule3[[#This Row],[Beginning
Balance]]*(InterestRate/PaymentsPerYear),"")</f>
        <v>1453.5141352272447</v>
      </c>
      <c r="J190" s="25">
        <f ca="1">IF(PaymentSchedule3[[#This Row],[Payment Number]]&lt;&gt;"",IF(PaymentSchedule3[[#This Row],[Scheduled Payment]]+PaymentSchedule3[[#This Row],[Extra
Payment]]&lt;=PaymentSchedule3[[#This Row],[Beginning
Balance]],PaymentSchedule3[[#This Row],[Beginning
Balance]]-PaymentSchedule3[[#This Row],[Principal]],0),"")</f>
        <v>248415.23509199839</v>
      </c>
      <c r="K190" s="25">
        <f ca="1">IF(PaymentSchedule3[[#This Row],[Payment Number]]&lt;&gt;"",SUM(INDEX(PaymentSchedule3[Interest],1,1):PaymentSchedule3[[#This Row],[Interest]]),"")</f>
        <v>307462.38606732705</v>
      </c>
      <c r="L190" s="25">
        <f ca="1">IF(PaymentSchedule3[[#This Row],[Payment Number]]&lt;&gt;"",SUM(INDEX(PaymentSchedule3[Principal],1,1):PaymentSchedule3[[#This Row],[Principal]]),"")</f>
        <v>84084.764908001758</v>
      </c>
    </row>
    <row r="191" spans="2:12" x14ac:dyDescent="0.25">
      <c r="B191" s="23">
        <f ca="1">IF(LoanIsGood,IF(ROW()-ROW(PaymentSchedule3[[#Headers],[Payment Number]])&gt;ScheduledNumberOfPayments,"",ROW()-ROW(PaymentSchedule3[[#Headers],[Payment Number]])),"")</f>
        <v>178</v>
      </c>
      <c r="C191" s="24">
        <f ca="1">IF(PaymentSchedule3[[#This Row],[Payment Number]]&lt;&gt;"",EOMONTH(LoanStartDate,ROW(PaymentSchedule3[[#This Row],[Payment Number]])-ROW(PaymentSchedule3[[#Headers],[Payment Number]])-2)+DAY(LoanStartDate),"")</f>
        <v>50853</v>
      </c>
      <c r="D191" s="25">
        <f ca="1">IF(PaymentSchedule3[[#This Row],[Payment Number]]&lt;&gt;"",IF(ROW()-ROW(PaymentSchedule3[[#Headers],[Beginning
Balance]])=1,LoanAmount,INDEX(PaymentSchedule3[Ending
Balance],ROW()-ROW(PaymentSchedule3[[#Headers],[Beginning
Balance]])-1)),"")</f>
        <v>248415.23509199839</v>
      </c>
      <c r="E191" s="25">
        <f ca="1">IF(PaymentSchedule3[[#This Row],[Payment Number]]&lt;&gt;"",ScheduledPayment,"")</f>
        <v>2212.1307964707844</v>
      </c>
      <c r="F1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1" s="25">
        <f ca="1">IF(PaymentSchedule3[[#This Row],[Payment Number]]&lt;&gt;"",PaymentSchedule3[[#This Row],[Total
Payment]]-PaymentSchedule3[[#This Row],[Interest]],"")</f>
        <v>763.04192510079383</v>
      </c>
      <c r="I191" s="25">
        <f ca="1">IF(PaymentSchedule3[[#This Row],[Payment Number]]&lt;&gt;"",PaymentSchedule3[[#This Row],[Beginning
Balance]]*(InterestRate/PaymentsPerYear),"")</f>
        <v>1449.0888713699906</v>
      </c>
      <c r="J191" s="25">
        <f ca="1">IF(PaymentSchedule3[[#This Row],[Payment Number]]&lt;&gt;"",IF(PaymentSchedule3[[#This Row],[Scheduled Payment]]+PaymentSchedule3[[#This Row],[Extra
Payment]]&lt;=PaymentSchedule3[[#This Row],[Beginning
Balance]],PaymentSchedule3[[#This Row],[Beginning
Balance]]-PaymentSchedule3[[#This Row],[Principal]],0),"")</f>
        <v>247652.1931668976</v>
      </c>
      <c r="K191" s="25">
        <f ca="1">IF(PaymentSchedule3[[#This Row],[Payment Number]]&lt;&gt;"",SUM(INDEX(PaymentSchedule3[Interest],1,1):PaymentSchedule3[[#This Row],[Interest]]),"")</f>
        <v>308911.47493869707</v>
      </c>
      <c r="L191" s="25">
        <f ca="1">IF(PaymentSchedule3[[#This Row],[Payment Number]]&lt;&gt;"",SUM(INDEX(PaymentSchedule3[Principal],1,1):PaymentSchedule3[[#This Row],[Principal]]),"")</f>
        <v>84847.806833102557</v>
      </c>
    </row>
    <row r="192" spans="2:12" x14ac:dyDescent="0.25">
      <c r="B192" s="23">
        <f ca="1">IF(LoanIsGood,IF(ROW()-ROW(PaymentSchedule3[[#Headers],[Payment Number]])&gt;ScheduledNumberOfPayments,"",ROW()-ROW(PaymentSchedule3[[#Headers],[Payment Number]])),"")</f>
        <v>179</v>
      </c>
      <c r="C192" s="24">
        <f ca="1">IF(PaymentSchedule3[[#This Row],[Payment Number]]&lt;&gt;"",EOMONTH(LoanStartDate,ROW(PaymentSchedule3[[#This Row],[Payment Number]])-ROW(PaymentSchedule3[[#Headers],[Payment Number]])-2)+DAY(LoanStartDate),"")</f>
        <v>50884</v>
      </c>
      <c r="D192" s="25">
        <f ca="1">IF(PaymentSchedule3[[#This Row],[Payment Number]]&lt;&gt;"",IF(ROW()-ROW(PaymentSchedule3[[#Headers],[Beginning
Balance]])=1,LoanAmount,INDEX(PaymentSchedule3[Ending
Balance],ROW()-ROW(PaymentSchedule3[[#Headers],[Beginning
Balance]])-1)),"")</f>
        <v>247652.1931668976</v>
      </c>
      <c r="E192" s="25">
        <f ca="1">IF(PaymentSchedule3[[#This Row],[Payment Number]]&lt;&gt;"",ScheduledPayment,"")</f>
        <v>2212.1307964707844</v>
      </c>
      <c r="F1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2" s="25">
        <f ca="1">IF(PaymentSchedule3[[#This Row],[Payment Number]]&lt;&gt;"",PaymentSchedule3[[#This Row],[Total
Payment]]-PaymentSchedule3[[#This Row],[Interest]],"")</f>
        <v>767.49300299721494</v>
      </c>
      <c r="I192" s="25">
        <f ca="1">IF(PaymentSchedule3[[#This Row],[Payment Number]]&lt;&gt;"",PaymentSchedule3[[#This Row],[Beginning
Balance]]*(InterestRate/PaymentsPerYear),"")</f>
        <v>1444.6377934735694</v>
      </c>
      <c r="J192" s="25">
        <f ca="1">IF(PaymentSchedule3[[#This Row],[Payment Number]]&lt;&gt;"",IF(PaymentSchedule3[[#This Row],[Scheduled Payment]]+PaymentSchedule3[[#This Row],[Extra
Payment]]&lt;=PaymentSchedule3[[#This Row],[Beginning
Balance]],PaymentSchedule3[[#This Row],[Beginning
Balance]]-PaymentSchedule3[[#This Row],[Principal]],0),"")</f>
        <v>246884.70016390039</v>
      </c>
      <c r="K192" s="25">
        <f ca="1">IF(PaymentSchedule3[[#This Row],[Payment Number]]&lt;&gt;"",SUM(INDEX(PaymentSchedule3[Interest],1,1):PaymentSchedule3[[#This Row],[Interest]]),"")</f>
        <v>310356.11273217062</v>
      </c>
      <c r="L192" s="25">
        <f ca="1">IF(PaymentSchedule3[[#This Row],[Payment Number]]&lt;&gt;"",SUM(INDEX(PaymentSchedule3[Principal],1,1):PaymentSchedule3[[#This Row],[Principal]]),"")</f>
        <v>85615.299836099774</v>
      </c>
    </row>
    <row r="193" spans="2:12" x14ac:dyDescent="0.25">
      <c r="B193" s="23">
        <f ca="1">IF(LoanIsGood,IF(ROW()-ROW(PaymentSchedule3[[#Headers],[Payment Number]])&gt;ScheduledNumberOfPayments,"",ROW()-ROW(PaymentSchedule3[[#Headers],[Payment Number]])),"")</f>
        <v>180</v>
      </c>
      <c r="C193" s="24">
        <f ca="1">IF(PaymentSchedule3[[#This Row],[Payment Number]]&lt;&gt;"",EOMONTH(LoanStartDate,ROW(PaymentSchedule3[[#This Row],[Payment Number]])-ROW(PaymentSchedule3[[#Headers],[Payment Number]])-2)+DAY(LoanStartDate),"")</f>
        <v>50914</v>
      </c>
      <c r="D193" s="25">
        <f ca="1">IF(PaymentSchedule3[[#This Row],[Payment Number]]&lt;&gt;"",IF(ROW()-ROW(PaymentSchedule3[[#Headers],[Beginning
Balance]])=1,LoanAmount,INDEX(PaymentSchedule3[Ending
Balance],ROW()-ROW(PaymentSchedule3[[#Headers],[Beginning
Balance]])-1)),"")</f>
        <v>246884.70016390039</v>
      </c>
      <c r="E193" s="25">
        <f ca="1">IF(PaymentSchedule3[[#This Row],[Payment Number]]&lt;&gt;"",ScheduledPayment,"")</f>
        <v>2212.1307964707844</v>
      </c>
      <c r="F1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3" s="25">
        <f ca="1">IF(PaymentSchedule3[[#This Row],[Payment Number]]&lt;&gt;"",PaymentSchedule3[[#This Row],[Total
Payment]]-PaymentSchedule3[[#This Row],[Interest]],"")</f>
        <v>771.97004551469877</v>
      </c>
      <c r="I193" s="25">
        <f ca="1">IF(PaymentSchedule3[[#This Row],[Payment Number]]&lt;&gt;"",PaymentSchedule3[[#This Row],[Beginning
Balance]]*(InterestRate/PaymentsPerYear),"")</f>
        <v>1440.1607509560856</v>
      </c>
      <c r="J193" s="25">
        <f ca="1">IF(PaymentSchedule3[[#This Row],[Payment Number]]&lt;&gt;"",IF(PaymentSchedule3[[#This Row],[Scheduled Payment]]+PaymentSchedule3[[#This Row],[Extra
Payment]]&lt;=PaymentSchedule3[[#This Row],[Beginning
Balance]],PaymentSchedule3[[#This Row],[Beginning
Balance]]-PaymentSchedule3[[#This Row],[Principal]],0),"")</f>
        <v>246112.73011838569</v>
      </c>
      <c r="K193" s="25">
        <f ca="1">IF(PaymentSchedule3[[#This Row],[Payment Number]]&lt;&gt;"",SUM(INDEX(PaymentSchedule3[Interest],1,1):PaymentSchedule3[[#This Row],[Interest]]),"")</f>
        <v>311796.27348312672</v>
      </c>
      <c r="L193" s="25">
        <f ca="1">IF(PaymentSchedule3[[#This Row],[Payment Number]]&lt;&gt;"",SUM(INDEX(PaymentSchedule3[Principal],1,1):PaymentSchedule3[[#This Row],[Principal]]),"")</f>
        <v>86387.269881614469</v>
      </c>
    </row>
    <row r="194" spans="2:12" x14ac:dyDescent="0.25">
      <c r="B194" s="23">
        <f ca="1">IF(LoanIsGood,IF(ROW()-ROW(PaymentSchedule3[[#Headers],[Payment Number]])&gt;ScheduledNumberOfPayments,"",ROW()-ROW(PaymentSchedule3[[#Headers],[Payment Number]])),"")</f>
        <v>181</v>
      </c>
      <c r="C194" s="24">
        <f ca="1">IF(PaymentSchedule3[[#This Row],[Payment Number]]&lt;&gt;"",EOMONTH(LoanStartDate,ROW(PaymentSchedule3[[#This Row],[Payment Number]])-ROW(PaymentSchedule3[[#Headers],[Payment Number]])-2)+DAY(LoanStartDate),"")</f>
        <v>50945</v>
      </c>
      <c r="D194" s="25">
        <f ca="1">IF(PaymentSchedule3[[#This Row],[Payment Number]]&lt;&gt;"",IF(ROW()-ROW(PaymentSchedule3[[#Headers],[Beginning
Balance]])=1,LoanAmount,INDEX(PaymentSchedule3[Ending
Balance],ROW()-ROW(PaymentSchedule3[[#Headers],[Beginning
Balance]])-1)),"")</f>
        <v>246112.73011838569</v>
      </c>
      <c r="E194" s="25">
        <f ca="1">IF(PaymentSchedule3[[#This Row],[Payment Number]]&lt;&gt;"",ScheduledPayment,"")</f>
        <v>2212.1307964707844</v>
      </c>
      <c r="F1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4" s="25">
        <f ca="1">IF(PaymentSchedule3[[#This Row],[Payment Number]]&lt;&gt;"",PaymentSchedule3[[#This Row],[Total
Payment]]-PaymentSchedule3[[#This Row],[Interest]],"")</f>
        <v>776.47320411353439</v>
      </c>
      <c r="I194" s="25">
        <f ca="1">IF(PaymentSchedule3[[#This Row],[Payment Number]]&lt;&gt;"",PaymentSchedule3[[#This Row],[Beginning
Balance]]*(InterestRate/PaymentsPerYear),"")</f>
        <v>1435.65759235725</v>
      </c>
      <c r="J194" s="25">
        <f ca="1">IF(PaymentSchedule3[[#This Row],[Payment Number]]&lt;&gt;"",IF(PaymentSchedule3[[#This Row],[Scheduled Payment]]+PaymentSchedule3[[#This Row],[Extra
Payment]]&lt;=PaymentSchedule3[[#This Row],[Beginning
Balance]],PaymentSchedule3[[#This Row],[Beginning
Balance]]-PaymentSchedule3[[#This Row],[Principal]],0),"")</f>
        <v>245336.25691427215</v>
      </c>
      <c r="K194" s="25">
        <f ca="1">IF(PaymentSchedule3[[#This Row],[Payment Number]]&lt;&gt;"",SUM(INDEX(PaymentSchedule3[Interest],1,1):PaymentSchedule3[[#This Row],[Interest]]),"")</f>
        <v>313231.93107548397</v>
      </c>
      <c r="L194" s="25">
        <f ca="1">IF(PaymentSchedule3[[#This Row],[Payment Number]]&lt;&gt;"",SUM(INDEX(PaymentSchedule3[Principal],1,1):PaymentSchedule3[[#This Row],[Principal]]),"")</f>
        <v>87163.743085727998</v>
      </c>
    </row>
    <row r="195" spans="2:12" x14ac:dyDescent="0.25">
      <c r="B195" s="23">
        <f ca="1">IF(LoanIsGood,IF(ROW()-ROW(PaymentSchedule3[[#Headers],[Payment Number]])&gt;ScheduledNumberOfPayments,"",ROW()-ROW(PaymentSchedule3[[#Headers],[Payment Number]])),"")</f>
        <v>182</v>
      </c>
      <c r="C195" s="24">
        <f ca="1">IF(PaymentSchedule3[[#This Row],[Payment Number]]&lt;&gt;"",EOMONTH(LoanStartDate,ROW(PaymentSchedule3[[#This Row],[Payment Number]])-ROW(PaymentSchedule3[[#Headers],[Payment Number]])-2)+DAY(LoanStartDate),"")</f>
        <v>50975</v>
      </c>
      <c r="D195" s="25">
        <f ca="1">IF(PaymentSchedule3[[#This Row],[Payment Number]]&lt;&gt;"",IF(ROW()-ROW(PaymentSchedule3[[#Headers],[Beginning
Balance]])=1,LoanAmount,INDEX(PaymentSchedule3[Ending
Balance],ROW()-ROW(PaymentSchedule3[[#Headers],[Beginning
Balance]])-1)),"")</f>
        <v>245336.25691427215</v>
      </c>
      <c r="E195" s="25">
        <f ca="1">IF(PaymentSchedule3[[#This Row],[Payment Number]]&lt;&gt;"",ScheduledPayment,"")</f>
        <v>2212.1307964707844</v>
      </c>
      <c r="F1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5" s="25">
        <f ca="1">IF(PaymentSchedule3[[#This Row],[Payment Number]]&lt;&gt;"",PaymentSchedule3[[#This Row],[Total
Payment]]-PaymentSchedule3[[#This Row],[Interest]],"")</f>
        <v>781.00263113753022</v>
      </c>
      <c r="I195" s="25">
        <f ca="1">IF(PaymentSchedule3[[#This Row],[Payment Number]]&lt;&gt;"",PaymentSchedule3[[#This Row],[Beginning
Balance]]*(InterestRate/PaymentsPerYear),"")</f>
        <v>1431.1281653332542</v>
      </c>
      <c r="J195" s="25">
        <f ca="1">IF(PaymentSchedule3[[#This Row],[Payment Number]]&lt;&gt;"",IF(PaymentSchedule3[[#This Row],[Scheduled Payment]]+PaymentSchedule3[[#This Row],[Extra
Payment]]&lt;=PaymentSchedule3[[#This Row],[Beginning
Balance]],PaymentSchedule3[[#This Row],[Beginning
Balance]]-PaymentSchedule3[[#This Row],[Principal]],0),"")</f>
        <v>244555.25428313462</v>
      </c>
      <c r="K195" s="25">
        <f ca="1">IF(PaymentSchedule3[[#This Row],[Payment Number]]&lt;&gt;"",SUM(INDEX(PaymentSchedule3[Interest],1,1):PaymentSchedule3[[#This Row],[Interest]]),"")</f>
        <v>314663.05924081721</v>
      </c>
      <c r="L195" s="25">
        <f ca="1">IF(PaymentSchedule3[[#This Row],[Payment Number]]&lt;&gt;"",SUM(INDEX(PaymentSchedule3[Principal],1,1):PaymentSchedule3[[#This Row],[Principal]]),"")</f>
        <v>87944.745716865524</v>
      </c>
    </row>
    <row r="196" spans="2:12" x14ac:dyDescent="0.25">
      <c r="B196" s="23">
        <f ca="1">IF(LoanIsGood,IF(ROW()-ROW(PaymentSchedule3[[#Headers],[Payment Number]])&gt;ScheduledNumberOfPayments,"",ROW()-ROW(PaymentSchedule3[[#Headers],[Payment Number]])),"")</f>
        <v>183</v>
      </c>
      <c r="C196" s="24">
        <f ca="1">IF(PaymentSchedule3[[#This Row],[Payment Number]]&lt;&gt;"",EOMONTH(LoanStartDate,ROW(PaymentSchedule3[[#This Row],[Payment Number]])-ROW(PaymentSchedule3[[#Headers],[Payment Number]])-2)+DAY(LoanStartDate),"")</f>
        <v>51006</v>
      </c>
      <c r="D196" s="25">
        <f ca="1">IF(PaymentSchedule3[[#This Row],[Payment Number]]&lt;&gt;"",IF(ROW()-ROW(PaymentSchedule3[[#Headers],[Beginning
Balance]])=1,LoanAmount,INDEX(PaymentSchedule3[Ending
Balance],ROW()-ROW(PaymentSchedule3[[#Headers],[Beginning
Balance]])-1)),"")</f>
        <v>244555.25428313462</v>
      </c>
      <c r="E196" s="25">
        <f ca="1">IF(PaymentSchedule3[[#This Row],[Payment Number]]&lt;&gt;"",ScheduledPayment,"")</f>
        <v>2212.1307964707844</v>
      </c>
      <c r="F1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6" s="25">
        <f ca="1">IF(PaymentSchedule3[[#This Row],[Payment Number]]&lt;&gt;"",PaymentSchedule3[[#This Row],[Total
Payment]]-PaymentSchedule3[[#This Row],[Interest]],"")</f>
        <v>785.55847981916577</v>
      </c>
      <c r="I196" s="25">
        <f ca="1">IF(PaymentSchedule3[[#This Row],[Payment Number]]&lt;&gt;"",PaymentSchedule3[[#This Row],[Beginning
Balance]]*(InterestRate/PaymentsPerYear),"")</f>
        <v>1426.5723166516186</v>
      </c>
      <c r="J196" s="25">
        <f ca="1">IF(PaymentSchedule3[[#This Row],[Payment Number]]&lt;&gt;"",IF(PaymentSchedule3[[#This Row],[Scheduled Payment]]+PaymentSchedule3[[#This Row],[Extra
Payment]]&lt;=PaymentSchedule3[[#This Row],[Beginning
Balance]],PaymentSchedule3[[#This Row],[Beginning
Balance]]-PaymentSchedule3[[#This Row],[Principal]],0),"")</f>
        <v>243769.69580331547</v>
      </c>
      <c r="K196" s="25">
        <f ca="1">IF(PaymentSchedule3[[#This Row],[Payment Number]]&lt;&gt;"",SUM(INDEX(PaymentSchedule3[Interest],1,1):PaymentSchedule3[[#This Row],[Interest]]),"")</f>
        <v>316089.63155746885</v>
      </c>
      <c r="L196" s="25">
        <f ca="1">IF(PaymentSchedule3[[#This Row],[Payment Number]]&lt;&gt;"",SUM(INDEX(PaymentSchedule3[Principal],1,1):PaymentSchedule3[[#This Row],[Principal]]),"")</f>
        <v>88730.304196684694</v>
      </c>
    </row>
    <row r="197" spans="2:12" x14ac:dyDescent="0.25">
      <c r="B197" s="23">
        <f ca="1">IF(LoanIsGood,IF(ROW()-ROW(PaymentSchedule3[[#Headers],[Payment Number]])&gt;ScheduledNumberOfPayments,"",ROW()-ROW(PaymentSchedule3[[#Headers],[Payment Number]])),"")</f>
        <v>184</v>
      </c>
      <c r="C197" s="24">
        <f ca="1">IF(PaymentSchedule3[[#This Row],[Payment Number]]&lt;&gt;"",EOMONTH(LoanStartDate,ROW(PaymentSchedule3[[#This Row],[Payment Number]])-ROW(PaymentSchedule3[[#Headers],[Payment Number]])-2)+DAY(LoanStartDate),"")</f>
        <v>51037</v>
      </c>
      <c r="D197" s="25">
        <f ca="1">IF(PaymentSchedule3[[#This Row],[Payment Number]]&lt;&gt;"",IF(ROW()-ROW(PaymentSchedule3[[#Headers],[Beginning
Balance]])=1,LoanAmount,INDEX(PaymentSchedule3[Ending
Balance],ROW()-ROW(PaymentSchedule3[[#Headers],[Beginning
Balance]])-1)),"")</f>
        <v>243769.69580331547</v>
      </c>
      <c r="E197" s="25">
        <f ca="1">IF(PaymentSchedule3[[#This Row],[Payment Number]]&lt;&gt;"",ScheduledPayment,"")</f>
        <v>2212.1307964707844</v>
      </c>
      <c r="F1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7" s="25">
        <f ca="1">IF(PaymentSchedule3[[#This Row],[Payment Number]]&lt;&gt;"",PaymentSchedule3[[#This Row],[Total
Payment]]-PaymentSchedule3[[#This Row],[Interest]],"")</f>
        <v>790.14090428477743</v>
      </c>
      <c r="I197" s="25">
        <f ca="1">IF(PaymentSchedule3[[#This Row],[Payment Number]]&lt;&gt;"",PaymentSchedule3[[#This Row],[Beginning
Balance]]*(InterestRate/PaymentsPerYear),"")</f>
        <v>1421.989892186007</v>
      </c>
      <c r="J197" s="25">
        <f ca="1">IF(PaymentSchedule3[[#This Row],[Payment Number]]&lt;&gt;"",IF(PaymentSchedule3[[#This Row],[Scheduled Payment]]+PaymentSchedule3[[#This Row],[Extra
Payment]]&lt;=PaymentSchedule3[[#This Row],[Beginning
Balance]],PaymentSchedule3[[#This Row],[Beginning
Balance]]-PaymentSchedule3[[#This Row],[Principal]],0),"")</f>
        <v>242979.55489903069</v>
      </c>
      <c r="K197" s="25">
        <f ca="1">IF(PaymentSchedule3[[#This Row],[Payment Number]]&lt;&gt;"",SUM(INDEX(PaymentSchedule3[Interest],1,1):PaymentSchedule3[[#This Row],[Interest]]),"")</f>
        <v>317511.62144965486</v>
      </c>
      <c r="L197" s="25">
        <f ca="1">IF(PaymentSchedule3[[#This Row],[Payment Number]]&lt;&gt;"",SUM(INDEX(PaymentSchedule3[Principal],1,1):PaymentSchedule3[[#This Row],[Principal]]),"")</f>
        <v>89520.445100969475</v>
      </c>
    </row>
    <row r="198" spans="2:12" x14ac:dyDescent="0.25">
      <c r="B198" s="23">
        <f ca="1">IF(LoanIsGood,IF(ROW()-ROW(PaymentSchedule3[[#Headers],[Payment Number]])&gt;ScheduledNumberOfPayments,"",ROW()-ROW(PaymentSchedule3[[#Headers],[Payment Number]])),"")</f>
        <v>185</v>
      </c>
      <c r="C198" s="24">
        <f ca="1">IF(PaymentSchedule3[[#This Row],[Payment Number]]&lt;&gt;"",EOMONTH(LoanStartDate,ROW(PaymentSchedule3[[#This Row],[Payment Number]])-ROW(PaymentSchedule3[[#Headers],[Payment Number]])-2)+DAY(LoanStartDate),"")</f>
        <v>51067</v>
      </c>
      <c r="D198" s="25">
        <f ca="1">IF(PaymentSchedule3[[#This Row],[Payment Number]]&lt;&gt;"",IF(ROW()-ROW(PaymentSchedule3[[#Headers],[Beginning
Balance]])=1,LoanAmount,INDEX(PaymentSchedule3[Ending
Balance],ROW()-ROW(PaymentSchedule3[[#Headers],[Beginning
Balance]])-1)),"")</f>
        <v>242979.55489903069</v>
      </c>
      <c r="E198" s="25">
        <f ca="1">IF(PaymentSchedule3[[#This Row],[Payment Number]]&lt;&gt;"",ScheduledPayment,"")</f>
        <v>2212.1307964707844</v>
      </c>
      <c r="F1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8" s="25">
        <f ca="1">IF(PaymentSchedule3[[#This Row],[Payment Number]]&lt;&gt;"",PaymentSchedule3[[#This Row],[Total
Payment]]-PaymentSchedule3[[#This Row],[Interest]],"")</f>
        <v>794.7500595597719</v>
      </c>
      <c r="I198" s="25">
        <f ca="1">IF(PaymentSchedule3[[#This Row],[Payment Number]]&lt;&gt;"",PaymentSchedule3[[#This Row],[Beginning
Balance]]*(InterestRate/PaymentsPerYear),"")</f>
        <v>1417.3807369110125</v>
      </c>
      <c r="J198" s="25">
        <f ca="1">IF(PaymentSchedule3[[#This Row],[Payment Number]]&lt;&gt;"",IF(PaymentSchedule3[[#This Row],[Scheduled Payment]]+PaymentSchedule3[[#This Row],[Extra
Payment]]&lt;=PaymentSchedule3[[#This Row],[Beginning
Balance]],PaymentSchedule3[[#This Row],[Beginning
Balance]]-PaymentSchedule3[[#This Row],[Principal]],0),"")</f>
        <v>242184.80483947092</v>
      </c>
      <c r="K198" s="25">
        <f ca="1">IF(PaymentSchedule3[[#This Row],[Payment Number]]&lt;&gt;"",SUM(INDEX(PaymentSchedule3[Interest],1,1):PaymentSchedule3[[#This Row],[Interest]]),"")</f>
        <v>318929.00218656589</v>
      </c>
      <c r="L198" s="25">
        <f ca="1">IF(PaymentSchedule3[[#This Row],[Payment Number]]&lt;&gt;"",SUM(INDEX(PaymentSchedule3[Principal],1,1):PaymentSchedule3[[#This Row],[Principal]]),"")</f>
        <v>90315.195160529242</v>
      </c>
    </row>
    <row r="199" spans="2:12" x14ac:dyDescent="0.25">
      <c r="B199" s="23">
        <f ca="1">IF(LoanIsGood,IF(ROW()-ROW(PaymentSchedule3[[#Headers],[Payment Number]])&gt;ScheduledNumberOfPayments,"",ROW()-ROW(PaymentSchedule3[[#Headers],[Payment Number]])),"")</f>
        <v>186</v>
      </c>
      <c r="C199" s="24">
        <f ca="1">IF(PaymentSchedule3[[#This Row],[Payment Number]]&lt;&gt;"",EOMONTH(LoanStartDate,ROW(PaymentSchedule3[[#This Row],[Payment Number]])-ROW(PaymentSchedule3[[#Headers],[Payment Number]])-2)+DAY(LoanStartDate),"")</f>
        <v>51098</v>
      </c>
      <c r="D199" s="25">
        <f ca="1">IF(PaymentSchedule3[[#This Row],[Payment Number]]&lt;&gt;"",IF(ROW()-ROW(PaymentSchedule3[[#Headers],[Beginning
Balance]])=1,LoanAmount,INDEX(PaymentSchedule3[Ending
Balance],ROW()-ROW(PaymentSchedule3[[#Headers],[Beginning
Balance]])-1)),"")</f>
        <v>242184.80483947092</v>
      </c>
      <c r="E199" s="25">
        <f ca="1">IF(PaymentSchedule3[[#This Row],[Payment Number]]&lt;&gt;"",ScheduledPayment,"")</f>
        <v>2212.1307964707844</v>
      </c>
      <c r="F1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199" s="25">
        <f ca="1">IF(PaymentSchedule3[[#This Row],[Payment Number]]&lt;&gt;"",PaymentSchedule3[[#This Row],[Total
Payment]]-PaymentSchedule3[[#This Row],[Interest]],"")</f>
        <v>799.38610157387075</v>
      </c>
      <c r="I199" s="25">
        <f ca="1">IF(PaymentSchedule3[[#This Row],[Payment Number]]&lt;&gt;"",PaymentSchedule3[[#This Row],[Beginning
Balance]]*(InterestRate/PaymentsPerYear),"")</f>
        <v>1412.7446948969136</v>
      </c>
      <c r="J199" s="25">
        <f ca="1">IF(PaymentSchedule3[[#This Row],[Payment Number]]&lt;&gt;"",IF(PaymentSchedule3[[#This Row],[Scheduled Payment]]+PaymentSchedule3[[#This Row],[Extra
Payment]]&lt;=PaymentSchedule3[[#This Row],[Beginning
Balance]],PaymentSchedule3[[#This Row],[Beginning
Balance]]-PaymentSchedule3[[#This Row],[Principal]],0),"")</f>
        <v>241385.41873789704</v>
      </c>
      <c r="K199" s="25">
        <f ca="1">IF(PaymentSchedule3[[#This Row],[Payment Number]]&lt;&gt;"",SUM(INDEX(PaymentSchedule3[Interest],1,1):PaymentSchedule3[[#This Row],[Interest]]),"")</f>
        <v>320341.74688146281</v>
      </c>
      <c r="L199" s="25">
        <f ca="1">IF(PaymentSchedule3[[#This Row],[Payment Number]]&lt;&gt;"",SUM(INDEX(PaymentSchedule3[Principal],1,1):PaymentSchedule3[[#This Row],[Principal]]),"")</f>
        <v>91114.581262103107</v>
      </c>
    </row>
    <row r="200" spans="2:12" x14ac:dyDescent="0.25">
      <c r="B200" s="23">
        <f ca="1">IF(LoanIsGood,IF(ROW()-ROW(PaymentSchedule3[[#Headers],[Payment Number]])&gt;ScheduledNumberOfPayments,"",ROW()-ROW(PaymentSchedule3[[#Headers],[Payment Number]])),"")</f>
        <v>187</v>
      </c>
      <c r="C200" s="24">
        <f ca="1">IF(PaymentSchedule3[[#This Row],[Payment Number]]&lt;&gt;"",EOMONTH(LoanStartDate,ROW(PaymentSchedule3[[#This Row],[Payment Number]])-ROW(PaymentSchedule3[[#Headers],[Payment Number]])-2)+DAY(LoanStartDate),"")</f>
        <v>51128</v>
      </c>
      <c r="D200" s="25">
        <f ca="1">IF(PaymentSchedule3[[#This Row],[Payment Number]]&lt;&gt;"",IF(ROW()-ROW(PaymentSchedule3[[#Headers],[Beginning
Balance]])=1,LoanAmount,INDEX(PaymentSchedule3[Ending
Balance],ROW()-ROW(PaymentSchedule3[[#Headers],[Beginning
Balance]])-1)),"")</f>
        <v>241385.41873789704</v>
      </c>
      <c r="E200" s="25">
        <f ca="1">IF(PaymentSchedule3[[#This Row],[Payment Number]]&lt;&gt;"",ScheduledPayment,"")</f>
        <v>2212.1307964707844</v>
      </c>
      <c r="F2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0" s="25">
        <f ca="1">IF(PaymentSchedule3[[#This Row],[Payment Number]]&lt;&gt;"",PaymentSchedule3[[#This Row],[Total
Payment]]-PaymentSchedule3[[#This Row],[Interest]],"")</f>
        <v>804.04918716638485</v>
      </c>
      <c r="I200" s="25">
        <f ca="1">IF(PaymentSchedule3[[#This Row],[Payment Number]]&lt;&gt;"",PaymentSchedule3[[#This Row],[Beginning
Balance]]*(InterestRate/PaymentsPerYear),"")</f>
        <v>1408.0816093043995</v>
      </c>
      <c r="J200" s="25">
        <f ca="1">IF(PaymentSchedule3[[#This Row],[Payment Number]]&lt;&gt;"",IF(PaymentSchedule3[[#This Row],[Scheduled Payment]]+PaymentSchedule3[[#This Row],[Extra
Payment]]&lt;=PaymentSchedule3[[#This Row],[Beginning
Balance]],PaymentSchedule3[[#This Row],[Beginning
Balance]]-PaymentSchedule3[[#This Row],[Principal]],0),"")</f>
        <v>240581.36955073065</v>
      </c>
      <c r="K200" s="25">
        <f ca="1">IF(PaymentSchedule3[[#This Row],[Payment Number]]&lt;&gt;"",SUM(INDEX(PaymentSchedule3[Interest],1,1):PaymentSchedule3[[#This Row],[Interest]]),"")</f>
        <v>321749.82849076722</v>
      </c>
      <c r="L200" s="25">
        <f ca="1">IF(PaymentSchedule3[[#This Row],[Payment Number]]&lt;&gt;"",SUM(INDEX(PaymentSchedule3[Principal],1,1):PaymentSchedule3[[#This Row],[Principal]]),"")</f>
        <v>91918.630449269491</v>
      </c>
    </row>
    <row r="201" spans="2:12" x14ac:dyDescent="0.25">
      <c r="B201" s="23">
        <f ca="1">IF(LoanIsGood,IF(ROW()-ROW(PaymentSchedule3[[#Headers],[Payment Number]])&gt;ScheduledNumberOfPayments,"",ROW()-ROW(PaymentSchedule3[[#Headers],[Payment Number]])),"")</f>
        <v>188</v>
      </c>
      <c r="C201" s="24">
        <f ca="1">IF(PaymentSchedule3[[#This Row],[Payment Number]]&lt;&gt;"",EOMONTH(LoanStartDate,ROW(PaymentSchedule3[[#This Row],[Payment Number]])-ROW(PaymentSchedule3[[#Headers],[Payment Number]])-2)+DAY(LoanStartDate),"")</f>
        <v>51159</v>
      </c>
      <c r="D201" s="25">
        <f ca="1">IF(PaymentSchedule3[[#This Row],[Payment Number]]&lt;&gt;"",IF(ROW()-ROW(PaymentSchedule3[[#Headers],[Beginning
Balance]])=1,LoanAmount,INDEX(PaymentSchedule3[Ending
Balance],ROW()-ROW(PaymentSchedule3[[#Headers],[Beginning
Balance]])-1)),"")</f>
        <v>240581.36955073065</v>
      </c>
      <c r="E201" s="25">
        <f ca="1">IF(PaymentSchedule3[[#This Row],[Payment Number]]&lt;&gt;"",ScheduledPayment,"")</f>
        <v>2212.1307964707844</v>
      </c>
      <c r="F2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1" s="25">
        <f ca="1">IF(PaymentSchedule3[[#This Row],[Payment Number]]&lt;&gt;"",PaymentSchedule3[[#This Row],[Total
Payment]]-PaymentSchedule3[[#This Row],[Interest]],"")</f>
        <v>808.7394740915222</v>
      </c>
      <c r="I201" s="25">
        <f ca="1">IF(PaymentSchedule3[[#This Row],[Payment Number]]&lt;&gt;"",PaymentSchedule3[[#This Row],[Beginning
Balance]]*(InterestRate/PaymentsPerYear),"")</f>
        <v>1403.3913223792622</v>
      </c>
      <c r="J201" s="25">
        <f ca="1">IF(PaymentSchedule3[[#This Row],[Payment Number]]&lt;&gt;"",IF(PaymentSchedule3[[#This Row],[Scheduled Payment]]+PaymentSchedule3[[#This Row],[Extra
Payment]]&lt;=PaymentSchedule3[[#This Row],[Beginning
Balance]],PaymentSchedule3[[#This Row],[Beginning
Balance]]-PaymentSchedule3[[#This Row],[Principal]],0),"")</f>
        <v>239772.63007663912</v>
      </c>
      <c r="K201" s="25">
        <f ca="1">IF(PaymentSchedule3[[#This Row],[Payment Number]]&lt;&gt;"",SUM(INDEX(PaymentSchedule3[Interest],1,1):PaymentSchedule3[[#This Row],[Interest]]),"")</f>
        <v>323153.21981314645</v>
      </c>
      <c r="L201" s="25">
        <f ca="1">IF(PaymentSchedule3[[#This Row],[Payment Number]]&lt;&gt;"",SUM(INDEX(PaymentSchedule3[Principal],1,1):PaymentSchedule3[[#This Row],[Principal]]),"")</f>
        <v>92727.36992336101</v>
      </c>
    </row>
    <row r="202" spans="2:12" x14ac:dyDescent="0.25">
      <c r="B202" s="23">
        <f ca="1">IF(LoanIsGood,IF(ROW()-ROW(PaymentSchedule3[[#Headers],[Payment Number]])&gt;ScheduledNumberOfPayments,"",ROW()-ROW(PaymentSchedule3[[#Headers],[Payment Number]])),"")</f>
        <v>189</v>
      </c>
      <c r="C202" s="24">
        <f ca="1">IF(PaymentSchedule3[[#This Row],[Payment Number]]&lt;&gt;"",EOMONTH(LoanStartDate,ROW(PaymentSchedule3[[#This Row],[Payment Number]])-ROW(PaymentSchedule3[[#Headers],[Payment Number]])-2)+DAY(LoanStartDate),"")</f>
        <v>51190</v>
      </c>
      <c r="D202" s="25">
        <f ca="1">IF(PaymentSchedule3[[#This Row],[Payment Number]]&lt;&gt;"",IF(ROW()-ROW(PaymentSchedule3[[#Headers],[Beginning
Balance]])=1,LoanAmount,INDEX(PaymentSchedule3[Ending
Balance],ROW()-ROW(PaymentSchedule3[[#Headers],[Beginning
Balance]])-1)),"")</f>
        <v>239772.63007663912</v>
      </c>
      <c r="E202" s="25">
        <f ca="1">IF(PaymentSchedule3[[#This Row],[Payment Number]]&lt;&gt;"",ScheduledPayment,"")</f>
        <v>2212.1307964707844</v>
      </c>
      <c r="F2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2" s="25">
        <f ca="1">IF(PaymentSchedule3[[#This Row],[Payment Number]]&lt;&gt;"",PaymentSchedule3[[#This Row],[Total
Payment]]-PaymentSchedule3[[#This Row],[Interest]],"")</f>
        <v>813.45712102372272</v>
      </c>
      <c r="I202" s="25">
        <f ca="1">IF(PaymentSchedule3[[#This Row],[Payment Number]]&lt;&gt;"",PaymentSchedule3[[#This Row],[Beginning
Balance]]*(InterestRate/PaymentsPerYear),"")</f>
        <v>1398.6736754470617</v>
      </c>
      <c r="J202" s="25">
        <f ca="1">IF(PaymentSchedule3[[#This Row],[Payment Number]]&lt;&gt;"",IF(PaymentSchedule3[[#This Row],[Scheduled Payment]]+PaymentSchedule3[[#This Row],[Extra
Payment]]&lt;=PaymentSchedule3[[#This Row],[Beginning
Balance]],PaymentSchedule3[[#This Row],[Beginning
Balance]]-PaymentSchedule3[[#This Row],[Principal]],0),"")</f>
        <v>238959.17295561539</v>
      </c>
      <c r="K202" s="25">
        <f ca="1">IF(PaymentSchedule3[[#This Row],[Payment Number]]&lt;&gt;"",SUM(INDEX(PaymentSchedule3[Interest],1,1):PaymentSchedule3[[#This Row],[Interest]]),"")</f>
        <v>324551.89348859352</v>
      </c>
      <c r="L202" s="25">
        <f ca="1">IF(PaymentSchedule3[[#This Row],[Payment Number]]&lt;&gt;"",SUM(INDEX(PaymentSchedule3[Principal],1,1):PaymentSchedule3[[#This Row],[Principal]]),"")</f>
        <v>93540.827044384729</v>
      </c>
    </row>
    <row r="203" spans="2:12" x14ac:dyDescent="0.25">
      <c r="B203" s="23">
        <f ca="1">IF(LoanIsGood,IF(ROW()-ROW(PaymentSchedule3[[#Headers],[Payment Number]])&gt;ScheduledNumberOfPayments,"",ROW()-ROW(PaymentSchedule3[[#Headers],[Payment Number]])),"")</f>
        <v>190</v>
      </c>
      <c r="C203" s="24">
        <f ca="1">IF(PaymentSchedule3[[#This Row],[Payment Number]]&lt;&gt;"",EOMONTH(LoanStartDate,ROW(PaymentSchedule3[[#This Row],[Payment Number]])-ROW(PaymentSchedule3[[#Headers],[Payment Number]])-2)+DAY(LoanStartDate),"")</f>
        <v>51219</v>
      </c>
      <c r="D203" s="25">
        <f ca="1">IF(PaymentSchedule3[[#This Row],[Payment Number]]&lt;&gt;"",IF(ROW()-ROW(PaymentSchedule3[[#Headers],[Beginning
Balance]])=1,LoanAmount,INDEX(PaymentSchedule3[Ending
Balance],ROW()-ROW(PaymentSchedule3[[#Headers],[Beginning
Balance]])-1)),"")</f>
        <v>238959.17295561539</v>
      </c>
      <c r="E203" s="25">
        <f ca="1">IF(PaymentSchedule3[[#This Row],[Payment Number]]&lt;&gt;"",ScheduledPayment,"")</f>
        <v>2212.1307964707844</v>
      </c>
      <c r="F2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3" s="25">
        <f ca="1">IF(PaymentSchedule3[[#This Row],[Payment Number]]&lt;&gt;"",PaymentSchedule3[[#This Row],[Total
Payment]]-PaymentSchedule3[[#This Row],[Interest]],"")</f>
        <v>818.20228756302799</v>
      </c>
      <c r="I203" s="25">
        <f ca="1">IF(PaymentSchedule3[[#This Row],[Payment Number]]&lt;&gt;"",PaymentSchedule3[[#This Row],[Beginning
Balance]]*(InterestRate/PaymentsPerYear),"")</f>
        <v>1393.9285089077564</v>
      </c>
      <c r="J203" s="25">
        <f ca="1">IF(PaymentSchedule3[[#This Row],[Payment Number]]&lt;&gt;"",IF(PaymentSchedule3[[#This Row],[Scheduled Payment]]+PaymentSchedule3[[#This Row],[Extra
Payment]]&lt;=PaymentSchedule3[[#This Row],[Beginning
Balance]],PaymentSchedule3[[#This Row],[Beginning
Balance]]-PaymentSchedule3[[#This Row],[Principal]],0),"")</f>
        <v>238140.97066805235</v>
      </c>
      <c r="K203" s="25">
        <f ca="1">IF(PaymentSchedule3[[#This Row],[Payment Number]]&lt;&gt;"",SUM(INDEX(PaymentSchedule3[Interest],1,1):PaymentSchedule3[[#This Row],[Interest]]),"")</f>
        <v>325945.82199750125</v>
      </c>
      <c r="L203" s="25">
        <f ca="1">IF(PaymentSchedule3[[#This Row],[Payment Number]]&lt;&gt;"",SUM(INDEX(PaymentSchedule3[Principal],1,1):PaymentSchedule3[[#This Row],[Principal]]),"")</f>
        <v>94359.02933194775</v>
      </c>
    </row>
    <row r="204" spans="2:12" x14ac:dyDescent="0.25">
      <c r="B204" s="23">
        <f ca="1">IF(LoanIsGood,IF(ROW()-ROW(PaymentSchedule3[[#Headers],[Payment Number]])&gt;ScheduledNumberOfPayments,"",ROW()-ROW(PaymentSchedule3[[#Headers],[Payment Number]])),"")</f>
        <v>191</v>
      </c>
      <c r="C204" s="24">
        <f ca="1">IF(PaymentSchedule3[[#This Row],[Payment Number]]&lt;&gt;"",EOMONTH(LoanStartDate,ROW(PaymentSchedule3[[#This Row],[Payment Number]])-ROW(PaymentSchedule3[[#Headers],[Payment Number]])-2)+DAY(LoanStartDate),"")</f>
        <v>51250</v>
      </c>
      <c r="D204" s="25">
        <f ca="1">IF(PaymentSchedule3[[#This Row],[Payment Number]]&lt;&gt;"",IF(ROW()-ROW(PaymentSchedule3[[#Headers],[Beginning
Balance]])=1,LoanAmount,INDEX(PaymentSchedule3[Ending
Balance],ROW()-ROW(PaymentSchedule3[[#Headers],[Beginning
Balance]])-1)),"")</f>
        <v>238140.97066805235</v>
      </c>
      <c r="E204" s="25">
        <f ca="1">IF(PaymentSchedule3[[#This Row],[Payment Number]]&lt;&gt;"",ScheduledPayment,"")</f>
        <v>2212.1307964707844</v>
      </c>
      <c r="F2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4" s="25">
        <f ca="1">IF(PaymentSchedule3[[#This Row],[Payment Number]]&lt;&gt;"",PaymentSchedule3[[#This Row],[Total
Payment]]-PaymentSchedule3[[#This Row],[Interest]],"")</f>
        <v>822.97513424047884</v>
      </c>
      <c r="I204" s="25">
        <f ca="1">IF(PaymentSchedule3[[#This Row],[Payment Number]]&lt;&gt;"",PaymentSchedule3[[#This Row],[Beginning
Balance]]*(InterestRate/PaymentsPerYear),"")</f>
        <v>1389.1556622303056</v>
      </c>
      <c r="J204" s="25">
        <f ca="1">IF(PaymentSchedule3[[#This Row],[Payment Number]]&lt;&gt;"",IF(PaymentSchedule3[[#This Row],[Scheduled Payment]]+PaymentSchedule3[[#This Row],[Extra
Payment]]&lt;=PaymentSchedule3[[#This Row],[Beginning
Balance]],PaymentSchedule3[[#This Row],[Beginning
Balance]]-PaymentSchedule3[[#This Row],[Principal]],0),"")</f>
        <v>237317.99553381186</v>
      </c>
      <c r="K204" s="25">
        <f ca="1">IF(PaymentSchedule3[[#This Row],[Payment Number]]&lt;&gt;"",SUM(INDEX(PaymentSchedule3[Interest],1,1):PaymentSchedule3[[#This Row],[Interest]]),"")</f>
        <v>327334.97765973158</v>
      </c>
      <c r="L204" s="25">
        <f ca="1">IF(PaymentSchedule3[[#This Row],[Payment Number]]&lt;&gt;"",SUM(INDEX(PaymentSchedule3[Principal],1,1):PaymentSchedule3[[#This Row],[Principal]]),"")</f>
        <v>95182.004466188228</v>
      </c>
    </row>
    <row r="205" spans="2:12" x14ac:dyDescent="0.25">
      <c r="B205" s="23">
        <f ca="1">IF(LoanIsGood,IF(ROW()-ROW(PaymentSchedule3[[#Headers],[Payment Number]])&gt;ScheduledNumberOfPayments,"",ROW()-ROW(PaymentSchedule3[[#Headers],[Payment Number]])),"")</f>
        <v>192</v>
      </c>
      <c r="C205" s="24">
        <f ca="1">IF(PaymentSchedule3[[#This Row],[Payment Number]]&lt;&gt;"",EOMONTH(LoanStartDate,ROW(PaymentSchedule3[[#This Row],[Payment Number]])-ROW(PaymentSchedule3[[#Headers],[Payment Number]])-2)+DAY(LoanStartDate),"")</f>
        <v>51280</v>
      </c>
      <c r="D205" s="25">
        <f ca="1">IF(PaymentSchedule3[[#This Row],[Payment Number]]&lt;&gt;"",IF(ROW()-ROW(PaymentSchedule3[[#Headers],[Beginning
Balance]])=1,LoanAmount,INDEX(PaymentSchedule3[Ending
Balance],ROW()-ROW(PaymentSchedule3[[#Headers],[Beginning
Balance]])-1)),"")</f>
        <v>237317.99553381186</v>
      </c>
      <c r="E205" s="25">
        <f ca="1">IF(PaymentSchedule3[[#This Row],[Payment Number]]&lt;&gt;"",ScheduledPayment,"")</f>
        <v>2212.1307964707844</v>
      </c>
      <c r="F2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5" s="25">
        <f ca="1">IF(PaymentSchedule3[[#This Row],[Payment Number]]&lt;&gt;"",PaymentSchedule3[[#This Row],[Total
Payment]]-PaymentSchedule3[[#This Row],[Interest]],"")</f>
        <v>827.77582252354841</v>
      </c>
      <c r="I205" s="25">
        <f ca="1">IF(PaymentSchedule3[[#This Row],[Payment Number]]&lt;&gt;"",PaymentSchedule3[[#This Row],[Beginning
Balance]]*(InterestRate/PaymentsPerYear),"")</f>
        <v>1384.354973947236</v>
      </c>
      <c r="J205" s="25">
        <f ca="1">IF(PaymentSchedule3[[#This Row],[Payment Number]]&lt;&gt;"",IF(PaymentSchedule3[[#This Row],[Scheduled Payment]]+PaymentSchedule3[[#This Row],[Extra
Payment]]&lt;=PaymentSchedule3[[#This Row],[Beginning
Balance]],PaymentSchedule3[[#This Row],[Beginning
Balance]]-PaymentSchedule3[[#This Row],[Principal]],0),"")</f>
        <v>236490.21971128832</v>
      </c>
      <c r="K205" s="25">
        <f ca="1">IF(PaymentSchedule3[[#This Row],[Payment Number]]&lt;&gt;"",SUM(INDEX(PaymentSchedule3[Interest],1,1):PaymentSchedule3[[#This Row],[Interest]]),"")</f>
        <v>328719.3326336788</v>
      </c>
      <c r="L205" s="25">
        <f ca="1">IF(PaymentSchedule3[[#This Row],[Payment Number]]&lt;&gt;"",SUM(INDEX(PaymentSchedule3[Principal],1,1):PaymentSchedule3[[#This Row],[Principal]]),"")</f>
        <v>96009.780288711772</v>
      </c>
    </row>
    <row r="206" spans="2:12" x14ac:dyDescent="0.25">
      <c r="B206" s="23">
        <f ca="1">IF(LoanIsGood,IF(ROW()-ROW(PaymentSchedule3[[#Headers],[Payment Number]])&gt;ScheduledNumberOfPayments,"",ROW()-ROW(PaymentSchedule3[[#Headers],[Payment Number]])),"")</f>
        <v>193</v>
      </c>
      <c r="C206" s="24">
        <f ca="1">IF(PaymentSchedule3[[#This Row],[Payment Number]]&lt;&gt;"",EOMONTH(LoanStartDate,ROW(PaymentSchedule3[[#This Row],[Payment Number]])-ROW(PaymentSchedule3[[#Headers],[Payment Number]])-2)+DAY(LoanStartDate),"")</f>
        <v>51311</v>
      </c>
      <c r="D206" s="25">
        <f ca="1">IF(PaymentSchedule3[[#This Row],[Payment Number]]&lt;&gt;"",IF(ROW()-ROW(PaymentSchedule3[[#Headers],[Beginning
Balance]])=1,LoanAmount,INDEX(PaymentSchedule3[Ending
Balance],ROW()-ROW(PaymentSchedule3[[#Headers],[Beginning
Balance]])-1)),"")</f>
        <v>236490.21971128832</v>
      </c>
      <c r="E206" s="25">
        <f ca="1">IF(PaymentSchedule3[[#This Row],[Payment Number]]&lt;&gt;"",ScheduledPayment,"")</f>
        <v>2212.1307964707844</v>
      </c>
      <c r="F2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6" s="25">
        <f ca="1">IF(PaymentSchedule3[[#This Row],[Payment Number]]&lt;&gt;"",PaymentSchedule3[[#This Row],[Total
Payment]]-PaymentSchedule3[[#This Row],[Interest]],"")</f>
        <v>832.60451482160238</v>
      </c>
      <c r="I206" s="25">
        <f ca="1">IF(PaymentSchedule3[[#This Row],[Payment Number]]&lt;&gt;"",PaymentSchedule3[[#This Row],[Beginning
Balance]]*(InterestRate/PaymentsPerYear),"")</f>
        <v>1379.526281649182</v>
      </c>
      <c r="J206" s="25">
        <f ca="1">IF(PaymentSchedule3[[#This Row],[Payment Number]]&lt;&gt;"",IF(PaymentSchedule3[[#This Row],[Scheduled Payment]]+PaymentSchedule3[[#This Row],[Extra
Payment]]&lt;=PaymentSchedule3[[#This Row],[Beginning
Balance]],PaymentSchedule3[[#This Row],[Beginning
Balance]]-PaymentSchedule3[[#This Row],[Principal]],0),"")</f>
        <v>235657.61519646671</v>
      </c>
      <c r="K206" s="25">
        <f ca="1">IF(PaymentSchedule3[[#This Row],[Payment Number]]&lt;&gt;"",SUM(INDEX(PaymentSchedule3[Interest],1,1):PaymentSchedule3[[#This Row],[Interest]]),"")</f>
        <v>330098.85891532799</v>
      </c>
      <c r="L206" s="25">
        <f ca="1">IF(PaymentSchedule3[[#This Row],[Payment Number]]&lt;&gt;"",SUM(INDEX(PaymentSchedule3[Principal],1,1):PaymentSchedule3[[#This Row],[Principal]]),"")</f>
        <v>96842.384803533379</v>
      </c>
    </row>
    <row r="207" spans="2:12" x14ac:dyDescent="0.25">
      <c r="B207" s="23">
        <f ca="1">IF(LoanIsGood,IF(ROW()-ROW(PaymentSchedule3[[#Headers],[Payment Number]])&gt;ScheduledNumberOfPayments,"",ROW()-ROW(PaymentSchedule3[[#Headers],[Payment Number]])),"")</f>
        <v>194</v>
      </c>
      <c r="C207" s="24">
        <f ca="1">IF(PaymentSchedule3[[#This Row],[Payment Number]]&lt;&gt;"",EOMONTH(LoanStartDate,ROW(PaymentSchedule3[[#This Row],[Payment Number]])-ROW(PaymentSchedule3[[#Headers],[Payment Number]])-2)+DAY(LoanStartDate),"")</f>
        <v>51341</v>
      </c>
      <c r="D207" s="25">
        <f ca="1">IF(PaymentSchedule3[[#This Row],[Payment Number]]&lt;&gt;"",IF(ROW()-ROW(PaymentSchedule3[[#Headers],[Beginning
Balance]])=1,LoanAmount,INDEX(PaymentSchedule3[Ending
Balance],ROW()-ROW(PaymentSchedule3[[#Headers],[Beginning
Balance]])-1)),"")</f>
        <v>235657.61519646671</v>
      </c>
      <c r="E207" s="25">
        <f ca="1">IF(PaymentSchedule3[[#This Row],[Payment Number]]&lt;&gt;"",ScheduledPayment,"")</f>
        <v>2212.1307964707844</v>
      </c>
      <c r="F2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7" s="25">
        <f ca="1">IF(PaymentSchedule3[[#This Row],[Payment Number]]&lt;&gt;"",PaymentSchedule3[[#This Row],[Total
Payment]]-PaymentSchedule3[[#This Row],[Interest]],"")</f>
        <v>837.46137449139519</v>
      </c>
      <c r="I207" s="25">
        <f ca="1">IF(PaymentSchedule3[[#This Row],[Payment Number]]&lt;&gt;"",PaymentSchedule3[[#This Row],[Beginning
Balance]]*(InterestRate/PaymentsPerYear),"")</f>
        <v>1374.6694219793892</v>
      </c>
      <c r="J207" s="25">
        <f ca="1">IF(PaymentSchedule3[[#This Row],[Payment Number]]&lt;&gt;"",IF(PaymentSchedule3[[#This Row],[Scheduled Payment]]+PaymentSchedule3[[#This Row],[Extra
Payment]]&lt;=PaymentSchedule3[[#This Row],[Beginning
Balance]],PaymentSchedule3[[#This Row],[Beginning
Balance]]-PaymentSchedule3[[#This Row],[Principal]],0),"")</f>
        <v>234820.15382197531</v>
      </c>
      <c r="K207" s="25">
        <f ca="1">IF(PaymentSchedule3[[#This Row],[Payment Number]]&lt;&gt;"",SUM(INDEX(PaymentSchedule3[Interest],1,1):PaymentSchedule3[[#This Row],[Interest]]),"")</f>
        <v>331473.52833730739</v>
      </c>
      <c r="L207" s="25">
        <f ca="1">IF(PaymentSchedule3[[#This Row],[Payment Number]]&lt;&gt;"",SUM(INDEX(PaymentSchedule3[Principal],1,1):PaymentSchedule3[[#This Row],[Principal]]),"")</f>
        <v>97679.846178024774</v>
      </c>
    </row>
    <row r="208" spans="2:12" x14ac:dyDescent="0.25">
      <c r="B208" s="23">
        <f ca="1">IF(LoanIsGood,IF(ROW()-ROW(PaymentSchedule3[[#Headers],[Payment Number]])&gt;ScheduledNumberOfPayments,"",ROW()-ROW(PaymentSchedule3[[#Headers],[Payment Number]])),"")</f>
        <v>195</v>
      </c>
      <c r="C208" s="24">
        <f ca="1">IF(PaymentSchedule3[[#This Row],[Payment Number]]&lt;&gt;"",EOMONTH(LoanStartDate,ROW(PaymentSchedule3[[#This Row],[Payment Number]])-ROW(PaymentSchedule3[[#Headers],[Payment Number]])-2)+DAY(LoanStartDate),"")</f>
        <v>51372</v>
      </c>
      <c r="D208" s="25">
        <f ca="1">IF(PaymentSchedule3[[#This Row],[Payment Number]]&lt;&gt;"",IF(ROW()-ROW(PaymentSchedule3[[#Headers],[Beginning
Balance]])=1,LoanAmount,INDEX(PaymentSchedule3[Ending
Balance],ROW()-ROW(PaymentSchedule3[[#Headers],[Beginning
Balance]])-1)),"")</f>
        <v>234820.15382197531</v>
      </c>
      <c r="E208" s="25">
        <f ca="1">IF(PaymentSchedule3[[#This Row],[Payment Number]]&lt;&gt;"",ScheduledPayment,"")</f>
        <v>2212.1307964707844</v>
      </c>
      <c r="F2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8" s="25">
        <f ca="1">IF(PaymentSchedule3[[#This Row],[Payment Number]]&lt;&gt;"",PaymentSchedule3[[#This Row],[Total
Payment]]-PaymentSchedule3[[#This Row],[Interest]],"")</f>
        <v>842.34656584259506</v>
      </c>
      <c r="I208" s="25">
        <f ca="1">IF(PaymentSchedule3[[#This Row],[Payment Number]]&lt;&gt;"",PaymentSchedule3[[#This Row],[Beginning
Balance]]*(InterestRate/PaymentsPerYear),"")</f>
        <v>1369.7842306281893</v>
      </c>
      <c r="J208" s="25">
        <f ca="1">IF(PaymentSchedule3[[#This Row],[Payment Number]]&lt;&gt;"",IF(PaymentSchedule3[[#This Row],[Scheduled Payment]]+PaymentSchedule3[[#This Row],[Extra
Payment]]&lt;=PaymentSchedule3[[#This Row],[Beginning
Balance]],PaymentSchedule3[[#This Row],[Beginning
Balance]]-PaymentSchedule3[[#This Row],[Principal]],0),"")</f>
        <v>233977.80725613271</v>
      </c>
      <c r="K208" s="25">
        <f ca="1">IF(PaymentSchedule3[[#This Row],[Payment Number]]&lt;&gt;"",SUM(INDEX(PaymentSchedule3[Interest],1,1):PaymentSchedule3[[#This Row],[Interest]]),"")</f>
        <v>332843.31256793556</v>
      </c>
      <c r="L208" s="25">
        <f ca="1">IF(PaymentSchedule3[[#This Row],[Payment Number]]&lt;&gt;"",SUM(INDEX(PaymentSchedule3[Principal],1,1):PaymentSchedule3[[#This Row],[Principal]]),"")</f>
        <v>98522.192743867374</v>
      </c>
    </row>
    <row r="209" spans="2:12" x14ac:dyDescent="0.25">
      <c r="B209" s="23">
        <f ca="1">IF(LoanIsGood,IF(ROW()-ROW(PaymentSchedule3[[#Headers],[Payment Number]])&gt;ScheduledNumberOfPayments,"",ROW()-ROW(PaymentSchedule3[[#Headers],[Payment Number]])),"")</f>
        <v>196</v>
      </c>
      <c r="C209" s="24">
        <f ca="1">IF(PaymentSchedule3[[#This Row],[Payment Number]]&lt;&gt;"",EOMONTH(LoanStartDate,ROW(PaymentSchedule3[[#This Row],[Payment Number]])-ROW(PaymentSchedule3[[#Headers],[Payment Number]])-2)+DAY(LoanStartDate),"")</f>
        <v>51403</v>
      </c>
      <c r="D209" s="25">
        <f ca="1">IF(PaymentSchedule3[[#This Row],[Payment Number]]&lt;&gt;"",IF(ROW()-ROW(PaymentSchedule3[[#Headers],[Beginning
Balance]])=1,LoanAmount,INDEX(PaymentSchedule3[Ending
Balance],ROW()-ROW(PaymentSchedule3[[#Headers],[Beginning
Balance]])-1)),"")</f>
        <v>233977.80725613271</v>
      </c>
      <c r="E209" s="25">
        <f ca="1">IF(PaymentSchedule3[[#This Row],[Payment Number]]&lt;&gt;"",ScheduledPayment,"")</f>
        <v>2212.1307964707844</v>
      </c>
      <c r="F2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09" s="25">
        <f ca="1">IF(PaymentSchedule3[[#This Row],[Payment Number]]&lt;&gt;"",PaymentSchedule3[[#This Row],[Total
Payment]]-PaymentSchedule3[[#This Row],[Interest]],"")</f>
        <v>847.26025414334345</v>
      </c>
      <c r="I209" s="25">
        <f ca="1">IF(PaymentSchedule3[[#This Row],[Payment Number]]&lt;&gt;"",PaymentSchedule3[[#This Row],[Beginning
Balance]]*(InterestRate/PaymentsPerYear),"")</f>
        <v>1364.8705423274409</v>
      </c>
      <c r="J209" s="25">
        <f ca="1">IF(PaymentSchedule3[[#This Row],[Payment Number]]&lt;&gt;"",IF(PaymentSchedule3[[#This Row],[Scheduled Payment]]+PaymentSchedule3[[#This Row],[Extra
Payment]]&lt;=PaymentSchedule3[[#This Row],[Beginning
Balance]],PaymentSchedule3[[#This Row],[Beginning
Balance]]-PaymentSchedule3[[#This Row],[Principal]],0),"")</f>
        <v>233130.54700198938</v>
      </c>
      <c r="K209" s="25">
        <f ca="1">IF(PaymentSchedule3[[#This Row],[Payment Number]]&lt;&gt;"",SUM(INDEX(PaymentSchedule3[Interest],1,1):PaymentSchedule3[[#This Row],[Interest]]),"")</f>
        <v>334208.18311026302</v>
      </c>
      <c r="L209" s="25">
        <f ca="1">IF(PaymentSchedule3[[#This Row],[Payment Number]]&lt;&gt;"",SUM(INDEX(PaymentSchedule3[Principal],1,1):PaymentSchedule3[[#This Row],[Principal]]),"")</f>
        <v>99369.452998010718</v>
      </c>
    </row>
    <row r="210" spans="2:12" x14ac:dyDescent="0.25">
      <c r="B210" s="23">
        <f ca="1">IF(LoanIsGood,IF(ROW()-ROW(PaymentSchedule3[[#Headers],[Payment Number]])&gt;ScheduledNumberOfPayments,"",ROW()-ROW(PaymentSchedule3[[#Headers],[Payment Number]])),"")</f>
        <v>197</v>
      </c>
      <c r="C210" s="24">
        <f ca="1">IF(PaymentSchedule3[[#This Row],[Payment Number]]&lt;&gt;"",EOMONTH(LoanStartDate,ROW(PaymentSchedule3[[#This Row],[Payment Number]])-ROW(PaymentSchedule3[[#Headers],[Payment Number]])-2)+DAY(LoanStartDate),"")</f>
        <v>51433</v>
      </c>
      <c r="D210" s="25">
        <f ca="1">IF(PaymentSchedule3[[#This Row],[Payment Number]]&lt;&gt;"",IF(ROW()-ROW(PaymentSchedule3[[#Headers],[Beginning
Balance]])=1,LoanAmount,INDEX(PaymentSchedule3[Ending
Balance],ROW()-ROW(PaymentSchedule3[[#Headers],[Beginning
Balance]])-1)),"")</f>
        <v>233130.54700198938</v>
      </c>
      <c r="E210" s="25">
        <f ca="1">IF(PaymentSchedule3[[#This Row],[Payment Number]]&lt;&gt;"",ScheduledPayment,"")</f>
        <v>2212.1307964707844</v>
      </c>
      <c r="F2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0" s="25">
        <f ca="1">IF(PaymentSchedule3[[#This Row],[Payment Number]]&lt;&gt;"",PaymentSchedule3[[#This Row],[Total
Payment]]-PaymentSchedule3[[#This Row],[Interest]],"")</f>
        <v>852.20260562584622</v>
      </c>
      <c r="I210" s="25">
        <f ca="1">IF(PaymentSchedule3[[#This Row],[Payment Number]]&lt;&gt;"",PaymentSchedule3[[#This Row],[Beginning
Balance]]*(InterestRate/PaymentsPerYear),"")</f>
        <v>1359.9281908449382</v>
      </c>
      <c r="J210" s="25">
        <f ca="1">IF(PaymentSchedule3[[#This Row],[Payment Number]]&lt;&gt;"",IF(PaymentSchedule3[[#This Row],[Scheduled Payment]]+PaymentSchedule3[[#This Row],[Extra
Payment]]&lt;=PaymentSchedule3[[#This Row],[Beginning
Balance]],PaymentSchedule3[[#This Row],[Beginning
Balance]]-PaymentSchedule3[[#This Row],[Principal]],0),"")</f>
        <v>232278.34439636354</v>
      </c>
      <c r="K210" s="25">
        <f ca="1">IF(PaymentSchedule3[[#This Row],[Payment Number]]&lt;&gt;"",SUM(INDEX(PaymentSchedule3[Interest],1,1):PaymentSchedule3[[#This Row],[Interest]]),"")</f>
        <v>335568.11130110797</v>
      </c>
      <c r="L210" s="25">
        <f ca="1">IF(PaymentSchedule3[[#This Row],[Payment Number]]&lt;&gt;"",SUM(INDEX(PaymentSchedule3[Principal],1,1):PaymentSchedule3[[#This Row],[Principal]]),"")</f>
        <v>100221.65560363657</v>
      </c>
    </row>
    <row r="211" spans="2:12" x14ac:dyDescent="0.25">
      <c r="B211" s="23">
        <f ca="1">IF(LoanIsGood,IF(ROW()-ROW(PaymentSchedule3[[#Headers],[Payment Number]])&gt;ScheduledNumberOfPayments,"",ROW()-ROW(PaymentSchedule3[[#Headers],[Payment Number]])),"")</f>
        <v>198</v>
      </c>
      <c r="C211" s="24">
        <f ca="1">IF(PaymentSchedule3[[#This Row],[Payment Number]]&lt;&gt;"",EOMONTH(LoanStartDate,ROW(PaymentSchedule3[[#This Row],[Payment Number]])-ROW(PaymentSchedule3[[#Headers],[Payment Number]])-2)+DAY(LoanStartDate),"")</f>
        <v>51464</v>
      </c>
      <c r="D211" s="25">
        <f ca="1">IF(PaymentSchedule3[[#This Row],[Payment Number]]&lt;&gt;"",IF(ROW()-ROW(PaymentSchedule3[[#Headers],[Beginning
Balance]])=1,LoanAmount,INDEX(PaymentSchedule3[Ending
Balance],ROW()-ROW(PaymentSchedule3[[#Headers],[Beginning
Balance]])-1)),"")</f>
        <v>232278.34439636354</v>
      </c>
      <c r="E211" s="25">
        <f ca="1">IF(PaymentSchedule3[[#This Row],[Payment Number]]&lt;&gt;"",ScheduledPayment,"")</f>
        <v>2212.1307964707844</v>
      </c>
      <c r="F2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1" s="25">
        <f ca="1">IF(PaymentSchedule3[[#This Row],[Payment Number]]&lt;&gt;"",PaymentSchedule3[[#This Row],[Total
Payment]]-PaymentSchedule3[[#This Row],[Interest]],"")</f>
        <v>857.17378749199702</v>
      </c>
      <c r="I211" s="25">
        <f ca="1">IF(PaymentSchedule3[[#This Row],[Payment Number]]&lt;&gt;"",PaymentSchedule3[[#This Row],[Beginning
Balance]]*(InterestRate/PaymentsPerYear),"")</f>
        <v>1354.9570089787874</v>
      </c>
      <c r="J211" s="25">
        <f ca="1">IF(PaymentSchedule3[[#This Row],[Payment Number]]&lt;&gt;"",IF(PaymentSchedule3[[#This Row],[Scheduled Payment]]+PaymentSchedule3[[#This Row],[Extra
Payment]]&lt;=PaymentSchedule3[[#This Row],[Beginning
Balance]],PaymentSchedule3[[#This Row],[Beginning
Balance]]-PaymentSchedule3[[#This Row],[Principal]],0),"")</f>
        <v>231421.17060887153</v>
      </c>
      <c r="K211" s="25">
        <f ca="1">IF(PaymentSchedule3[[#This Row],[Payment Number]]&lt;&gt;"",SUM(INDEX(PaymentSchedule3[Interest],1,1):PaymentSchedule3[[#This Row],[Interest]]),"")</f>
        <v>336923.06831008673</v>
      </c>
      <c r="L211" s="25">
        <f ca="1">IF(PaymentSchedule3[[#This Row],[Payment Number]]&lt;&gt;"",SUM(INDEX(PaymentSchedule3[Principal],1,1):PaymentSchedule3[[#This Row],[Principal]]),"")</f>
        <v>101078.82939112856</v>
      </c>
    </row>
    <row r="212" spans="2:12" x14ac:dyDescent="0.25">
      <c r="B212" s="23">
        <f ca="1">IF(LoanIsGood,IF(ROW()-ROW(PaymentSchedule3[[#Headers],[Payment Number]])&gt;ScheduledNumberOfPayments,"",ROW()-ROW(PaymentSchedule3[[#Headers],[Payment Number]])),"")</f>
        <v>199</v>
      </c>
      <c r="C212" s="24">
        <f ca="1">IF(PaymentSchedule3[[#This Row],[Payment Number]]&lt;&gt;"",EOMONTH(LoanStartDate,ROW(PaymentSchedule3[[#This Row],[Payment Number]])-ROW(PaymentSchedule3[[#Headers],[Payment Number]])-2)+DAY(LoanStartDate),"")</f>
        <v>51494</v>
      </c>
      <c r="D212" s="25">
        <f ca="1">IF(PaymentSchedule3[[#This Row],[Payment Number]]&lt;&gt;"",IF(ROW()-ROW(PaymentSchedule3[[#Headers],[Beginning
Balance]])=1,LoanAmount,INDEX(PaymentSchedule3[Ending
Balance],ROW()-ROW(PaymentSchedule3[[#Headers],[Beginning
Balance]])-1)),"")</f>
        <v>231421.17060887153</v>
      </c>
      <c r="E212" s="25">
        <f ca="1">IF(PaymentSchedule3[[#This Row],[Payment Number]]&lt;&gt;"",ScheduledPayment,"")</f>
        <v>2212.1307964707844</v>
      </c>
      <c r="F2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2" s="25">
        <f ca="1">IF(PaymentSchedule3[[#This Row],[Payment Number]]&lt;&gt;"",PaymentSchedule3[[#This Row],[Total
Payment]]-PaymentSchedule3[[#This Row],[Interest]],"")</f>
        <v>862.17396791903366</v>
      </c>
      <c r="I212" s="25">
        <f ca="1">IF(PaymentSchedule3[[#This Row],[Payment Number]]&lt;&gt;"",PaymentSchedule3[[#This Row],[Beginning
Balance]]*(InterestRate/PaymentsPerYear),"")</f>
        <v>1349.9568285517507</v>
      </c>
      <c r="J212" s="25">
        <f ca="1">IF(PaymentSchedule3[[#This Row],[Payment Number]]&lt;&gt;"",IF(PaymentSchedule3[[#This Row],[Scheduled Payment]]+PaymentSchedule3[[#This Row],[Extra
Payment]]&lt;=PaymentSchedule3[[#This Row],[Beginning
Balance]],PaymentSchedule3[[#This Row],[Beginning
Balance]]-PaymentSchedule3[[#This Row],[Principal]],0),"")</f>
        <v>230558.99664095251</v>
      </c>
      <c r="K212" s="25">
        <f ca="1">IF(PaymentSchedule3[[#This Row],[Payment Number]]&lt;&gt;"",SUM(INDEX(PaymentSchedule3[Interest],1,1):PaymentSchedule3[[#This Row],[Interest]]),"")</f>
        <v>338273.02513863851</v>
      </c>
      <c r="L212" s="25">
        <f ca="1">IF(PaymentSchedule3[[#This Row],[Payment Number]]&lt;&gt;"",SUM(INDEX(PaymentSchedule3[Principal],1,1):PaymentSchedule3[[#This Row],[Principal]]),"")</f>
        <v>101941.00335904759</v>
      </c>
    </row>
    <row r="213" spans="2:12" x14ac:dyDescent="0.25">
      <c r="B213" s="23">
        <f ca="1">IF(LoanIsGood,IF(ROW()-ROW(PaymentSchedule3[[#Headers],[Payment Number]])&gt;ScheduledNumberOfPayments,"",ROW()-ROW(PaymentSchedule3[[#Headers],[Payment Number]])),"")</f>
        <v>200</v>
      </c>
      <c r="C213" s="24">
        <f ca="1">IF(PaymentSchedule3[[#This Row],[Payment Number]]&lt;&gt;"",EOMONTH(LoanStartDate,ROW(PaymentSchedule3[[#This Row],[Payment Number]])-ROW(PaymentSchedule3[[#Headers],[Payment Number]])-2)+DAY(LoanStartDate),"")</f>
        <v>51525</v>
      </c>
      <c r="D213" s="25">
        <f ca="1">IF(PaymentSchedule3[[#This Row],[Payment Number]]&lt;&gt;"",IF(ROW()-ROW(PaymentSchedule3[[#Headers],[Beginning
Balance]])=1,LoanAmount,INDEX(PaymentSchedule3[Ending
Balance],ROW()-ROW(PaymentSchedule3[[#Headers],[Beginning
Balance]])-1)),"")</f>
        <v>230558.99664095251</v>
      </c>
      <c r="E213" s="25">
        <f ca="1">IF(PaymentSchedule3[[#This Row],[Payment Number]]&lt;&gt;"",ScheduledPayment,"")</f>
        <v>2212.1307964707844</v>
      </c>
      <c r="F2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3" s="25">
        <f ca="1">IF(PaymentSchedule3[[#This Row],[Payment Number]]&lt;&gt;"",PaymentSchedule3[[#This Row],[Total
Payment]]-PaymentSchedule3[[#This Row],[Interest]],"")</f>
        <v>867.20331606522814</v>
      </c>
      <c r="I213" s="25">
        <f ca="1">IF(PaymentSchedule3[[#This Row],[Payment Number]]&lt;&gt;"",PaymentSchedule3[[#This Row],[Beginning
Balance]]*(InterestRate/PaymentsPerYear),"")</f>
        <v>1344.9274804055563</v>
      </c>
      <c r="J213" s="25">
        <f ca="1">IF(PaymentSchedule3[[#This Row],[Payment Number]]&lt;&gt;"",IF(PaymentSchedule3[[#This Row],[Scheduled Payment]]+PaymentSchedule3[[#This Row],[Extra
Payment]]&lt;=PaymentSchedule3[[#This Row],[Beginning
Balance]],PaymentSchedule3[[#This Row],[Beginning
Balance]]-PaymentSchedule3[[#This Row],[Principal]],0),"")</f>
        <v>229691.79332488729</v>
      </c>
      <c r="K213" s="25">
        <f ca="1">IF(PaymentSchedule3[[#This Row],[Payment Number]]&lt;&gt;"",SUM(INDEX(PaymentSchedule3[Interest],1,1):PaymentSchedule3[[#This Row],[Interest]]),"")</f>
        <v>339617.95261904405</v>
      </c>
      <c r="L213" s="25">
        <f ca="1">IF(PaymentSchedule3[[#This Row],[Payment Number]]&lt;&gt;"",SUM(INDEX(PaymentSchedule3[Principal],1,1):PaymentSchedule3[[#This Row],[Principal]]),"")</f>
        <v>102808.20667511283</v>
      </c>
    </row>
    <row r="214" spans="2:12" x14ac:dyDescent="0.25">
      <c r="B214" s="23">
        <f ca="1">IF(LoanIsGood,IF(ROW()-ROW(PaymentSchedule3[[#Headers],[Payment Number]])&gt;ScheduledNumberOfPayments,"",ROW()-ROW(PaymentSchedule3[[#Headers],[Payment Number]])),"")</f>
        <v>201</v>
      </c>
      <c r="C214" s="24">
        <f ca="1">IF(PaymentSchedule3[[#This Row],[Payment Number]]&lt;&gt;"",EOMONTH(LoanStartDate,ROW(PaymentSchedule3[[#This Row],[Payment Number]])-ROW(PaymentSchedule3[[#Headers],[Payment Number]])-2)+DAY(LoanStartDate),"")</f>
        <v>51556</v>
      </c>
      <c r="D214" s="25">
        <f ca="1">IF(PaymentSchedule3[[#This Row],[Payment Number]]&lt;&gt;"",IF(ROW()-ROW(PaymentSchedule3[[#Headers],[Beginning
Balance]])=1,LoanAmount,INDEX(PaymentSchedule3[Ending
Balance],ROW()-ROW(PaymentSchedule3[[#Headers],[Beginning
Balance]])-1)),"")</f>
        <v>229691.79332488729</v>
      </c>
      <c r="E214" s="25">
        <f ca="1">IF(PaymentSchedule3[[#This Row],[Payment Number]]&lt;&gt;"",ScheduledPayment,"")</f>
        <v>2212.1307964707844</v>
      </c>
      <c r="F2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4" s="25">
        <f ca="1">IF(PaymentSchedule3[[#This Row],[Payment Number]]&lt;&gt;"",PaymentSchedule3[[#This Row],[Total
Payment]]-PaymentSchedule3[[#This Row],[Interest]],"")</f>
        <v>872.26200207560851</v>
      </c>
      <c r="I214" s="25">
        <f ca="1">IF(PaymentSchedule3[[#This Row],[Payment Number]]&lt;&gt;"",PaymentSchedule3[[#This Row],[Beginning
Balance]]*(InterestRate/PaymentsPerYear),"")</f>
        <v>1339.8687943951759</v>
      </c>
      <c r="J214" s="25">
        <f ca="1">IF(PaymentSchedule3[[#This Row],[Payment Number]]&lt;&gt;"",IF(PaymentSchedule3[[#This Row],[Scheduled Payment]]+PaymentSchedule3[[#This Row],[Extra
Payment]]&lt;=PaymentSchedule3[[#This Row],[Beginning
Balance]],PaymentSchedule3[[#This Row],[Beginning
Balance]]-PaymentSchedule3[[#This Row],[Principal]],0),"")</f>
        <v>228819.53132281167</v>
      </c>
      <c r="K214" s="25">
        <f ca="1">IF(PaymentSchedule3[[#This Row],[Payment Number]]&lt;&gt;"",SUM(INDEX(PaymentSchedule3[Interest],1,1):PaymentSchedule3[[#This Row],[Interest]]),"")</f>
        <v>340957.82141343923</v>
      </c>
      <c r="L214" s="25">
        <f ca="1">IF(PaymentSchedule3[[#This Row],[Payment Number]]&lt;&gt;"",SUM(INDEX(PaymentSchedule3[Principal],1,1):PaymentSchedule3[[#This Row],[Principal]]),"")</f>
        <v>103680.46867718844</v>
      </c>
    </row>
    <row r="215" spans="2:12" x14ac:dyDescent="0.25">
      <c r="B215" s="23">
        <f ca="1">IF(LoanIsGood,IF(ROW()-ROW(PaymentSchedule3[[#Headers],[Payment Number]])&gt;ScheduledNumberOfPayments,"",ROW()-ROW(PaymentSchedule3[[#Headers],[Payment Number]])),"")</f>
        <v>202</v>
      </c>
      <c r="C215" s="24">
        <f ca="1">IF(PaymentSchedule3[[#This Row],[Payment Number]]&lt;&gt;"",EOMONTH(LoanStartDate,ROW(PaymentSchedule3[[#This Row],[Payment Number]])-ROW(PaymentSchedule3[[#Headers],[Payment Number]])-2)+DAY(LoanStartDate),"")</f>
        <v>51584</v>
      </c>
      <c r="D215" s="25">
        <f ca="1">IF(PaymentSchedule3[[#This Row],[Payment Number]]&lt;&gt;"",IF(ROW()-ROW(PaymentSchedule3[[#Headers],[Beginning
Balance]])=1,LoanAmount,INDEX(PaymentSchedule3[Ending
Balance],ROW()-ROW(PaymentSchedule3[[#Headers],[Beginning
Balance]])-1)),"")</f>
        <v>228819.53132281167</v>
      </c>
      <c r="E215" s="25">
        <f ca="1">IF(PaymentSchedule3[[#This Row],[Payment Number]]&lt;&gt;"",ScheduledPayment,"")</f>
        <v>2212.1307964707844</v>
      </c>
      <c r="F2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5" s="25">
        <f ca="1">IF(PaymentSchedule3[[#This Row],[Payment Number]]&lt;&gt;"",PaymentSchedule3[[#This Row],[Total
Payment]]-PaymentSchedule3[[#This Row],[Interest]],"")</f>
        <v>877.3501970877162</v>
      </c>
      <c r="I215" s="25">
        <f ca="1">IF(PaymentSchedule3[[#This Row],[Payment Number]]&lt;&gt;"",PaymentSchedule3[[#This Row],[Beginning
Balance]]*(InterestRate/PaymentsPerYear),"")</f>
        <v>1334.7805993830682</v>
      </c>
      <c r="J215" s="25">
        <f ca="1">IF(PaymentSchedule3[[#This Row],[Payment Number]]&lt;&gt;"",IF(PaymentSchedule3[[#This Row],[Scheduled Payment]]+PaymentSchedule3[[#This Row],[Extra
Payment]]&lt;=PaymentSchedule3[[#This Row],[Beginning
Balance]],PaymentSchedule3[[#This Row],[Beginning
Balance]]-PaymentSchedule3[[#This Row],[Principal]],0),"")</f>
        <v>227942.18112572396</v>
      </c>
      <c r="K215" s="25">
        <f ca="1">IF(PaymentSchedule3[[#This Row],[Payment Number]]&lt;&gt;"",SUM(INDEX(PaymentSchedule3[Interest],1,1):PaymentSchedule3[[#This Row],[Interest]]),"")</f>
        <v>342292.60201282229</v>
      </c>
      <c r="L215" s="25">
        <f ca="1">IF(PaymentSchedule3[[#This Row],[Payment Number]]&lt;&gt;"",SUM(INDEX(PaymentSchedule3[Principal],1,1):PaymentSchedule3[[#This Row],[Principal]]),"")</f>
        <v>104557.81887427616</v>
      </c>
    </row>
    <row r="216" spans="2:12" x14ac:dyDescent="0.25">
      <c r="B216" s="23">
        <f ca="1">IF(LoanIsGood,IF(ROW()-ROW(PaymentSchedule3[[#Headers],[Payment Number]])&gt;ScheduledNumberOfPayments,"",ROW()-ROW(PaymentSchedule3[[#Headers],[Payment Number]])),"")</f>
        <v>203</v>
      </c>
      <c r="C216" s="24">
        <f ca="1">IF(PaymentSchedule3[[#This Row],[Payment Number]]&lt;&gt;"",EOMONTH(LoanStartDate,ROW(PaymentSchedule3[[#This Row],[Payment Number]])-ROW(PaymentSchedule3[[#Headers],[Payment Number]])-2)+DAY(LoanStartDate),"")</f>
        <v>51615</v>
      </c>
      <c r="D216" s="25">
        <f ca="1">IF(PaymentSchedule3[[#This Row],[Payment Number]]&lt;&gt;"",IF(ROW()-ROW(PaymentSchedule3[[#Headers],[Beginning
Balance]])=1,LoanAmount,INDEX(PaymentSchedule3[Ending
Balance],ROW()-ROW(PaymentSchedule3[[#Headers],[Beginning
Balance]])-1)),"")</f>
        <v>227942.18112572396</v>
      </c>
      <c r="E216" s="25">
        <f ca="1">IF(PaymentSchedule3[[#This Row],[Payment Number]]&lt;&gt;"",ScheduledPayment,"")</f>
        <v>2212.1307964707844</v>
      </c>
      <c r="F2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6" s="25">
        <f ca="1">IF(PaymentSchedule3[[#This Row],[Payment Number]]&lt;&gt;"",PaymentSchedule3[[#This Row],[Total
Payment]]-PaymentSchedule3[[#This Row],[Interest]],"")</f>
        <v>882.46807323739449</v>
      </c>
      <c r="I216" s="25">
        <f ca="1">IF(PaymentSchedule3[[#This Row],[Payment Number]]&lt;&gt;"",PaymentSchedule3[[#This Row],[Beginning
Balance]]*(InterestRate/PaymentsPerYear),"")</f>
        <v>1329.6627232333899</v>
      </c>
      <c r="J216" s="25">
        <f ca="1">IF(PaymentSchedule3[[#This Row],[Payment Number]]&lt;&gt;"",IF(PaymentSchedule3[[#This Row],[Scheduled Payment]]+PaymentSchedule3[[#This Row],[Extra
Payment]]&lt;=PaymentSchedule3[[#This Row],[Beginning
Balance]],PaymentSchedule3[[#This Row],[Beginning
Balance]]-PaymentSchedule3[[#This Row],[Principal]],0),"")</f>
        <v>227059.71305248656</v>
      </c>
      <c r="K216" s="25">
        <f ca="1">IF(PaymentSchedule3[[#This Row],[Payment Number]]&lt;&gt;"",SUM(INDEX(PaymentSchedule3[Interest],1,1):PaymentSchedule3[[#This Row],[Interest]]),"")</f>
        <v>343622.26473605569</v>
      </c>
      <c r="L216" s="25">
        <f ca="1">IF(PaymentSchedule3[[#This Row],[Payment Number]]&lt;&gt;"",SUM(INDEX(PaymentSchedule3[Principal],1,1):PaymentSchedule3[[#This Row],[Principal]]),"")</f>
        <v>105440.28694751355</v>
      </c>
    </row>
    <row r="217" spans="2:12" x14ac:dyDescent="0.25">
      <c r="B217" s="23">
        <f ca="1">IF(LoanIsGood,IF(ROW()-ROW(PaymentSchedule3[[#Headers],[Payment Number]])&gt;ScheduledNumberOfPayments,"",ROW()-ROW(PaymentSchedule3[[#Headers],[Payment Number]])),"")</f>
        <v>204</v>
      </c>
      <c r="C217" s="24">
        <f ca="1">IF(PaymentSchedule3[[#This Row],[Payment Number]]&lt;&gt;"",EOMONTH(LoanStartDate,ROW(PaymentSchedule3[[#This Row],[Payment Number]])-ROW(PaymentSchedule3[[#Headers],[Payment Number]])-2)+DAY(LoanStartDate),"")</f>
        <v>51645</v>
      </c>
      <c r="D217" s="25">
        <f ca="1">IF(PaymentSchedule3[[#This Row],[Payment Number]]&lt;&gt;"",IF(ROW()-ROW(PaymentSchedule3[[#Headers],[Beginning
Balance]])=1,LoanAmount,INDEX(PaymentSchedule3[Ending
Balance],ROW()-ROW(PaymentSchedule3[[#Headers],[Beginning
Balance]])-1)),"")</f>
        <v>227059.71305248656</v>
      </c>
      <c r="E217" s="25">
        <f ca="1">IF(PaymentSchedule3[[#This Row],[Payment Number]]&lt;&gt;"",ScheduledPayment,"")</f>
        <v>2212.1307964707844</v>
      </c>
      <c r="F2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7" s="25">
        <f ca="1">IF(PaymentSchedule3[[#This Row],[Payment Number]]&lt;&gt;"",PaymentSchedule3[[#This Row],[Total
Payment]]-PaymentSchedule3[[#This Row],[Interest]],"")</f>
        <v>887.61580366461271</v>
      </c>
      <c r="I217" s="25">
        <f ca="1">IF(PaymentSchedule3[[#This Row],[Payment Number]]&lt;&gt;"",PaymentSchedule3[[#This Row],[Beginning
Balance]]*(InterestRate/PaymentsPerYear),"")</f>
        <v>1324.5149928061717</v>
      </c>
      <c r="J217" s="25">
        <f ca="1">IF(PaymentSchedule3[[#This Row],[Payment Number]]&lt;&gt;"",IF(PaymentSchedule3[[#This Row],[Scheduled Payment]]+PaymentSchedule3[[#This Row],[Extra
Payment]]&lt;=PaymentSchedule3[[#This Row],[Beginning
Balance]],PaymentSchedule3[[#This Row],[Beginning
Balance]]-PaymentSchedule3[[#This Row],[Principal]],0),"")</f>
        <v>226172.09724882196</v>
      </c>
      <c r="K217" s="25">
        <f ca="1">IF(PaymentSchedule3[[#This Row],[Payment Number]]&lt;&gt;"",SUM(INDEX(PaymentSchedule3[Interest],1,1):PaymentSchedule3[[#This Row],[Interest]]),"")</f>
        <v>344946.77972886187</v>
      </c>
      <c r="L217" s="25">
        <f ca="1">IF(PaymentSchedule3[[#This Row],[Payment Number]]&lt;&gt;"",SUM(INDEX(PaymentSchedule3[Principal],1,1):PaymentSchedule3[[#This Row],[Principal]]),"")</f>
        <v>106327.90275117816</v>
      </c>
    </row>
    <row r="218" spans="2:12" x14ac:dyDescent="0.25">
      <c r="B218" s="23">
        <f ca="1">IF(LoanIsGood,IF(ROW()-ROW(PaymentSchedule3[[#Headers],[Payment Number]])&gt;ScheduledNumberOfPayments,"",ROW()-ROW(PaymentSchedule3[[#Headers],[Payment Number]])),"")</f>
        <v>205</v>
      </c>
      <c r="C218" s="24">
        <f ca="1">IF(PaymentSchedule3[[#This Row],[Payment Number]]&lt;&gt;"",EOMONTH(LoanStartDate,ROW(PaymentSchedule3[[#This Row],[Payment Number]])-ROW(PaymentSchedule3[[#Headers],[Payment Number]])-2)+DAY(LoanStartDate),"")</f>
        <v>51676</v>
      </c>
      <c r="D218" s="25">
        <f ca="1">IF(PaymentSchedule3[[#This Row],[Payment Number]]&lt;&gt;"",IF(ROW()-ROW(PaymentSchedule3[[#Headers],[Beginning
Balance]])=1,LoanAmount,INDEX(PaymentSchedule3[Ending
Balance],ROW()-ROW(PaymentSchedule3[[#Headers],[Beginning
Balance]])-1)),"")</f>
        <v>226172.09724882196</v>
      </c>
      <c r="E218" s="25">
        <f ca="1">IF(PaymentSchedule3[[#This Row],[Payment Number]]&lt;&gt;"",ScheduledPayment,"")</f>
        <v>2212.1307964707844</v>
      </c>
      <c r="F2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8" s="25">
        <f ca="1">IF(PaymentSchedule3[[#This Row],[Payment Number]]&lt;&gt;"",PaymentSchedule3[[#This Row],[Total
Payment]]-PaymentSchedule3[[#This Row],[Interest]],"")</f>
        <v>892.7935625193229</v>
      </c>
      <c r="I218" s="25">
        <f ca="1">IF(PaymentSchedule3[[#This Row],[Payment Number]]&lt;&gt;"",PaymentSchedule3[[#This Row],[Beginning
Balance]]*(InterestRate/PaymentsPerYear),"")</f>
        <v>1319.3372339514615</v>
      </c>
      <c r="J218" s="25">
        <f ca="1">IF(PaymentSchedule3[[#This Row],[Payment Number]]&lt;&gt;"",IF(PaymentSchedule3[[#This Row],[Scheduled Payment]]+PaymentSchedule3[[#This Row],[Extra
Payment]]&lt;=PaymentSchedule3[[#This Row],[Beginning
Balance]],PaymentSchedule3[[#This Row],[Beginning
Balance]]-PaymentSchedule3[[#This Row],[Principal]],0),"")</f>
        <v>225279.30368630262</v>
      </c>
      <c r="K218" s="25">
        <f ca="1">IF(PaymentSchedule3[[#This Row],[Payment Number]]&lt;&gt;"",SUM(INDEX(PaymentSchedule3[Interest],1,1):PaymentSchedule3[[#This Row],[Interest]]),"")</f>
        <v>346266.11696281336</v>
      </c>
      <c r="L218" s="25">
        <f ca="1">IF(PaymentSchedule3[[#This Row],[Payment Number]]&lt;&gt;"",SUM(INDEX(PaymentSchedule3[Principal],1,1):PaymentSchedule3[[#This Row],[Principal]]),"")</f>
        <v>107220.69631369748</v>
      </c>
    </row>
    <row r="219" spans="2:12" x14ac:dyDescent="0.25">
      <c r="B219" s="23">
        <f ca="1">IF(LoanIsGood,IF(ROW()-ROW(PaymentSchedule3[[#Headers],[Payment Number]])&gt;ScheduledNumberOfPayments,"",ROW()-ROW(PaymentSchedule3[[#Headers],[Payment Number]])),"")</f>
        <v>206</v>
      </c>
      <c r="C219" s="24">
        <f ca="1">IF(PaymentSchedule3[[#This Row],[Payment Number]]&lt;&gt;"",EOMONTH(LoanStartDate,ROW(PaymentSchedule3[[#This Row],[Payment Number]])-ROW(PaymentSchedule3[[#Headers],[Payment Number]])-2)+DAY(LoanStartDate),"")</f>
        <v>51706</v>
      </c>
      <c r="D219" s="25">
        <f ca="1">IF(PaymentSchedule3[[#This Row],[Payment Number]]&lt;&gt;"",IF(ROW()-ROW(PaymentSchedule3[[#Headers],[Beginning
Balance]])=1,LoanAmount,INDEX(PaymentSchedule3[Ending
Balance],ROW()-ROW(PaymentSchedule3[[#Headers],[Beginning
Balance]])-1)),"")</f>
        <v>225279.30368630262</v>
      </c>
      <c r="E219" s="25">
        <f ca="1">IF(PaymentSchedule3[[#This Row],[Payment Number]]&lt;&gt;"",ScheduledPayment,"")</f>
        <v>2212.1307964707844</v>
      </c>
      <c r="F2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19" s="25">
        <f ca="1">IF(PaymentSchedule3[[#This Row],[Payment Number]]&lt;&gt;"",PaymentSchedule3[[#This Row],[Total
Payment]]-PaymentSchedule3[[#This Row],[Interest]],"")</f>
        <v>898.00152496735245</v>
      </c>
      <c r="I219" s="25">
        <f ca="1">IF(PaymentSchedule3[[#This Row],[Payment Number]]&lt;&gt;"",PaymentSchedule3[[#This Row],[Beginning
Balance]]*(InterestRate/PaymentsPerYear),"")</f>
        <v>1314.1292715034319</v>
      </c>
      <c r="J219" s="25">
        <f ca="1">IF(PaymentSchedule3[[#This Row],[Payment Number]]&lt;&gt;"",IF(PaymentSchedule3[[#This Row],[Scheduled Payment]]+PaymentSchedule3[[#This Row],[Extra
Payment]]&lt;=PaymentSchedule3[[#This Row],[Beginning
Balance]],PaymentSchedule3[[#This Row],[Beginning
Balance]]-PaymentSchedule3[[#This Row],[Principal]],0),"")</f>
        <v>224381.30216133528</v>
      </c>
      <c r="K219" s="25">
        <f ca="1">IF(PaymentSchedule3[[#This Row],[Payment Number]]&lt;&gt;"",SUM(INDEX(PaymentSchedule3[Interest],1,1):PaymentSchedule3[[#This Row],[Interest]]),"")</f>
        <v>347580.24623431679</v>
      </c>
      <c r="L219" s="25">
        <f ca="1">IF(PaymentSchedule3[[#This Row],[Payment Number]]&lt;&gt;"",SUM(INDEX(PaymentSchedule3[Principal],1,1):PaymentSchedule3[[#This Row],[Principal]]),"")</f>
        <v>108118.69783866484</v>
      </c>
    </row>
    <row r="220" spans="2:12" x14ac:dyDescent="0.25">
      <c r="B220" s="23">
        <f ca="1">IF(LoanIsGood,IF(ROW()-ROW(PaymentSchedule3[[#Headers],[Payment Number]])&gt;ScheduledNumberOfPayments,"",ROW()-ROW(PaymentSchedule3[[#Headers],[Payment Number]])),"")</f>
        <v>207</v>
      </c>
      <c r="C220" s="24">
        <f ca="1">IF(PaymentSchedule3[[#This Row],[Payment Number]]&lt;&gt;"",EOMONTH(LoanStartDate,ROW(PaymentSchedule3[[#This Row],[Payment Number]])-ROW(PaymentSchedule3[[#Headers],[Payment Number]])-2)+DAY(LoanStartDate),"")</f>
        <v>51737</v>
      </c>
      <c r="D220" s="25">
        <f ca="1">IF(PaymentSchedule3[[#This Row],[Payment Number]]&lt;&gt;"",IF(ROW()-ROW(PaymentSchedule3[[#Headers],[Beginning
Balance]])=1,LoanAmount,INDEX(PaymentSchedule3[Ending
Balance],ROW()-ROW(PaymentSchedule3[[#Headers],[Beginning
Balance]])-1)),"")</f>
        <v>224381.30216133528</v>
      </c>
      <c r="E220" s="25">
        <f ca="1">IF(PaymentSchedule3[[#This Row],[Payment Number]]&lt;&gt;"",ScheduledPayment,"")</f>
        <v>2212.1307964707844</v>
      </c>
      <c r="F2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0" s="25">
        <f ca="1">IF(PaymentSchedule3[[#This Row],[Payment Number]]&lt;&gt;"",PaymentSchedule3[[#This Row],[Total
Payment]]-PaymentSchedule3[[#This Row],[Interest]],"")</f>
        <v>903.23986719632853</v>
      </c>
      <c r="I220" s="25">
        <f ca="1">IF(PaymentSchedule3[[#This Row],[Payment Number]]&lt;&gt;"",PaymentSchedule3[[#This Row],[Beginning
Balance]]*(InterestRate/PaymentsPerYear),"")</f>
        <v>1308.8909292744559</v>
      </c>
      <c r="J220" s="25">
        <f ca="1">IF(PaymentSchedule3[[#This Row],[Payment Number]]&lt;&gt;"",IF(PaymentSchedule3[[#This Row],[Scheduled Payment]]+PaymentSchedule3[[#This Row],[Extra
Payment]]&lt;=PaymentSchedule3[[#This Row],[Beginning
Balance]],PaymentSchedule3[[#This Row],[Beginning
Balance]]-PaymentSchedule3[[#This Row],[Principal]],0),"")</f>
        <v>223478.06229413894</v>
      </c>
      <c r="K220" s="25">
        <f ca="1">IF(PaymentSchedule3[[#This Row],[Payment Number]]&lt;&gt;"",SUM(INDEX(PaymentSchedule3[Interest],1,1):PaymentSchedule3[[#This Row],[Interest]]),"")</f>
        <v>348889.13716359122</v>
      </c>
      <c r="L220" s="25">
        <f ca="1">IF(PaymentSchedule3[[#This Row],[Payment Number]]&lt;&gt;"",SUM(INDEX(PaymentSchedule3[Principal],1,1):PaymentSchedule3[[#This Row],[Principal]]),"")</f>
        <v>109021.93770586117</v>
      </c>
    </row>
    <row r="221" spans="2:12" x14ac:dyDescent="0.25">
      <c r="B221" s="23">
        <f ca="1">IF(LoanIsGood,IF(ROW()-ROW(PaymentSchedule3[[#Headers],[Payment Number]])&gt;ScheduledNumberOfPayments,"",ROW()-ROW(PaymentSchedule3[[#Headers],[Payment Number]])),"")</f>
        <v>208</v>
      </c>
      <c r="C221" s="24">
        <f ca="1">IF(PaymentSchedule3[[#This Row],[Payment Number]]&lt;&gt;"",EOMONTH(LoanStartDate,ROW(PaymentSchedule3[[#This Row],[Payment Number]])-ROW(PaymentSchedule3[[#Headers],[Payment Number]])-2)+DAY(LoanStartDate),"")</f>
        <v>51768</v>
      </c>
      <c r="D221" s="25">
        <f ca="1">IF(PaymentSchedule3[[#This Row],[Payment Number]]&lt;&gt;"",IF(ROW()-ROW(PaymentSchedule3[[#Headers],[Beginning
Balance]])=1,LoanAmount,INDEX(PaymentSchedule3[Ending
Balance],ROW()-ROW(PaymentSchedule3[[#Headers],[Beginning
Balance]])-1)),"")</f>
        <v>223478.06229413894</v>
      </c>
      <c r="E221" s="25">
        <f ca="1">IF(PaymentSchedule3[[#This Row],[Payment Number]]&lt;&gt;"",ScheduledPayment,"")</f>
        <v>2212.1307964707844</v>
      </c>
      <c r="F2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1" s="25">
        <f ca="1">IF(PaymentSchedule3[[#This Row],[Payment Number]]&lt;&gt;"",PaymentSchedule3[[#This Row],[Total
Payment]]-PaymentSchedule3[[#This Row],[Interest]],"")</f>
        <v>908.50876642164053</v>
      </c>
      <c r="I221" s="25">
        <f ca="1">IF(PaymentSchedule3[[#This Row],[Payment Number]]&lt;&gt;"",PaymentSchedule3[[#This Row],[Beginning
Balance]]*(InterestRate/PaymentsPerYear),"")</f>
        <v>1303.6220300491439</v>
      </c>
      <c r="J221" s="25">
        <f ca="1">IF(PaymentSchedule3[[#This Row],[Payment Number]]&lt;&gt;"",IF(PaymentSchedule3[[#This Row],[Scheduled Payment]]+PaymentSchedule3[[#This Row],[Extra
Payment]]&lt;=PaymentSchedule3[[#This Row],[Beginning
Balance]],PaymentSchedule3[[#This Row],[Beginning
Balance]]-PaymentSchedule3[[#This Row],[Principal]],0),"")</f>
        <v>222569.5535277173</v>
      </c>
      <c r="K221" s="25">
        <f ca="1">IF(PaymentSchedule3[[#This Row],[Payment Number]]&lt;&gt;"",SUM(INDEX(PaymentSchedule3[Interest],1,1):PaymentSchedule3[[#This Row],[Interest]]),"")</f>
        <v>350192.75919364038</v>
      </c>
      <c r="L221" s="25">
        <f ca="1">IF(PaymentSchedule3[[#This Row],[Payment Number]]&lt;&gt;"",SUM(INDEX(PaymentSchedule3[Principal],1,1):PaymentSchedule3[[#This Row],[Principal]]),"")</f>
        <v>109930.44647228281</v>
      </c>
    </row>
    <row r="222" spans="2:12" x14ac:dyDescent="0.25">
      <c r="B222" s="23">
        <f ca="1">IF(LoanIsGood,IF(ROW()-ROW(PaymentSchedule3[[#Headers],[Payment Number]])&gt;ScheduledNumberOfPayments,"",ROW()-ROW(PaymentSchedule3[[#Headers],[Payment Number]])),"")</f>
        <v>209</v>
      </c>
      <c r="C222" s="24">
        <f ca="1">IF(PaymentSchedule3[[#This Row],[Payment Number]]&lt;&gt;"",EOMONTH(LoanStartDate,ROW(PaymentSchedule3[[#This Row],[Payment Number]])-ROW(PaymentSchedule3[[#Headers],[Payment Number]])-2)+DAY(LoanStartDate),"")</f>
        <v>51798</v>
      </c>
      <c r="D222" s="25">
        <f ca="1">IF(PaymentSchedule3[[#This Row],[Payment Number]]&lt;&gt;"",IF(ROW()-ROW(PaymentSchedule3[[#Headers],[Beginning
Balance]])=1,LoanAmount,INDEX(PaymentSchedule3[Ending
Balance],ROW()-ROW(PaymentSchedule3[[#Headers],[Beginning
Balance]])-1)),"")</f>
        <v>222569.5535277173</v>
      </c>
      <c r="E222" s="25">
        <f ca="1">IF(PaymentSchedule3[[#This Row],[Payment Number]]&lt;&gt;"",ScheduledPayment,"")</f>
        <v>2212.1307964707844</v>
      </c>
      <c r="F2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2" s="25">
        <f ca="1">IF(PaymentSchedule3[[#This Row],[Payment Number]]&lt;&gt;"",PaymentSchedule3[[#This Row],[Total
Payment]]-PaymentSchedule3[[#This Row],[Interest]],"")</f>
        <v>913.80840089243338</v>
      </c>
      <c r="I222" s="25">
        <f ca="1">IF(PaymentSchedule3[[#This Row],[Payment Number]]&lt;&gt;"",PaymentSchedule3[[#This Row],[Beginning
Balance]]*(InterestRate/PaymentsPerYear),"")</f>
        <v>1298.322395578351</v>
      </c>
      <c r="J222" s="25">
        <f ca="1">IF(PaymentSchedule3[[#This Row],[Payment Number]]&lt;&gt;"",IF(PaymentSchedule3[[#This Row],[Scheduled Payment]]+PaymentSchedule3[[#This Row],[Extra
Payment]]&lt;=PaymentSchedule3[[#This Row],[Beginning
Balance]],PaymentSchedule3[[#This Row],[Beginning
Balance]]-PaymentSchedule3[[#This Row],[Principal]],0),"")</f>
        <v>221655.74512682488</v>
      </c>
      <c r="K222" s="25">
        <f ca="1">IF(PaymentSchedule3[[#This Row],[Payment Number]]&lt;&gt;"",SUM(INDEX(PaymentSchedule3[Interest],1,1):PaymentSchedule3[[#This Row],[Interest]]),"")</f>
        <v>351491.08158921875</v>
      </c>
      <c r="L222" s="25">
        <f ca="1">IF(PaymentSchedule3[[#This Row],[Payment Number]]&lt;&gt;"",SUM(INDEX(PaymentSchedule3[Principal],1,1):PaymentSchedule3[[#This Row],[Principal]]),"")</f>
        <v>110844.25487317525</v>
      </c>
    </row>
    <row r="223" spans="2:12" x14ac:dyDescent="0.25">
      <c r="B223" s="23">
        <f ca="1">IF(LoanIsGood,IF(ROW()-ROW(PaymentSchedule3[[#Headers],[Payment Number]])&gt;ScheduledNumberOfPayments,"",ROW()-ROW(PaymentSchedule3[[#Headers],[Payment Number]])),"")</f>
        <v>210</v>
      </c>
      <c r="C223" s="24">
        <f ca="1">IF(PaymentSchedule3[[#This Row],[Payment Number]]&lt;&gt;"",EOMONTH(LoanStartDate,ROW(PaymentSchedule3[[#This Row],[Payment Number]])-ROW(PaymentSchedule3[[#Headers],[Payment Number]])-2)+DAY(LoanStartDate),"")</f>
        <v>51829</v>
      </c>
      <c r="D223" s="25">
        <f ca="1">IF(PaymentSchedule3[[#This Row],[Payment Number]]&lt;&gt;"",IF(ROW()-ROW(PaymentSchedule3[[#Headers],[Beginning
Balance]])=1,LoanAmount,INDEX(PaymentSchedule3[Ending
Balance],ROW()-ROW(PaymentSchedule3[[#Headers],[Beginning
Balance]])-1)),"")</f>
        <v>221655.74512682488</v>
      </c>
      <c r="E223" s="25">
        <f ca="1">IF(PaymentSchedule3[[#This Row],[Payment Number]]&lt;&gt;"",ScheduledPayment,"")</f>
        <v>2212.1307964707844</v>
      </c>
      <c r="F2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3" s="25">
        <f ca="1">IF(PaymentSchedule3[[#This Row],[Payment Number]]&lt;&gt;"",PaymentSchedule3[[#This Row],[Total
Payment]]-PaymentSchedule3[[#This Row],[Interest]],"")</f>
        <v>919.13894989763912</v>
      </c>
      <c r="I223" s="25">
        <f ca="1">IF(PaymentSchedule3[[#This Row],[Payment Number]]&lt;&gt;"",PaymentSchedule3[[#This Row],[Beginning
Balance]]*(InterestRate/PaymentsPerYear),"")</f>
        <v>1292.9918465731453</v>
      </c>
      <c r="J223" s="25">
        <f ca="1">IF(PaymentSchedule3[[#This Row],[Payment Number]]&lt;&gt;"",IF(PaymentSchedule3[[#This Row],[Scheduled Payment]]+PaymentSchedule3[[#This Row],[Extra
Payment]]&lt;=PaymentSchedule3[[#This Row],[Beginning
Balance]],PaymentSchedule3[[#This Row],[Beginning
Balance]]-PaymentSchedule3[[#This Row],[Principal]],0),"")</f>
        <v>220736.60617692725</v>
      </c>
      <c r="K223" s="25">
        <f ca="1">IF(PaymentSchedule3[[#This Row],[Payment Number]]&lt;&gt;"",SUM(INDEX(PaymentSchedule3[Interest],1,1):PaymentSchedule3[[#This Row],[Interest]]),"")</f>
        <v>352784.07343579188</v>
      </c>
      <c r="L223" s="25">
        <f ca="1">IF(PaymentSchedule3[[#This Row],[Payment Number]]&lt;&gt;"",SUM(INDEX(PaymentSchedule3[Principal],1,1):PaymentSchedule3[[#This Row],[Principal]]),"")</f>
        <v>111763.39382307288</v>
      </c>
    </row>
    <row r="224" spans="2:12" x14ac:dyDescent="0.25">
      <c r="B224" s="23">
        <f ca="1">IF(LoanIsGood,IF(ROW()-ROW(PaymentSchedule3[[#Headers],[Payment Number]])&gt;ScheduledNumberOfPayments,"",ROW()-ROW(PaymentSchedule3[[#Headers],[Payment Number]])),"")</f>
        <v>211</v>
      </c>
      <c r="C224" s="24">
        <f ca="1">IF(PaymentSchedule3[[#This Row],[Payment Number]]&lt;&gt;"",EOMONTH(LoanStartDate,ROW(PaymentSchedule3[[#This Row],[Payment Number]])-ROW(PaymentSchedule3[[#Headers],[Payment Number]])-2)+DAY(LoanStartDate),"")</f>
        <v>51859</v>
      </c>
      <c r="D224" s="25">
        <f ca="1">IF(PaymentSchedule3[[#This Row],[Payment Number]]&lt;&gt;"",IF(ROW()-ROW(PaymentSchedule3[[#Headers],[Beginning
Balance]])=1,LoanAmount,INDEX(PaymentSchedule3[Ending
Balance],ROW()-ROW(PaymentSchedule3[[#Headers],[Beginning
Balance]])-1)),"")</f>
        <v>220736.60617692725</v>
      </c>
      <c r="E224" s="25">
        <f ca="1">IF(PaymentSchedule3[[#This Row],[Payment Number]]&lt;&gt;"",ScheduledPayment,"")</f>
        <v>2212.1307964707844</v>
      </c>
      <c r="F2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4" s="25">
        <f ca="1">IF(PaymentSchedule3[[#This Row],[Payment Number]]&lt;&gt;"",PaymentSchedule3[[#This Row],[Total
Payment]]-PaymentSchedule3[[#This Row],[Interest]],"")</f>
        <v>924.50059377204207</v>
      </c>
      <c r="I224" s="25">
        <f ca="1">IF(PaymentSchedule3[[#This Row],[Payment Number]]&lt;&gt;"",PaymentSchedule3[[#This Row],[Beginning
Balance]]*(InterestRate/PaymentsPerYear),"")</f>
        <v>1287.6302026987423</v>
      </c>
      <c r="J224" s="25">
        <f ca="1">IF(PaymentSchedule3[[#This Row],[Payment Number]]&lt;&gt;"",IF(PaymentSchedule3[[#This Row],[Scheduled Payment]]+PaymentSchedule3[[#This Row],[Extra
Payment]]&lt;=PaymentSchedule3[[#This Row],[Beginning
Balance]],PaymentSchedule3[[#This Row],[Beginning
Balance]]-PaymentSchedule3[[#This Row],[Principal]],0),"")</f>
        <v>219812.10558315521</v>
      </c>
      <c r="K224" s="25">
        <f ca="1">IF(PaymentSchedule3[[#This Row],[Payment Number]]&lt;&gt;"",SUM(INDEX(PaymentSchedule3[Interest],1,1):PaymentSchedule3[[#This Row],[Interest]]),"")</f>
        <v>354071.70363849064</v>
      </c>
      <c r="L224" s="25">
        <f ca="1">IF(PaymentSchedule3[[#This Row],[Payment Number]]&lt;&gt;"",SUM(INDEX(PaymentSchedule3[Principal],1,1):PaymentSchedule3[[#This Row],[Principal]]),"")</f>
        <v>112687.89441684492</v>
      </c>
    </row>
    <row r="225" spans="2:12" x14ac:dyDescent="0.25">
      <c r="B225" s="23">
        <f ca="1">IF(LoanIsGood,IF(ROW()-ROW(PaymentSchedule3[[#Headers],[Payment Number]])&gt;ScheduledNumberOfPayments,"",ROW()-ROW(PaymentSchedule3[[#Headers],[Payment Number]])),"")</f>
        <v>212</v>
      </c>
      <c r="C225" s="24">
        <f ca="1">IF(PaymentSchedule3[[#This Row],[Payment Number]]&lt;&gt;"",EOMONTH(LoanStartDate,ROW(PaymentSchedule3[[#This Row],[Payment Number]])-ROW(PaymentSchedule3[[#Headers],[Payment Number]])-2)+DAY(LoanStartDate),"")</f>
        <v>51890</v>
      </c>
      <c r="D225" s="25">
        <f ca="1">IF(PaymentSchedule3[[#This Row],[Payment Number]]&lt;&gt;"",IF(ROW()-ROW(PaymentSchedule3[[#Headers],[Beginning
Balance]])=1,LoanAmount,INDEX(PaymentSchedule3[Ending
Balance],ROW()-ROW(PaymentSchedule3[[#Headers],[Beginning
Balance]])-1)),"")</f>
        <v>219812.10558315521</v>
      </c>
      <c r="E225" s="25">
        <f ca="1">IF(PaymentSchedule3[[#This Row],[Payment Number]]&lt;&gt;"",ScheduledPayment,"")</f>
        <v>2212.1307964707844</v>
      </c>
      <c r="F2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5" s="25">
        <f ca="1">IF(PaymentSchedule3[[#This Row],[Payment Number]]&lt;&gt;"",PaymentSchedule3[[#This Row],[Total
Payment]]-PaymentSchedule3[[#This Row],[Interest]],"")</f>
        <v>929.89351390237903</v>
      </c>
      <c r="I225" s="25">
        <f ca="1">IF(PaymentSchedule3[[#This Row],[Payment Number]]&lt;&gt;"",PaymentSchedule3[[#This Row],[Beginning
Balance]]*(InterestRate/PaymentsPerYear),"")</f>
        <v>1282.2372825684054</v>
      </c>
      <c r="J225" s="25">
        <f ca="1">IF(PaymentSchedule3[[#This Row],[Payment Number]]&lt;&gt;"",IF(PaymentSchedule3[[#This Row],[Scheduled Payment]]+PaymentSchedule3[[#This Row],[Extra
Payment]]&lt;=PaymentSchedule3[[#This Row],[Beginning
Balance]],PaymentSchedule3[[#This Row],[Beginning
Balance]]-PaymentSchedule3[[#This Row],[Principal]],0),"")</f>
        <v>218882.21206925283</v>
      </c>
      <c r="K225" s="25">
        <f ca="1">IF(PaymentSchedule3[[#This Row],[Payment Number]]&lt;&gt;"",SUM(INDEX(PaymentSchedule3[Interest],1,1):PaymentSchedule3[[#This Row],[Interest]]),"")</f>
        <v>355353.94092105905</v>
      </c>
      <c r="L225" s="25">
        <f ca="1">IF(PaymentSchedule3[[#This Row],[Payment Number]]&lt;&gt;"",SUM(INDEX(PaymentSchedule3[Principal],1,1):PaymentSchedule3[[#This Row],[Principal]]),"")</f>
        <v>113617.7879307473</v>
      </c>
    </row>
    <row r="226" spans="2:12" x14ac:dyDescent="0.25">
      <c r="B226" s="23">
        <f ca="1">IF(LoanIsGood,IF(ROW()-ROW(PaymentSchedule3[[#Headers],[Payment Number]])&gt;ScheduledNumberOfPayments,"",ROW()-ROW(PaymentSchedule3[[#Headers],[Payment Number]])),"")</f>
        <v>213</v>
      </c>
      <c r="C226" s="24">
        <f ca="1">IF(PaymentSchedule3[[#This Row],[Payment Number]]&lt;&gt;"",EOMONTH(LoanStartDate,ROW(PaymentSchedule3[[#This Row],[Payment Number]])-ROW(PaymentSchedule3[[#Headers],[Payment Number]])-2)+DAY(LoanStartDate),"")</f>
        <v>51921</v>
      </c>
      <c r="D226" s="25">
        <f ca="1">IF(PaymentSchedule3[[#This Row],[Payment Number]]&lt;&gt;"",IF(ROW()-ROW(PaymentSchedule3[[#Headers],[Beginning
Balance]])=1,LoanAmount,INDEX(PaymentSchedule3[Ending
Balance],ROW()-ROW(PaymentSchedule3[[#Headers],[Beginning
Balance]])-1)),"")</f>
        <v>218882.21206925283</v>
      </c>
      <c r="E226" s="25">
        <f ca="1">IF(PaymentSchedule3[[#This Row],[Payment Number]]&lt;&gt;"",ScheduledPayment,"")</f>
        <v>2212.1307964707844</v>
      </c>
      <c r="F2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6" s="25">
        <f ca="1">IF(PaymentSchedule3[[#This Row],[Payment Number]]&lt;&gt;"",PaymentSchedule3[[#This Row],[Total
Payment]]-PaymentSchedule3[[#This Row],[Interest]],"")</f>
        <v>935.31789273347613</v>
      </c>
      <c r="I226" s="25">
        <f ca="1">IF(PaymentSchedule3[[#This Row],[Payment Number]]&lt;&gt;"",PaymentSchedule3[[#This Row],[Beginning
Balance]]*(InterestRate/PaymentsPerYear),"")</f>
        <v>1276.8129037373083</v>
      </c>
      <c r="J226" s="25">
        <f ca="1">IF(PaymentSchedule3[[#This Row],[Payment Number]]&lt;&gt;"",IF(PaymentSchedule3[[#This Row],[Scheduled Payment]]+PaymentSchedule3[[#This Row],[Extra
Payment]]&lt;=PaymentSchedule3[[#This Row],[Beginning
Balance]],PaymentSchedule3[[#This Row],[Beginning
Balance]]-PaymentSchedule3[[#This Row],[Principal]],0),"")</f>
        <v>217946.89417651936</v>
      </c>
      <c r="K226" s="25">
        <f ca="1">IF(PaymentSchedule3[[#This Row],[Payment Number]]&lt;&gt;"",SUM(INDEX(PaymentSchedule3[Interest],1,1):PaymentSchedule3[[#This Row],[Interest]]),"")</f>
        <v>356630.75382479635</v>
      </c>
      <c r="L226" s="25">
        <f ca="1">IF(PaymentSchedule3[[#This Row],[Payment Number]]&lt;&gt;"",SUM(INDEX(PaymentSchedule3[Principal],1,1):PaymentSchedule3[[#This Row],[Principal]]),"")</f>
        <v>114553.10582348079</v>
      </c>
    </row>
    <row r="227" spans="2:12" x14ac:dyDescent="0.25">
      <c r="B227" s="23">
        <f ca="1">IF(LoanIsGood,IF(ROW()-ROW(PaymentSchedule3[[#Headers],[Payment Number]])&gt;ScheduledNumberOfPayments,"",ROW()-ROW(PaymentSchedule3[[#Headers],[Payment Number]])),"")</f>
        <v>214</v>
      </c>
      <c r="C227" s="24">
        <f ca="1">IF(PaymentSchedule3[[#This Row],[Payment Number]]&lt;&gt;"",EOMONTH(LoanStartDate,ROW(PaymentSchedule3[[#This Row],[Payment Number]])-ROW(PaymentSchedule3[[#Headers],[Payment Number]])-2)+DAY(LoanStartDate),"")</f>
        <v>51949</v>
      </c>
      <c r="D227" s="25">
        <f ca="1">IF(PaymentSchedule3[[#This Row],[Payment Number]]&lt;&gt;"",IF(ROW()-ROW(PaymentSchedule3[[#Headers],[Beginning
Balance]])=1,LoanAmount,INDEX(PaymentSchedule3[Ending
Balance],ROW()-ROW(PaymentSchedule3[[#Headers],[Beginning
Balance]])-1)),"")</f>
        <v>217946.89417651936</v>
      </c>
      <c r="E227" s="25">
        <f ca="1">IF(PaymentSchedule3[[#This Row],[Payment Number]]&lt;&gt;"",ScheduledPayment,"")</f>
        <v>2212.1307964707844</v>
      </c>
      <c r="F2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7" s="25">
        <f ca="1">IF(PaymentSchedule3[[#This Row],[Payment Number]]&lt;&gt;"",PaymentSchedule3[[#This Row],[Total
Payment]]-PaymentSchedule3[[#This Row],[Interest]],"")</f>
        <v>940.77391377442132</v>
      </c>
      <c r="I227" s="25">
        <f ca="1">IF(PaymentSchedule3[[#This Row],[Payment Number]]&lt;&gt;"",PaymentSchedule3[[#This Row],[Beginning
Balance]]*(InterestRate/PaymentsPerYear),"")</f>
        <v>1271.3568826963631</v>
      </c>
      <c r="J227" s="25">
        <f ca="1">IF(PaymentSchedule3[[#This Row],[Payment Number]]&lt;&gt;"",IF(PaymentSchedule3[[#This Row],[Scheduled Payment]]+PaymentSchedule3[[#This Row],[Extra
Payment]]&lt;=PaymentSchedule3[[#This Row],[Beginning
Balance]],PaymentSchedule3[[#This Row],[Beginning
Balance]]-PaymentSchedule3[[#This Row],[Principal]],0),"")</f>
        <v>217006.12026274492</v>
      </c>
      <c r="K227" s="25">
        <f ca="1">IF(PaymentSchedule3[[#This Row],[Payment Number]]&lt;&gt;"",SUM(INDEX(PaymentSchedule3[Interest],1,1):PaymentSchedule3[[#This Row],[Interest]]),"")</f>
        <v>357902.11070749274</v>
      </c>
      <c r="L227" s="25">
        <f ca="1">IF(PaymentSchedule3[[#This Row],[Payment Number]]&lt;&gt;"",SUM(INDEX(PaymentSchedule3[Principal],1,1):PaymentSchedule3[[#This Row],[Principal]]),"")</f>
        <v>115493.87973725521</v>
      </c>
    </row>
    <row r="228" spans="2:12" x14ac:dyDescent="0.25">
      <c r="B228" s="23">
        <f ca="1">IF(LoanIsGood,IF(ROW()-ROW(PaymentSchedule3[[#Headers],[Payment Number]])&gt;ScheduledNumberOfPayments,"",ROW()-ROW(PaymentSchedule3[[#Headers],[Payment Number]])),"")</f>
        <v>215</v>
      </c>
      <c r="C228" s="24">
        <f ca="1">IF(PaymentSchedule3[[#This Row],[Payment Number]]&lt;&gt;"",EOMONTH(LoanStartDate,ROW(PaymentSchedule3[[#This Row],[Payment Number]])-ROW(PaymentSchedule3[[#Headers],[Payment Number]])-2)+DAY(LoanStartDate),"")</f>
        <v>51980</v>
      </c>
      <c r="D228" s="25">
        <f ca="1">IF(PaymentSchedule3[[#This Row],[Payment Number]]&lt;&gt;"",IF(ROW()-ROW(PaymentSchedule3[[#Headers],[Beginning
Balance]])=1,LoanAmount,INDEX(PaymentSchedule3[Ending
Balance],ROW()-ROW(PaymentSchedule3[[#Headers],[Beginning
Balance]])-1)),"")</f>
        <v>217006.12026274492</v>
      </c>
      <c r="E228" s="25">
        <f ca="1">IF(PaymentSchedule3[[#This Row],[Payment Number]]&lt;&gt;"",ScheduledPayment,"")</f>
        <v>2212.1307964707844</v>
      </c>
      <c r="F2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8" s="25">
        <f ca="1">IF(PaymentSchedule3[[#This Row],[Payment Number]]&lt;&gt;"",PaymentSchedule3[[#This Row],[Total
Payment]]-PaymentSchedule3[[#This Row],[Interest]],"")</f>
        <v>946.26176160477235</v>
      </c>
      <c r="I228" s="25">
        <f ca="1">IF(PaymentSchedule3[[#This Row],[Payment Number]]&lt;&gt;"",PaymentSchedule3[[#This Row],[Beginning
Balance]]*(InterestRate/PaymentsPerYear),"")</f>
        <v>1265.869034866012</v>
      </c>
      <c r="J228" s="25">
        <f ca="1">IF(PaymentSchedule3[[#This Row],[Payment Number]]&lt;&gt;"",IF(PaymentSchedule3[[#This Row],[Scheduled Payment]]+PaymentSchedule3[[#This Row],[Extra
Payment]]&lt;=PaymentSchedule3[[#This Row],[Beginning
Balance]],PaymentSchedule3[[#This Row],[Beginning
Balance]]-PaymentSchedule3[[#This Row],[Principal]],0),"")</f>
        <v>216059.85850114014</v>
      </c>
      <c r="K228" s="25">
        <f ca="1">IF(PaymentSchedule3[[#This Row],[Payment Number]]&lt;&gt;"",SUM(INDEX(PaymentSchedule3[Interest],1,1):PaymentSchedule3[[#This Row],[Interest]]),"")</f>
        <v>359167.97974235873</v>
      </c>
      <c r="L228" s="25">
        <f ca="1">IF(PaymentSchedule3[[#This Row],[Payment Number]]&lt;&gt;"",SUM(INDEX(PaymentSchedule3[Principal],1,1):PaymentSchedule3[[#This Row],[Principal]]),"")</f>
        <v>116440.14149885999</v>
      </c>
    </row>
    <row r="229" spans="2:12" x14ac:dyDescent="0.25">
      <c r="B229" s="23">
        <f ca="1">IF(LoanIsGood,IF(ROW()-ROW(PaymentSchedule3[[#Headers],[Payment Number]])&gt;ScheduledNumberOfPayments,"",ROW()-ROW(PaymentSchedule3[[#Headers],[Payment Number]])),"")</f>
        <v>216</v>
      </c>
      <c r="C229" s="24">
        <f ca="1">IF(PaymentSchedule3[[#This Row],[Payment Number]]&lt;&gt;"",EOMONTH(LoanStartDate,ROW(PaymentSchedule3[[#This Row],[Payment Number]])-ROW(PaymentSchedule3[[#Headers],[Payment Number]])-2)+DAY(LoanStartDate),"")</f>
        <v>52010</v>
      </c>
      <c r="D229" s="25">
        <f ca="1">IF(PaymentSchedule3[[#This Row],[Payment Number]]&lt;&gt;"",IF(ROW()-ROW(PaymentSchedule3[[#Headers],[Beginning
Balance]])=1,LoanAmount,INDEX(PaymentSchedule3[Ending
Balance],ROW()-ROW(PaymentSchedule3[[#Headers],[Beginning
Balance]])-1)),"")</f>
        <v>216059.85850114014</v>
      </c>
      <c r="E229" s="25">
        <f ca="1">IF(PaymentSchedule3[[#This Row],[Payment Number]]&lt;&gt;"",ScheduledPayment,"")</f>
        <v>2212.1307964707844</v>
      </c>
      <c r="F2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29" s="25">
        <f ca="1">IF(PaymentSchedule3[[#This Row],[Payment Number]]&lt;&gt;"",PaymentSchedule3[[#This Row],[Total
Payment]]-PaymentSchedule3[[#This Row],[Interest]],"")</f>
        <v>951.78162188080023</v>
      </c>
      <c r="I229" s="25">
        <f ca="1">IF(PaymentSchedule3[[#This Row],[Payment Number]]&lt;&gt;"",PaymentSchedule3[[#This Row],[Beginning
Balance]]*(InterestRate/PaymentsPerYear),"")</f>
        <v>1260.3491745899842</v>
      </c>
      <c r="J229" s="25">
        <f ca="1">IF(PaymentSchedule3[[#This Row],[Payment Number]]&lt;&gt;"",IF(PaymentSchedule3[[#This Row],[Scheduled Payment]]+PaymentSchedule3[[#This Row],[Extra
Payment]]&lt;=PaymentSchedule3[[#This Row],[Beginning
Balance]],PaymentSchedule3[[#This Row],[Beginning
Balance]]-PaymentSchedule3[[#This Row],[Principal]],0),"")</f>
        <v>215108.07687925934</v>
      </c>
      <c r="K229" s="25">
        <f ca="1">IF(PaymentSchedule3[[#This Row],[Payment Number]]&lt;&gt;"",SUM(INDEX(PaymentSchedule3[Interest],1,1):PaymentSchedule3[[#This Row],[Interest]]),"")</f>
        <v>360428.3289169487</v>
      </c>
      <c r="L229" s="25">
        <f ca="1">IF(PaymentSchedule3[[#This Row],[Payment Number]]&lt;&gt;"",SUM(INDEX(PaymentSchedule3[Principal],1,1):PaymentSchedule3[[#This Row],[Principal]]),"")</f>
        <v>117391.92312074079</v>
      </c>
    </row>
    <row r="230" spans="2:12" x14ac:dyDescent="0.25">
      <c r="B230" s="23">
        <f ca="1">IF(LoanIsGood,IF(ROW()-ROW(PaymentSchedule3[[#Headers],[Payment Number]])&gt;ScheduledNumberOfPayments,"",ROW()-ROW(PaymentSchedule3[[#Headers],[Payment Number]])),"")</f>
        <v>217</v>
      </c>
      <c r="C230" s="24">
        <f ca="1">IF(PaymentSchedule3[[#This Row],[Payment Number]]&lt;&gt;"",EOMONTH(LoanStartDate,ROW(PaymentSchedule3[[#This Row],[Payment Number]])-ROW(PaymentSchedule3[[#Headers],[Payment Number]])-2)+DAY(LoanStartDate),"")</f>
        <v>52041</v>
      </c>
      <c r="D230" s="25">
        <f ca="1">IF(PaymentSchedule3[[#This Row],[Payment Number]]&lt;&gt;"",IF(ROW()-ROW(PaymentSchedule3[[#Headers],[Beginning
Balance]])=1,LoanAmount,INDEX(PaymentSchedule3[Ending
Balance],ROW()-ROW(PaymentSchedule3[[#Headers],[Beginning
Balance]])-1)),"")</f>
        <v>215108.07687925934</v>
      </c>
      <c r="E230" s="25">
        <f ca="1">IF(PaymentSchedule3[[#This Row],[Payment Number]]&lt;&gt;"",ScheduledPayment,"")</f>
        <v>2212.1307964707844</v>
      </c>
      <c r="F2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0" s="25">
        <f ca="1">IF(PaymentSchedule3[[#This Row],[Payment Number]]&lt;&gt;"",PaymentSchedule3[[#This Row],[Total
Payment]]-PaymentSchedule3[[#This Row],[Interest]],"")</f>
        <v>957.33368134177158</v>
      </c>
      <c r="I230" s="25">
        <f ca="1">IF(PaymentSchedule3[[#This Row],[Payment Number]]&lt;&gt;"",PaymentSchedule3[[#This Row],[Beginning
Balance]]*(InterestRate/PaymentsPerYear),"")</f>
        <v>1254.7971151290128</v>
      </c>
      <c r="J230" s="25">
        <f ca="1">IF(PaymentSchedule3[[#This Row],[Payment Number]]&lt;&gt;"",IF(PaymentSchedule3[[#This Row],[Scheduled Payment]]+PaymentSchedule3[[#This Row],[Extra
Payment]]&lt;=PaymentSchedule3[[#This Row],[Beginning
Balance]],PaymentSchedule3[[#This Row],[Beginning
Balance]]-PaymentSchedule3[[#This Row],[Principal]],0),"")</f>
        <v>214150.74319791756</v>
      </c>
      <c r="K230" s="25">
        <f ca="1">IF(PaymentSchedule3[[#This Row],[Payment Number]]&lt;&gt;"",SUM(INDEX(PaymentSchedule3[Interest],1,1):PaymentSchedule3[[#This Row],[Interest]]),"")</f>
        <v>361683.12603207771</v>
      </c>
      <c r="L230" s="25">
        <f ca="1">IF(PaymentSchedule3[[#This Row],[Payment Number]]&lt;&gt;"",SUM(INDEX(PaymentSchedule3[Principal],1,1):PaymentSchedule3[[#This Row],[Principal]]),"")</f>
        <v>118349.25680208256</v>
      </c>
    </row>
    <row r="231" spans="2:12" x14ac:dyDescent="0.25">
      <c r="B231" s="23">
        <f ca="1">IF(LoanIsGood,IF(ROW()-ROW(PaymentSchedule3[[#Headers],[Payment Number]])&gt;ScheduledNumberOfPayments,"",ROW()-ROW(PaymentSchedule3[[#Headers],[Payment Number]])),"")</f>
        <v>218</v>
      </c>
      <c r="C231" s="24">
        <f ca="1">IF(PaymentSchedule3[[#This Row],[Payment Number]]&lt;&gt;"",EOMONTH(LoanStartDate,ROW(PaymentSchedule3[[#This Row],[Payment Number]])-ROW(PaymentSchedule3[[#Headers],[Payment Number]])-2)+DAY(LoanStartDate),"")</f>
        <v>52071</v>
      </c>
      <c r="D231" s="25">
        <f ca="1">IF(PaymentSchedule3[[#This Row],[Payment Number]]&lt;&gt;"",IF(ROW()-ROW(PaymentSchedule3[[#Headers],[Beginning
Balance]])=1,LoanAmount,INDEX(PaymentSchedule3[Ending
Balance],ROW()-ROW(PaymentSchedule3[[#Headers],[Beginning
Balance]])-1)),"")</f>
        <v>214150.74319791756</v>
      </c>
      <c r="E231" s="25">
        <f ca="1">IF(PaymentSchedule3[[#This Row],[Payment Number]]&lt;&gt;"",ScheduledPayment,"")</f>
        <v>2212.1307964707844</v>
      </c>
      <c r="F2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1" s="25">
        <f ca="1">IF(PaymentSchedule3[[#This Row],[Payment Number]]&lt;&gt;"",PaymentSchedule3[[#This Row],[Total
Payment]]-PaymentSchedule3[[#This Row],[Interest]],"")</f>
        <v>962.91812781626527</v>
      </c>
      <c r="I231" s="25">
        <f ca="1">IF(PaymentSchedule3[[#This Row],[Payment Number]]&lt;&gt;"",PaymentSchedule3[[#This Row],[Beginning
Balance]]*(InterestRate/PaymentsPerYear),"")</f>
        <v>1249.2126686545191</v>
      </c>
      <c r="J231" s="25">
        <f ca="1">IF(PaymentSchedule3[[#This Row],[Payment Number]]&lt;&gt;"",IF(PaymentSchedule3[[#This Row],[Scheduled Payment]]+PaymentSchedule3[[#This Row],[Extra
Payment]]&lt;=PaymentSchedule3[[#This Row],[Beginning
Balance]],PaymentSchedule3[[#This Row],[Beginning
Balance]]-PaymentSchedule3[[#This Row],[Principal]],0),"")</f>
        <v>213187.8250701013</v>
      </c>
      <c r="K231" s="25">
        <f ca="1">IF(PaymentSchedule3[[#This Row],[Payment Number]]&lt;&gt;"",SUM(INDEX(PaymentSchedule3[Interest],1,1):PaymentSchedule3[[#This Row],[Interest]]),"")</f>
        <v>362932.33870073222</v>
      </c>
      <c r="L231" s="25">
        <f ca="1">IF(PaymentSchedule3[[#This Row],[Payment Number]]&lt;&gt;"",SUM(INDEX(PaymentSchedule3[Principal],1,1):PaymentSchedule3[[#This Row],[Principal]]),"")</f>
        <v>119312.17492989883</v>
      </c>
    </row>
    <row r="232" spans="2:12" x14ac:dyDescent="0.25">
      <c r="B232" s="23">
        <f ca="1">IF(LoanIsGood,IF(ROW()-ROW(PaymentSchedule3[[#Headers],[Payment Number]])&gt;ScheduledNumberOfPayments,"",ROW()-ROW(PaymentSchedule3[[#Headers],[Payment Number]])),"")</f>
        <v>219</v>
      </c>
      <c r="C232" s="24">
        <f ca="1">IF(PaymentSchedule3[[#This Row],[Payment Number]]&lt;&gt;"",EOMONTH(LoanStartDate,ROW(PaymentSchedule3[[#This Row],[Payment Number]])-ROW(PaymentSchedule3[[#Headers],[Payment Number]])-2)+DAY(LoanStartDate),"")</f>
        <v>52102</v>
      </c>
      <c r="D232" s="25">
        <f ca="1">IF(PaymentSchedule3[[#This Row],[Payment Number]]&lt;&gt;"",IF(ROW()-ROW(PaymentSchedule3[[#Headers],[Beginning
Balance]])=1,LoanAmount,INDEX(PaymentSchedule3[Ending
Balance],ROW()-ROW(PaymentSchedule3[[#Headers],[Beginning
Balance]])-1)),"")</f>
        <v>213187.8250701013</v>
      </c>
      <c r="E232" s="25">
        <f ca="1">IF(PaymentSchedule3[[#This Row],[Payment Number]]&lt;&gt;"",ScheduledPayment,"")</f>
        <v>2212.1307964707844</v>
      </c>
      <c r="F2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2" s="25">
        <f ca="1">IF(PaymentSchedule3[[#This Row],[Payment Number]]&lt;&gt;"",PaymentSchedule3[[#This Row],[Total
Payment]]-PaymentSchedule3[[#This Row],[Interest]],"")</f>
        <v>968.53515022852685</v>
      </c>
      <c r="I232" s="25">
        <f ca="1">IF(PaymentSchedule3[[#This Row],[Payment Number]]&lt;&gt;"",PaymentSchedule3[[#This Row],[Beginning
Balance]]*(InterestRate/PaymentsPerYear),"")</f>
        <v>1243.5956462422575</v>
      </c>
      <c r="J232" s="25">
        <f ca="1">IF(PaymentSchedule3[[#This Row],[Payment Number]]&lt;&gt;"",IF(PaymentSchedule3[[#This Row],[Scheduled Payment]]+PaymentSchedule3[[#This Row],[Extra
Payment]]&lt;=PaymentSchedule3[[#This Row],[Beginning
Balance]],PaymentSchedule3[[#This Row],[Beginning
Balance]]-PaymentSchedule3[[#This Row],[Principal]],0),"")</f>
        <v>212219.28991987277</v>
      </c>
      <c r="K232" s="25">
        <f ca="1">IF(PaymentSchedule3[[#This Row],[Payment Number]]&lt;&gt;"",SUM(INDEX(PaymentSchedule3[Interest],1,1):PaymentSchedule3[[#This Row],[Interest]]),"")</f>
        <v>364175.93434697448</v>
      </c>
      <c r="L232" s="25">
        <f ca="1">IF(PaymentSchedule3[[#This Row],[Payment Number]]&lt;&gt;"",SUM(INDEX(PaymentSchedule3[Principal],1,1):PaymentSchedule3[[#This Row],[Principal]]),"")</f>
        <v>120280.71008012736</v>
      </c>
    </row>
    <row r="233" spans="2:12" x14ac:dyDescent="0.25">
      <c r="B233" s="23">
        <f ca="1">IF(LoanIsGood,IF(ROW()-ROW(PaymentSchedule3[[#Headers],[Payment Number]])&gt;ScheduledNumberOfPayments,"",ROW()-ROW(PaymentSchedule3[[#Headers],[Payment Number]])),"")</f>
        <v>220</v>
      </c>
      <c r="C233" s="24">
        <f ca="1">IF(PaymentSchedule3[[#This Row],[Payment Number]]&lt;&gt;"",EOMONTH(LoanStartDate,ROW(PaymentSchedule3[[#This Row],[Payment Number]])-ROW(PaymentSchedule3[[#Headers],[Payment Number]])-2)+DAY(LoanStartDate),"")</f>
        <v>52133</v>
      </c>
      <c r="D233" s="25">
        <f ca="1">IF(PaymentSchedule3[[#This Row],[Payment Number]]&lt;&gt;"",IF(ROW()-ROW(PaymentSchedule3[[#Headers],[Beginning
Balance]])=1,LoanAmount,INDEX(PaymentSchedule3[Ending
Balance],ROW()-ROW(PaymentSchedule3[[#Headers],[Beginning
Balance]])-1)),"")</f>
        <v>212219.28991987277</v>
      </c>
      <c r="E233" s="25">
        <f ca="1">IF(PaymentSchedule3[[#This Row],[Payment Number]]&lt;&gt;"",ScheduledPayment,"")</f>
        <v>2212.1307964707844</v>
      </c>
      <c r="F2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3" s="25">
        <f ca="1">IF(PaymentSchedule3[[#This Row],[Payment Number]]&lt;&gt;"",PaymentSchedule3[[#This Row],[Total
Payment]]-PaymentSchedule3[[#This Row],[Interest]],"")</f>
        <v>974.18493860485978</v>
      </c>
      <c r="I233" s="25">
        <f ca="1">IF(PaymentSchedule3[[#This Row],[Payment Number]]&lt;&gt;"",PaymentSchedule3[[#This Row],[Beginning
Balance]]*(InterestRate/PaymentsPerYear),"")</f>
        <v>1237.9458578659246</v>
      </c>
      <c r="J233" s="25">
        <f ca="1">IF(PaymentSchedule3[[#This Row],[Payment Number]]&lt;&gt;"",IF(PaymentSchedule3[[#This Row],[Scheduled Payment]]+PaymentSchedule3[[#This Row],[Extra
Payment]]&lt;=PaymentSchedule3[[#This Row],[Beginning
Balance]],PaymentSchedule3[[#This Row],[Beginning
Balance]]-PaymentSchedule3[[#This Row],[Principal]],0),"")</f>
        <v>211245.10498126791</v>
      </c>
      <c r="K233" s="25">
        <f ca="1">IF(PaymentSchedule3[[#This Row],[Payment Number]]&lt;&gt;"",SUM(INDEX(PaymentSchedule3[Interest],1,1):PaymentSchedule3[[#This Row],[Interest]]),"")</f>
        <v>365413.88020484039</v>
      </c>
      <c r="L233" s="25">
        <f ca="1">IF(PaymentSchedule3[[#This Row],[Payment Number]]&lt;&gt;"",SUM(INDEX(PaymentSchedule3[Principal],1,1):PaymentSchedule3[[#This Row],[Principal]]),"")</f>
        <v>121254.89501873222</v>
      </c>
    </row>
    <row r="234" spans="2:12" x14ac:dyDescent="0.25">
      <c r="B234" s="23">
        <f ca="1">IF(LoanIsGood,IF(ROW()-ROW(PaymentSchedule3[[#Headers],[Payment Number]])&gt;ScheduledNumberOfPayments,"",ROW()-ROW(PaymentSchedule3[[#Headers],[Payment Number]])),"")</f>
        <v>221</v>
      </c>
      <c r="C234" s="24">
        <f ca="1">IF(PaymentSchedule3[[#This Row],[Payment Number]]&lt;&gt;"",EOMONTH(LoanStartDate,ROW(PaymentSchedule3[[#This Row],[Payment Number]])-ROW(PaymentSchedule3[[#Headers],[Payment Number]])-2)+DAY(LoanStartDate),"")</f>
        <v>52163</v>
      </c>
      <c r="D234" s="25">
        <f ca="1">IF(PaymentSchedule3[[#This Row],[Payment Number]]&lt;&gt;"",IF(ROW()-ROW(PaymentSchedule3[[#Headers],[Beginning
Balance]])=1,LoanAmount,INDEX(PaymentSchedule3[Ending
Balance],ROW()-ROW(PaymentSchedule3[[#Headers],[Beginning
Balance]])-1)),"")</f>
        <v>211245.10498126791</v>
      </c>
      <c r="E234" s="25">
        <f ca="1">IF(PaymentSchedule3[[#This Row],[Payment Number]]&lt;&gt;"",ScheduledPayment,"")</f>
        <v>2212.1307964707844</v>
      </c>
      <c r="F2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4" s="25">
        <f ca="1">IF(PaymentSchedule3[[#This Row],[Payment Number]]&lt;&gt;"",PaymentSchedule3[[#This Row],[Total
Payment]]-PaymentSchedule3[[#This Row],[Interest]],"")</f>
        <v>979.86768408005491</v>
      </c>
      <c r="I234" s="25">
        <f ca="1">IF(PaymentSchedule3[[#This Row],[Payment Number]]&lt;&gt;"",PaymentSchedule3[[#This Row],[Beginning
Balance]]*(InterestRate/PaymentsPerYear),"")</f>
        <v>1232.2631123907295</v>
      </c>
      <c r="J234" s="25">
        <f ca="1">IF(PaymentSchedule3[[#This Row],[Payment Number]]&lt;&gt;"",IF(PaymentSchedule3[[#This Row],[Scheduled Payment]]+PaymentSchedule3[[#This Row],[Extra
Payment]]&lt;=PaymentSchedule3[[#This Row],[Beginning
Balance]],PaymentSchedule3[[#This Row],[Beginning
Balance]]-PaymentSchedule3[[#This Row],[Principal]],0),"")</f>
        <v>210265.23729718785</v>
      </c>
      <c r="K234" s="25">
        <f ca="1">IF(PaymentSchedule3[[#This Row],[Payment Number]]&lt;&gt;"",SUM(INDEX(PaymentSchedule3[Interest],1,1):PaymentSchedule3[[#This Row],[Interest]]),"")</f>
        <v>366646.14331723109</v>
      </c>
      <c r="L234" s="25">
        <f ca="1">IF(PaymentSchedule3[[#This Row],[Payment Number]]&lt;&gt;"",SUM(INDEX(PaymentSchedule3[Principal],1,1):PaymentSchedule3[[#This Row],[Principal]]),"")</f>
        <v>122234.76270281228</v>
      </c>
    </row>
    <row r="235" spans="2:12" x14ac:dyDescent="0.25">
      <c r="B235" s="23">
        <f ca="1">IF(LoanIsGood,IF(ROW()-ROW(PaymentSchedule3[[#Headers],[Payment Number]])&gt;ScheduledNumberOfPayments,"",ROW()-ROW(PaymentSchedule3[[#Headers],[Payment Number]])),"")</f>
        <v>222</v>
      </c>
      <c r="C235" s="24">
        <f ca="1">IF(PaymentSchedule3[[#This Row],[Payment Number]]&lt;&gt;"",EOMONTH(LoanStartDate,ROW(PaymentSchedule3[[#This Row],[Payment Number]])-ROW(PaymentSchedule3[[#Headers],[Payment Number]])-2)+DAY(LoanStartDate),"")</f>
        <v>52194</v>
      </c>
      <c r="D235" s="25">
        <f ca="1">IF(PaymentSchedule3[[#This Row],[Payment Number]]&lt;&gt;"",IF(ROW()-ROW(PaymentSchedule3[[#Headers],[Beginning
Balance]])=1,LoanAmount,INDEX(PaymentSchedule3[Ending
Balance],ROW()-ROW(PaymentSchedule3[[#Headers],[Beginning
Balance]])-1)),"")</f>
        <v>210265.23729718785</v>
      </c>
      <c r="E235" s="25">
        <f ca="1">IF(PaymentSchedule3[[#This Row],[Payment Number]]&lt;&gt;"",ScheduledPayment,"")</f>
        <v>2212.1307964707844</v>
      </c>
      <c r="F2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5" s="25">
        <f ca="1">IF(PaymentSchedule3[[#This Row],[Payment Number]]&lt;&gt;"",PaymentSchedule3[[#This Row],[Total
Payment]]-PaymentSchedule3[[#This Row],[Interest]],"")</f>
        <v>985.58357890385514</v>
      </c>
      <c r="I235" s="25">
        <f ca="1">IF(PaymentSchedule3[[#This Row],[Payment Number]]&lt;&gt;"",PaymentSchedule3[[#This Row],[Beginning
Balance]]*(InterestRate/PaymentsPerYear),"")</f>
        <v>1226.5472175669292</v>
      </c>
      <c r="J235" s="25">
        <f ca="1">IF(PaymentSchedule3[[#This Row],[Payment Number]]&lt;&gt;"",IF(PaymentSchedule3[[#This Row],[Scheduled Payment]]+PaymentSchedule3[[#This Row],[Extra
Payment]]&lt;=PaymentSchedule3[[#This Row],[Beginning
Balance]],PaymentSchedule3[[#This Row],[Beginning
Balance]]-PaymentSchedule3[[#This Row],[Principal]],0),"")</f>
        <v>209279.65371828398</v>
      </c>
      <c r="K235" s="25">
        <f ca="1">IF(PaymentSchedule3[[#This Row],[Payment Number]]&lt;&gt;"",SUM(INDEX(PaymentSchedule3[Interest],1,1):PaymentSchedule3[[#This Row],[Interest]]),"")</f>
        <v>367872.69053479802</v>
      </c>
      <c r="L235" s="25">
        <f ca="1">IF(PaymentSchedule3[[#This Row],[Payment Number]]&lt;&gt;"",SUM(INDEX(PaymentSchedule3[Principal],1,1):PaymentSchedule3[[#This Row],[Principal]]),"")</f>
        <v>123220.34628171613</v>
      </c>
    </row>
    <row r="236" spans="2:12" x14ac:dyDescent="0.25">
      <c r="B236" s="23">
        <f ca="1">IF(LoanIsGood,IF(ROW()-ROW(PaymentSchedule3[[#Headers],[Payment Number]])&gt;ScheduledNumberOfPayments,"",ROW()-ROW(PaymentSchedule3[[#Headers],[Payment Number]])),"")</f>
        <v>223</v>
      </c>
      <c r="C236" s="24">
        <f ca="1">IF(PaymentSchedule3[[#This Row],[Payment Number]]&lt;&gt;"",EOMONTH(LoanStartDate,ROW(PaymentSchedule3[[#This Row],[Payment Number]])-ROW(PaymentSchedule3[[#Headers],[Payment Number]])-2)+DAY(LoanStartDate),"")</f>
        <v>52224</v>
      </c>
      <c r="D236" s="25">
        <f ca="1">IF(PaymentSchedule3[[#This Row],[Payment Number]]&lt;&gt;"",IF(ROW()-ROW(PaymentSchedule3[[#Headers],[Beginning
Balance]])=1,LoanAmount,INDEX(PaymentSchedule3[Ending
Balance],ROW()-ROW(PaymentSchedule3[[#Headers],[Beginning
Balance]])-1)),"")</f>
        <v>209279.65371828398</v>
      </c>
      <c r="E236" s="25">
        <f ca="1">IF(PaymentSchedule3[[#This Row],[Payment Number]]&lt;&gt;"",ScheduledPayment,"")</f>
        <v>2212.1307964707844</v>
      </c>
      <c r="F2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6" s="25">
        <f ca="1">IF(PaymentSchedule3[[#This Row],[Payment Number]]&lt;&gt;"",PaymentSchedule3[[#This Row],[Total
Payment]]-PaymentSchedule3[[#This Row],[Interest]],"")</f>
        <v>991.33281644746103</v>
      </c>
      <c r="I236" s="25">
        <f ca="1">IF(PaymentSchedule3[[#This Row],[Payment Number]]&lt;&gt;"",PaymentSchedule3[[#This Row],[Beginning
Balance]]*(InterestRate/PaymentsPerYear),"")</f>
        <v>1220.7979800233234</v>
      </c>
      <c r="J236" s="25">
        <f ca="1">IF(PaymentSchedule3[[#This Row],[Payment Number]]&lt;&gt;"",IF(PaymentSchedule3[[#This Row],[Scheduled Payment]]+PaymentSchedule3[[#This Row],[Extra
Payment]]&lt;=PaymentSchedule3[[#This Row],[Beginning
Balance]],PaymentSchedule3[[#This Row],[Beginning
Balance]]-PaymentSchedule3[[#This Row],[Principal]],0),"")</f>
        <v>208288.32090183653</v>
      </c>
      <c r="K236" s="25">
        <f ca="1">IF(PaymentSchedule3[[#This Row],[Payment Number]]&lt;&gt;"",SUM(INDEX(PaymentSchedule3[Interest],1,1):PaymentSchedule3[[#This Row],[Interest]]),"")</f>
        <v>369093.48851482134</v>
      </c>
      <c r="L236" s="25">
        <f ca="1">IF(PaymentSchedule3[[#This Row],[Payment Number]]&lt;&gt;"",SUM(INDEX(PaymentSchedule3[Principal],1,1):PaymentSchedule3[[#This Row],[Principal]]),"")</f>
        <v>124211.6790981636</v>
      </c>
    </row>
    <row r="237" spans="2:12" x14ac:dyDescent="0.25">
      <c r="B237" s="23">
        <f ca="1">IF(LoanIsGood,IF(ROW()-ROW(PaymentSchedule3[[#Headers],[Payment Number]])&gt;ScheduledNumberOfPayments,"",ROW()-ROW(PaymentSchedule3[[#Headers],[Payment Number]])),"")</f>
        <v>224</v>
      </c>
      <c r="C237" s="24">
        <f ca="1">IF(PaymentSchedule3[[#This Row],[Payment Number]]&lt;&gt;"",EOMONTH(LoanStartDate,ROW(PaymentSchedule3[[#This Row],[Payment Number]])-ROW(PaymentSchedule3[[#Headers],[Payment Number]])-2)+DAY(LoanStartDate),"")</f>
        <v>52255</v>
      </c>
      <c r="D237" s="25">
        <f ca="1">IF(PaymentSchedule3[[#This Row],[Payment Number]]&lt;&gt;"",IF(ROW()-ROW(PaymentSchedule3[[#Headers],[Beginning
Balance]])=1,LoanAmount,INDEX(PaymentSchedule3[Ending
Balance],ROW()-ROW(PaymentSchedule3[[#Headers],[Beginning
Balance]])-1)),"")</f>
        <v>208288.32090183653</v>
      </c>
      <c r="E237" s="25">
        <f ca="1">IF(PaymentSchedule3[[#This Row],[Payment Number]]&lt;&gt;"",ScheduledPayment,"")</f>
        <v>2212.1307964707844</v>
      </c>
      <c r="F2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7" s="25">
        <f ca="1">IF(PaymentSchedule3[[#This Row],[Payment Number]]&lt;&gt;"",PaymentSchedule3[[#This Row],[Total
Payment]]-PaymentSchedule3[[#This Row],[Interest]],"")</f>
        <v>997.11559121007122</v>
      </c>
      <c r="I237" s="25">
        <f ca="1">IF(PaymentSchedule3[[#This Row],[Payment Number]]&lt;&gt;"",PaymentSchedule3[[#This Row],[Beginning
Balance]]*(InterestRate/PaymentsPerYear),"")</f>
        <v>1215.0152052607132</v>
      </c>
      <c r="J237" s="25">
        <f ca="1">IF(PaymentSchedule3[[#This Row],[Payment Number]]&lt;&gt;"",IF(PaymentSchedule3[[#This Row],[Scheduled Payment]]+PaymentSchedule3[[#This Row],[Extra
Payment]]&lt;=PaymentSchedule3[[#This Row],[Beginning
Balance]],PaymentSchedule3[[#This Row],[Beginning
Balance]]-PaymentSchedule3[[#This Row],[Principal]],0),"")</f>
        <v>207291.20531062645</v>
      </c>
      <c r="K237" s="25">
        <f ca="1">IF(PaymentSchedule3[[#This Row],[Payment Number]]&lt;&gt;"",SUM(INDEX(PaymentSchedule3[Interest],1,1):PaymentSchedule3[[#This Row],[Interest]]),"")</f>
        <v>370308.50372008205</v>
      </c>
      <c r="L237" s="25">
        <f ca="1">IF(PaymentSchedule3[[#This Row],[Payment Number]]&lt;&gt;"",SUM(INDEX(PaymentSchedule3[Principal],1,1):PaymentSchedule3[[#This Row],[Principal]]),"")</f>
        <v>125208.79468937367</v>
      </c>
    </row>
    <row r="238" spans="2:12" x14ac:dyDescent="0.25">
      <c r="B238" s="23">
        <f ca="1">IF(LoanIsGood,IF(ROW()-ROW(PaymentSchedule3[[#Headers],[Payment Number]])&gt;ScheduledNumberOfPayments,"",ROW()-ROW(PaymentSchedule3[[#Headers],[Payment Number]])),"")</f>
        <v>225</v>
      </c>
      <c r="C238" s="24">
        <f ca="1">IF(PaymentSchedule3[[#This Row],[Payment Number]]&lt;&gt;"",EOMONTH(LoanStartDate,ROW(PaymentSchedule3[[#This Row],[Payment Number]])-ROW(PaymentSchedule3[[#Headers],[Payment Number]])-2)+DAY(LoanStartDate),"")</f>
        <v>52286</v>
      </c>
      <c r="D238" s="25">
        <f ca="1">IF(PaymentSchedule3[[#This Row],[Payment Number]]&lt;&gt;"",IF(ROW()-ROW(PaymentSchedule3[[#Headers],[Beginning
Balance]])=1,LoanAmount,INDEX(PaymentSchedule3[Ending
Balance],ROW()-ROW(PaymentSchedule3[[#Headers],[Beginning
Balance]])-1)),"")</f>
        <v>207291.20531062645</v>
      </c>
      <c r="E238" s="25">
        <f ca="1">IF(PaymentSchedule3[[#This Row],[Payment Number]]&lt;&gt;"",ScheduledPayment,"")</f>
        <v>2212.1307964707844</v>
      </c>
      <c r="F2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8" s="25">
        <f ca="1">IF(PaymentSchedule3[[#This Row],[Payment Number]]&lt;&gt;"",PaymentSchedule3[[#This Row],[Total
Payment]]-PaymentSchedule3[[#This Row],[Interest]],"")</f>
        <v>1002.9320988254633</v>
      </c>
      <c r="I238" s="25">
        <f ca="1">IF(PaymentSchedule3[[#This Row],[Payment Number]]&lt;&gt;"",PaymentSchedule3[[#This Row],[Beginning
Balance]]*(InterestRate/PaymentsPerYear),"")</f>
        <v>1209.1986976453211</v>
      </c>
      <c r="J238" s="25">
        <f ca="1">IF(PaymentSchedule3[[#This Row],[Payment Number]]&lt;&gt;"",IF(PaymentSchedule3[[#This Row],[Scheduled Payment]]+PaymentSchedule3[[#This Row],[Extra
Payment]]&lt;=PaymentSchedule3[[#This Row],[Beginning
Balance]],PaymentSchedule3[[#This Row],[Beginning
Balance]]-PaymentSchedule3[[#This Row],[Principal]],0),"")</f>
        <v>206288.27321180099</v>
      </c>
      <c r="K238" s="25">
        <f ca="1">IF(PaymentSchedule3[[#This Row],[Payment Number]]&lt;&gt;"",SUM(INDEX(PaymentSchedule3[Interest],1,1):PaymentSchedule3[[#This Row],[Interest]]),"")</f>
        <v>371517.70241772739</v>
      </c>
      <c r="L238" s="25">
        <f ca="1">IF(PaymentSchedule3[[#This Row],[Payment Number]]&lt;&gt;"",SUM(INDEX(PaymentSchedule3[Principal],1,1):PaymentSchedule3[[#This Row],[Principal]]),"")</f>
        <v>126211.72678819913</v>
      </c>
    </row>
    <row r="239" spans="2:12" x14ac:dyDescent="0.25">
      <c r="B239" s="23">
        <f ca="1">IF(LoanIsGood,IF(ROW()-ROW(PaymentSchedule3[[#Headers],[Payment Number]])&gt;ScheduledNumberOfPayments,"",ROW()-ROW(PaymentSchedule3[[#Headers],[Payment Number]])),"")</f>
        <v>226</v>
      </c>
      <c r="C239" s="24">
        <f ca="1">IF(PaymentSchedule3[[#This Row],[Payment Number]]&lt;&gt;"",EOMONTH(LoanStartDate,ROW(PaymentSchedule3[[#This Row],[Payment Number]])-ROW(PaymentSchedule3[[#Headers],[Payment Number]])-2)+DAY(LoanStartDate),"")</f>
        <v>52314</v>
      </c>
      <c r="D239" s="25">
        <f ca="1">IF(PaymentSchedule3[[#This Row],[Payment Number]]&lt;&gt;"",IF(ROW()-ROW(PaymentSchedule3[[#Headers],[Beginning
Balance]])=1,LoanAmount,INDEX(PaymentSchedule3[Ending
Balance],ROW()-ROW(PaymentSchedule3[[#Headers],[Beginning
Balance]])-1)),"")</f>
        <v>206288.27321180099</v>
      </c>
      <c r="E239" s="25">
        <f ca="1">IF(PaymentSchedule3[[#This Row],[Payment Number]]&lt;&gt;"",ScheduledPayment,"")</f>
        <v>2212.1307964707844</v>
      </c>
      <c r="F2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39" s="25">
        <f ca="1">IF(PaymentSchedule3[[#This Row],[Payment Number]]&lt;&gt;"",PaymentSchedule3[[#This Row],[Total
Payment]]-PaymentSchedule3[[#This Row],[Interest]],"")</f>
        <v>1008.782536068612</v>
      </c>
      <c r="I239" s="25">
        <f ca="1">IF(PaymentSchedule3[[#This Row],[Payment Number]]&lt;&gt;"",PaymentSchedule3[[#This Row],[Beginning
Balance]]*(InterestRate/PaymentsPerYear),"")</f>
        <v>1203.3482604021724</v>
      </c>
      <c r="J239" s="25">
        <f ca="1">IF(PaymentSchedule3[[#This Row],[Payment Number]]&lt;&gt;"",IF(PaymentSchedule3[[#This Row],[Scheduled Payment]]+PaymentSchedule3[[#This Row],[Extra
Payment]]&lt;=PaymentSchedule3[[#This Row],[Beginning
Balance]],PaymentSchedule3[[#This Row],[Beginning
Balance]]-PaymentSchedule3[[#This Row],[Principal]],0),"")</f>
        <v>205279.49067573238</v>
      </c>
      <c r="K239" s="25">
        <f ca="1">IF(PaymentSchedule3[[#This Row],[Payment Number]]&lt;&gt;"",SUM(INDEX(PaymentSchedule3[Interest],1,1):PaymentSchedule3[[#This Row],[Interest]]),"")</f>
        <v>372721.05067812954</v>
      </c>
      <c r="L239" s="25">
        <f ca="1">IF(PaymentSchedule3[[#This Row],[Payment Number]]&lt;&gt;"",SUM(INDEX(PaymentSchedule3[Principal],1,1):PaymentSchedule3[[#This Row],[Principal]]),"")</f>
        <v>127220.50932426774</v>
      </c>
    </row>
    <row r="240" spans="2:12" x14ac:dyDescent="0.25">
      <c r="B240" s="23">
        <f ca="1">IF(LoanIsGood,IF(ROW()-ROW(PaymentSchedule3[[#Headers],[Payment Number]])&gt;ScheduledNumberOfPayments,"",ROW()-ROW(PaymentSchedule3[[#Headers],[Payment Number]])),"")</f>
        <v>227</v>
      </c>
      <c r="C240" s="24">
        <f ca="1">IF(PaymentSchedule3[[#This Row],[Payment Number]]&lt;&gt;"",EOMONTH(LoanStartDate,ROW(PaymentSchedule3[[#This Row],[Payment Number]])-ROW(PaymentSchedule3[[#Headers],[Payment Number]])-2)+DAY(LoanStartDate),"")</f>
        <v>52345</v>
      </c>
      <c r="D240" s="25">
        <f ca="1">IF(PaymentSchedule3[[#This Row],[Payment Number]]&lt;&gt;"",IF(ROW()-ROW(PaymentSchedule3[[#Headers],[Beginning
Balance]])=1,LoanAmount,INDEX(PaymentSchedule3[Ending
Balance],ROW()-ROW(PaymentSchedule3[[#Headers],[Beginning
Balance]])-1)),"")</f>
        <v>205279.49067573238</v>
      </c>
      <c r="E240" s="25">
        <f ca="1">IF(PaymentSchedule3[[#This Row],[Payment Number]]&lt;&gt;"",ScheduledPayment,"")</f>
        <v>2212.1307964707844</v>
      </c>
      <c r="F2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0" s="25">
        <f ca="1">IF(PaymentSchedule3[[#This Row],[Payment Number]]&lt;&gt;"",PaymentSchedule3[[#This Row],[Total
Payment]]-PaymentSchedule3[[#This Row],[Interest]],"")</f>
        <v>1014.6671008623455</v>
      </c>
      <c r="I240" s="25">
        <f ca="1">IF(PaymentSchedule3[[#This Row],[Payment Number]]&lt;&gt;"",PaymentSchedule3[[#This Row],[Beginning
Balance]]*(InterestRate/PaymentsPerYear),"")</f>
        <v>1197.4636956084389</v>
      </c>
      <c r="J240" s="25">
        <f ca="1">IF(PaymentSchedule3[[#This Row],[Payment Number]]&lt;&gt;"",IF(PaymentSchedule3[[#This Row],[Scheduled Payment]]+PaymentSchedule3[[#This Row],[Extra
Payment]]&lt;=PaymentSchedule3[[#This Row],[Beginning
Balance]],PaymentSchedule3[[#This Row],[Beginning
Balance]]-PaymentSchedule3[[#This Row],[Principal]],0),"")</f>
        <v>204264.82357487004</v>
      </c>
      <c r="K240" s="25">
        <f ca="1">IF(PaymentSchedule3[[#This Row],[Payment Number]]&lt;&gt;"",SUM(INDEX(PaymentSchedule3[Interest],1,1):PaymentSchedule3[[#This Row],[Interest]]),"")</f>
        <v>373918.51437373797</v>
      </c>
      <c r="L240" s="25">
        <f ca="1">IF(PaymentSchedule3[[#This Row],[Payment Number]]&lt;&gt;"",SUM(INDEX(PaymentSchedule3[Principal],1,1):PaymentSchedule3[[#This Row],[Principal]]),"")</f>
        <v>128235.17642513009</v>
      </c>
    </row>
    <row r="241" spans="2:12" x14ac:dyDescent="0.25">
      <c r="B241" s="23">
        <f ca="1">IF(LoanIsGood,IF(ROW()-ROW(PaymentSchedule3[[#Headers],[Payment Number]])&gt;ScheduledNumberOfPayments,"",ROW()-ROW(PaymentSchedule3[[#Headers],[Payment Number]])),"")</f>
        <v>228</v>
      </c>
      <c r="C241" s="24">
        <f ca="1">IF(PaymentSchedule3[[#This Row],[Payment Number]]&lt;&gt;"",EOMONTH(LoanStartDate,ROW(PaymentSchedule3[[#This Row],[Payment Number]])-ROW(PaymentSchedule3[[#Headers],[Payment Number]])-2)+DAY(LoanStartDate),"")</f>
        <v>52375</v>
      </c>
      <c r="D241" s="25">
        <f ca="1">IF(PaymentSchedule3[[#This Row],[Payment Number]]&lt;&gt;"",IF(ROW()-ROW(PaymentSchedule3[[#Headers],[Beginning
Balance]])=1,LoanAmount,INDEX(PaymentSchedule3[Ending
Balance],ROW()-ROW(PaymentSchedule3[[#Headers],[Beginning
Balance]])-1)),"")</f>
        <v>204264.82357487004</v>
      </c>
      <c r="E241" s="25">
        <f ca="1">IF(PaymentSchedule3[[#This Row],[Payment Number]]&lt;&gt;"",ScheduledPayment,"")</f>
        <v>2212.1307964707844</v>
      </c>
      <c r="F2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1" s="25">
        <f ca="1">IF(PaymentSchedule3[[#This Row],[Payment Number]]&lt;&gt;"",PaymentSchedule3[[#This Row],[Total
Payment]]-PaymentSchedule3[[#This Row],[Interest]],"")</f>
        <v>1020.5859922840425</v>
      </c>
      <c r="I241" s="25">
        <f ca="1">IF(PaymentSchedule3[[#This Row],[Payment Number]]&lt;&gt;"",PaymentSchedule3[[#This Row],[Beginning
Balance]]*(InterestRate/PaymentsPerYear),"")</f>
        <v>1191.5448041867419</v>
      </c>
      <c r="J241" s="25">
        <f ca="1">IF(PaymentSchedule3[[#This Row],[Payment Number]]&lt;&gt;"",IF(PaymentSchedule3[[#This Row],[Scheduled Payment]]+PaymentSchedule3[[#This Row],[Extra
Payment]]&lt;=PaymentSchedule3[[#This Row],[Beginning
Balance]],PaymentSchedule3[[#This Row],[Beginning
Balance]]-PaymentSchedule3[[#This Row],[Principal]],0),"")</f>
        <v>203244.23758258601</v>
      </c>
      <c r="K241" s="25">
        <f ca="1">IF(PaymentSchedule3[[#This Row],[Payment Number]]&lt;&gt;"",SUM(INDEX(PaymentSchedule3[Interest],1,1):PaymentSchedule3[[#This Row],[Interest]]),"")</f>
        <v>375110.0591779247</v>
      </c>
      <c r="L241" s="25">
        <f ca="1">IF(PaymentSchedule3[[#This Row],[Payment Number]]&lt;&gt;"",SUM(INDEX(PaymentSchedule3[Principal],1,1):PaymentSchedule3[[#This Row],[Principal]]),"")</f>
        <v>129255.76241741414</v>
      </c>
    </row>
    <row r="242" spans="2:12" x14ac:dyDescent="0.25">
      <c r="B242" s="23">
        <f ca="1">IF(LoanIsGood,IF(ROW()-ROW(PaymentSchedule3[[#Headers],[Payment Number]])&gt;ScheduledNumberOfPayments,"",ROW()-ROW(PaymentSchedule3[[#Headers],[Payment Number]])),"")</f>
        <v>229</v>
      </c>
      <c r="C242" s="24">
        <f ca="1">IF(PaymentSchedule3[[#This Row],[Payment Number]]&lt;&gt;"",EOMONTH(LoanStartDate,ROW(PaymentSchedule3[[#This Row],[Payment Number]])-ROW(PaymentSchedule3[[#Headers],[Payment Number]])-2)+DAY(LoanStartDate),"")</f>
        <v>52406</v>
      </c>
      <c r="D242" s="25">
        <f ca="1">IF(PaymentSchedule3[[#This Row],[Payment Number]]&lt;&gt;"",IF(ROW()-ROW(PaymentSchedule3[[#Headers],[Beginning
Balance]])=1,LoanAmount,INDEX(PaymentSchedule3[Ending
Balance],ROW()-ROW(PaymentSchedule3[[#Headers],[Beginning
Balance]])-1)),"")</f>
        <v>203244.23758258601</v>
      </c>
      <c r="E242" s="25">
        <f ca="1">IF(PaymentSchedule3[[#This Row],[Payment Number]]&lt;&gt;"",ScheduledPayment,"")</f>
        <v>2212.1307964707844</v>
      </c>
      <c r="F2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2" s="25">
        <f ca="1">IF(PaymentSchedule3[[#This Row],[Payment Number]]&lt;&gt;"",PaymentSchedule3[[#This Row],[Total
Payment]]-PaymentSchedule3[[#This Row],[Interest]],"")</f>
        <v>1026.539410572366</v>
      </c>
      <c r="I242" s="25">
        <f ca="1">IF(PaymentSchedule3[[#This Row],[Payment Number]]&lt;&gt;"",PaymentSchedule3[[#This Row],[Beginning
Balance]]*(InterestRate/PaymentsPerYear),"")</f>
        <v>1185.5913858984184</v>
      </c>
      <c r="J242" s="25">
        <f ca="1">IF(PaymentSchedule3[[#This Row],[Payment Number]]&lt;&gt;"",IF(PaymentSchedule3[[#This Row],[Scheduled Payment]]+PaymentSchedule3[[#This Row],[Extra
Payment]]&lt;=PaymentSchedule3[[#This Row],[Beginning
Balance]],PaymentSchedule3[[#This Row],[Beginning
Balance]]-PaymentSchedule3[[#This Row],[Principal]],0),"")</f>
        <v>202217.69817201365</v>
      </c>
      <c r="K242" s="25">
        <f ca="1">IF(PaymentSchedule3[[#This Row],[Payment Number]]&lt;&gt;"",SUM(INDEX(PaymentSchedule3[Interest],1,1):PaymentSchedule3[[#This Row],[Interest]]),"")</f>
        <v>376295.65056382312</v>
      </c>
      <c r="L242" s="25">
        <f ca="1">IF(PaymentSchedule3[[#This Row],[Payment Number]]&lt;&gt;"",SUM(INDEX(PaymentSchedule3[Principal],1,1):PaymentSchedule3[[#This Row],[Principal]]),"")</f>
        <v>130282.30182798651</v>
      </c>
    </row>
    <row r="243" spans="2:12" x14ac:dyDescent="0.25">
      <c r="B243" s="23">
        <f ca="1">IF(LoanIsGood,IF(ROW()-ROW(PaymentSchedule3[[#Headers],[Payment Number]])&gt;ScheduledNumberOfPayments,"",ROW()-ROW(PaymentSchedule3[[#Headers],[Payment Number]])),"")</f>
        <v>230</v>
      </c>
      <c r="C243" s="24">
        <f ca="1">IF(PaymentSchedule3[[#This Row],[Payment Number]]&lt;&gt;"",EOMONTH(LoanStartDate,ROW(PaymentSchedule3[[#This Row],[Payment Number]])-ROW(PaymentSchedule3[[#Headers],[Payment Number]])-2)+DAY(LoanStartDate),"")</f>
        <v>52436</v>
      </c>
      <c r="D243" s="25">
        <f ca="1">IF(PaymentSchedule3[[#This Row],[Payment Number]]&lt;&gt;"",IF(ROW()-ROW(PaymentSchedule3[[#Headers],[Beginning
Balance]])=1,LoanAmount,INDEX(PaymentSchedule3[Ending
Balance],ROW()-ROW(PaymentSchedule3[[#Headers],[Beginning
Balance]])-1)),"")</f>
        <v>202217.69817201365</v>
      </c>
      <c r="E243" s="25">
        <f ca="1">IF(PaymentSchedule3[[#This Row],[Payment Number]]&lt;&gt;"",ScheduledPayment,"")</f>
        <v>2212.1307964707844</v>
      </c>
      <c r="F2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3" s="25">
        <f ca="1">IF(PaymentSchedule3[[#This Row],[Payment Number]]&lt;&gt;"",PaymentSchedule3[[#This Row],[Total
Payment]]-PaymentSchedule3[[#This Row],[Interest]],"")</f>
        <v>1032.527557134038</v>
      </c>
      <c r="I243" s="25">
        <f ca="1">IF(PaymentSchedule3[[#This Row],[Payment Number]]&lt;&gt;"",PaymentSchedule3[[#This Row],[Beginning
Balance]]*(InterestRate/PaymentsPerYear),"")</f>
        <v>1179.6032393367464</v>
      </c>
      <c r="J243" s="25">
        <f ca="1">IF(PaymentSchedule3[[#This Row],[Payment Number]]&lt;&gt;"",IF(PaymentSchedule3[[#This Row],[Scheduled Payment]]+PaymentSchedule3[[#This Row],[Extra
Payment]]&lt;=PaymentSchedule3[[#This Row],[Beginning
Balance]],PaymentSchedule3[[#This Row],[Beginning
Balance]]-PaymentSchedule3[[#This Row],[Principal]],0),"")</f>
        <v>201185.17061487961</v>
      </c>
      <c r="K243" s="25">
        <f ca="1">IF(PaymentSchedule3[[#This Row],[Payment Number]]&lt;&gt;"",SUM(INDEX(PaymentSchedule3[Interest],1,1):PaymentSchedule3[[#This Row],[Interest]]),"")</f>
        <v>377475.25380315987</v>
      </c>
      <c r="L243" s="25">
        <f ca="1">IF(PaymentSchedule3[[#This Row],[Payment Number]]&lt;&gt;"",SUM(INDEX(PaymentSchedule3[Principal],1,1):PaymentSchedule3[[#This Row],[Principal]]),"")</f>
        <v>131314.82938512054</v>
      </c>
    </row>
    <row r="244" spans="2:12" x14ac:dyDescent="0.25">
      <c r="B244" s="23">
        <f ca="1">IF(LoanIsGood,IF(ROW()-ROW(PaymentSchedule3[[#Headers],[Payment Number]])&gt;ScheduledNumberOfPayments,"",ROW()-ROW(PaymentSchedule3[[#Headers],[Payment Number]])),"")</f>
        <v>231</v>
      </c>
      <c r="C244" s="24">
        <f ca="1">IF(PaymentSchedule3[[#This Row],[Payment Number]]&lt;&gt;"",EOMONTH(LoanStartDate,ROW(PaymentSchedule3[[#This Row],[Payment Number]])-ROW(PaymentSchedule3[[#Headers],[Payment Number]])-2)+DAY(LoanStartDate),"")</f>
        <v>52467</v>
      </c>
      <c r="D244" s="25">
        <f ca="1">IF(PaymentSchedule3[[#This Row],[Payment Number]]&lt;&gt;"",IF(ROW()-ROW(PaymentSchedule3[[#Headers],[Beginning
Balance]])=1,LoanAmount,INDEX(PaymentSchedule3[Ending
Balance],ROW()-ROW(PaymentSchedule3[[#Headers],[Beginning
Balance]])-1)),"")</f>
        <v>201185.17061487961</v>
      </c>
      <c r="E244" s="25">
        <f ca="1">IF(PaymentSchedule3[[#This Row],[Payment Number]]&lt;&gt;"",ScheduledPayment,"")</f>
        <v>2212.1307964707844</v>
      </c>
      <c r="F2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4" s="25">
        <f ca="1">IF(PaymentSchedule3[[#This Row],[Payment Number]]&lt;&gt;"",PaymentSchedule3[[#This Row],[Total
Payment]]-PaymentSchedule3[[#This Row],[Interest]],"")</f>
        <v>1038.5506345506533</v>
      </c>
      <c r="I244" s="25">
        <f ca="1">IF(PaymentSchedule3[[#This Row],[Payment Number]]&lt;&gt;"",PaymentSchedule3[[#This Row],[Beginning
Balance]]*(InterestRate/PaymentsPerYear),"")</f>
        <v>1173.5801619201311</v>
      </c>
      <c r="J244" s="25">
        <f ca="1">IF(PaymentSchedule3[[#This Row],[Payment Number]]&lt;&gt;"",IF(PaymentSchedule3[[#This Row],[Scheduled Payment]]+PaymentSchedule3[[#This Row],[Extra
Payment]]&lt;=PaymentSchedule3[[#This Row],[Beginning
Balance]],PaymentSchedule3[[#This Row],[Beginning
Balance]]-PaymentSchedule3[[#This Row],[Principal]],0),"")</f>
        <v>200146.61998032895</v>
      </c>
      <c r="K244" s="25">
        <f ca="1">IF(PaymentSchedule3[[#This Row],[Payment Number]]&lt;&gt;"",SUM(INDEX(PaymentSchedule3[Interest],1,1):PaymentSchedule3[[#This Row],[Interest]]),"")</f>
        <v>378648.83396507998</v>
      </c>
      <c r="L244" s="25">
        <f ca="1">IF(PaymentSchedule3[[#This Row],[Payment Number]]&lt;&gt;"",SUM(INDEX(PaymentSchedule3[Principal],1,1):PaymentSchedule3[[#This Row],[Principal]]),"")</f>
        <v>132353.3800196712</v>
      </c>
    </row>
    <row r="245" spans="2:12" x14ac:dyDescent="0.25">
      <c r="B245" s="23">
        <f ca="1">IF(LoanIsGood,IF(ROW()-ROW(PaymentSchedule3[[#Headers],[Payment Number]])&gt;ScheduledNumberOfPayments,"",ROW()-ROW(PaymentSchedule3[[#Headers],[Payment Number]])),"")</f>
        <v>232</v>
      </c>
      <c r="C245" s="24">
        <f ca="1">IF(PaymentSchedule3[[#This Row],[Payment Number]]&lt;&gt;"",EOMONTH(LoanStartDate,ROW(PaymentSchedule3[[#This Row],[Payment Number]])-ROW(PaymentSchedule3[[#Headers],[Payment Number]])-2)+DAY(LoanStartDate),"")</f>
        <v>52498</v>
      </c>
      <c r="D245" s="25">
        <f ca="1">IF(PaymentSchedule3[[#This Row],[Payment Number]]&lt;&gt;"",IF(ROW()-ROW(PaymentSchedule3[[#Headers],[Beginning
Balance]])=1,LoanAmount,INDEX(PaymentSchedule3[Ending
Balance],ROW()-ROW(PaymentSchedule3[[#Headers],[Beginning
Balance]])-1)),"")</f>
        <v>200146.61998032895</v>
      </c>
      <c r="E245" s="25">
        <f ca="1">IF(PaymentSchedule3[[#This Row],[Payment Number]]&lt;&gt;"",ScheduledPayment,"")</f>
        <v>2212.1307964707844</v>
      </c>
      <c r="F2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5" s="25">
        <f ca="1">IF(PaymentSchedule3[[#This Row],[Payment Number]]&lt;&gt;"",PaymentSchedule3[[#This Row],[Total
Payment]]-PaymentSchedule3[[#This Row],[Interest]],"")</f>
        <v>1044.6088465855321</v>
      </c>
      <c r="I245" s="25">
        <f ca="1">IF(PaymentSchedule3[[#This Row],[Payment Number]]&lt;&gt;"",PaymentSchedule3[[#This Row],[Beginning
Balance]]*(InterestRate/PaymentsPerYear),"")</f>
        <v>1167.5219498852523</v>
      </c>
      <c r="J245" s="25">
        <f ca="1">IF(PaymentSchedule3[[#This Row],[Payment Number]]&lt;&gt;"",IF(PaymentSchedule3[[#This Row],[Scheduled Payment]]+PaymentSchedule3[[#This Row],[Extra
Payment]]&lt;=PaymentSchedule3[[#This Row],[Beginning
Balance]],PaymentSchedule3[[#This Row],[Beginning
Balance]]-PaymentSchedule3[[#This Row],[Principal]],0),"")</f>
        <v>199102.01113374342</v>
      </c>
      <c r="K245" s="25">
        <f ca="1">IF(PaymentSchedule3[[#This Row],[Payment Number]]&lt;&gt;"",SUM(INDEX(PaymentSchedule3[Interest],1,1):PaymentSchedule3[[#This Row],[Interest]]),"")</f>
        <v>379816.35591496521</v>
      </c>
      <c r="L245" s="25">
        <f ca="1">IF(PaymentSchedule3[[#This Row],[Payment Number]]&lt;&gt;"",SUM(INDEX(PaymentSchedule3[Principal],1,1):PaymentSchedule3[[#This Row],[Principal]]),"")</f>
        <v>133397.98886625672</v>
      </c>
    </row>
    <row r="246" spans="2:12" x14ac:dyDescent="0.25">
      <c r="B246" s="23">
        <f ca="1">IF(LoanIsGood,IF(ROW()-ROW(PaymentSchedule3[[#Headers],[Payment Number]])&gt;ScheduledNumberOfPayments,"",ROW()-ROW(PaymentSchedule3[[#Headers],[Payment Number]])),"")</f>
        <v>233</v>
      </c>
      <c r="C246" s="24">
        <f ca="1">IF(PaymentSchedule3[[#This Row],[Payment Number]]&lt;&gt;"",EOMONTH(LoanStartDate,ROW(PaymentSchedule3[[#This Row],[Payment Number]])-ROW(PaymentSchedule3[[#Headers],[Payment Number]])-2)+DAY(LoanStartDate),"")</f>
        <v>52528</v>
      </c>
      <c r="D246" s="25">
        <f ca="1">IF(PaymentSchedule3[[#This Row],[Payment Number]]&lt;&gt;"",IF(ROW()-ROW(PaymentSchedule3[[#Headers],[Beginning
Balance]])=1,LoanAmount,INDEX(PaymentSchedule3[Ending
Balance],ROW()-ROW(PaymentSchedule3[[#Headers],[Beginning
Balance]])-1)),"")</f>
        <v>199102.01113374342</v>
      </c>
      <c r="E246" s="25">
        <f ca="1">IF(PaymentSchedule3[[#This Row],[Payment Number]]&lt;&gt;"",ScheduledPayment,"")</f>
        <v>2212.1307964707844</v>
      </c>
      <c r="F2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6" s="25">
        <f ca="1">IF(PaymentSchedule3[[#This Row],[Payment Number]]&lt;&gt;"",PaymentSchedule3[[#This Row],[Total
Payment]]-PaymentSchedule3[[#This Row],[Interest]],"")</f>
        <v>1050.7023981906143</v>
      </c>
      <c r="I246" s="25">
        <f ca="1">IF(PaymentSchedule3[[#This Row],[Payment Number]]&lt;&gt;"",PaymentSchedule3[[#This Row],[Beginning
Balance]]*(InterestRate/PaymentsPerYear),"")</f>
        <v>1161.4283982801701</v>
      </c>
      <c r="J246" s="25">
        <f ca="1">IF(PaymentSchedule3[[#This Row],[Payment Number]]&lt;&gt;"",IF(PaymentSchedule3[[#This Row],[Scheduled Payment]]+PaymentSchedule3[[#This Row],[Extra
Payment]]&lt;=PaymentSchedule3[[#This Row],[Beginning
Balance]],PaymentSchedule3[[#This Row],[Beginning
Balance]]-PaymentSchedule3[[#This Row],[Principal]],0),"")</f>
        <v>198051.3087355528</v>
      </c>
      <c r="K246" s="25">
        <f ca="1">IF(PaymentSchedule3[[#This Row],[Payment Number]]&lt;&gt;"",SUM(INDEX(PaymentSchedule3[Interest],1,1):PaymentSchedule3[[#This Row],[Interest]]),"")</f>
        <v>380977.78431324539</v>
      </c>
      <c r="L246" s="25">
        <f ca="1">IF(PaymentSchedule3[[#This Row],[Payment Number]]&lt;&gt;"",SUM(INDEX(PaymentSchedule3[Principal],1,1):PaymentSchedule3[[#This Row],[Principal]]),"")</f>
        <v>134448.69126444735</v>
      </c>
    </row>
    <row r="247" spans="2:12" x14ac:dyDescent="0.25">
      <c r="B247" s="23">
        <f ca="1">IF(LoanIsGood,IF(ROW()-ROW(PaymentSchedule3[[#Headers],[Payment Number]])&gt;ScheduledNumberOfPayments,"",ROW()-ROW(PaymentSchedule3[[#Headers],[Payment Number]])),"")</f>
        <v>234</v>
      </c>
      <c r="C247" s="24">
        <f ca="1">IF(PaymentSchedule3[[#This Row],[Payment Number]]&lt;&gt;"",EOMONTH(LoanStartDate,ROW(PaymentSchedule3[[#This Row],[Payment Number]])-ROW(PaymentSchedule3[[#Headers],[Payment Number]])-2)+DAY(LoanStartDate),"")</f>
        <v>52559</v>
      </c>
      <c r="D247" s="25">
        <f ca="1">IF(PaymentSchedule3[[#This Row],[Payment Number]]&lt;&gt;"",IF(ROW()-ROW(PaymentSchedule3[[#Headers],[Beginning
Balance]])=1,LoanAmount,INDEX(PaymentSchedule3[Ending
Balance],ROW()-ROW(PaymentSchedule3[[#Headers],[Beginning
Balance]])-1)),"")</f>
        <v>198051.3087355528</v>
      </c>
      <c r="E247" s="25">
        <f ca="1">IF(PaymentSchedule3[[#This Row],[Payment Number]]&lt;&gt;"",ScheduledPayment,"")</f>
        <v>2212.1307964707844</v>
      </c>
      <c r="F2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7" s="25">
        <f ca="1">IF(PaymentSchedule3[[#This Row],[Payment Number]]&lt;&gt;"",PaymentSchedule3[[#This Row],[Total
Payment]]-PaymentSchedule3[[#This Row],[Interest]],"")</f>
        <v>1056.8314955133931</v>
      </c>
      <c r="I247" s="25">
        <f ca="1">IF(PaymentSchedule3[[#This Row],[Payment Number]]&lt;&gt;"",PaymentSchedule3[[#This Row],[Beginning
Balance]]*(InterestRate/PaymentsPerYear),"")</f>
        <v>1155.2993009573913</v>
      </c>
      <c r="J247" s="25">
        <f ca="1">IF(PaymentSchedule3[[#This Row],[Payment Number]]&lt;&gt;"",IF(PaymentSchedule3[[#This Row],[Scheduled Payment]]+PaymentSchedule3[[#This Row],[Extra
Payment]]&lt;=PaymentSchedule3[[#This Row],[Beginning
Balance]],PaymentSchedule3[[#This Row],[Beginning
Balance]]-PaymentSchedule3[[#This Row],[Principal]],0),"")</f>
        <v>196994.47724003941</v>
      </c>
      <c r="K247" s="25">
        <f ca="1">IF(PaymentSchedule3[[#This Row],[Payment Number]]&lt;&gt;"",SUM(INDEX(PaymentSchedule3[Interest],1,1):PaymentSchedule3[[#This Row],[Interest]]),"")</f>
        <v>382133.0836142028</v>
      </c>
      <c r="L247" s="25">
        <f ca="1">IF(PaymentSchedule3[[#This Row],[Payment Number]]&lt;&gt;"",SUM(INDEX(PaymentSchedule3[Principal],1,1):PaymentSchedule3[[#This Row],[Principal]]),"")</f>
        <v>135505.52275996073</v>
      </c>
    </row>
    <row r="248" spans="2:12" x14ac:dyDescent="0.25">
      <c r="B248" s="23">
        <f ca="1">IF(LoanIsGood,IF(ROW()-ROW(PaymentSchedule3[[#Headers],[Payment Number]])&gt;ScheduledNumberOfPayments,"",ROW()-ROW(PaymentSchedule3[[#Headers],[Payment Number]])),"")</f>
        <v>235</v>
      </c>
      <c r="C248" s="24">
        <f ca="1">IF(PaymentSchedule3[[#This Row],[Payment Number]]&lt;&gt;"",EOMONTH(LoanStartDate,ROW(PaymentSchedule3[[#This Row],[Payment Number]])-ROW(PaymentSchedule3[[#Headers],[Payment Number]])-2)+DAY(LoanStartDate),"")</f>
        <v>52589</v>
      </c>
      <c r="D248" s="25">
        <f ca="1">IF(PaymentSchedule3[[#This Row],[Payment Number]]&lt;&gt;"",IF(ROW()-ROW(PaymentSchedule3[[#Headers],[Beginning
Balance]])=1,LoanAmount,INDEX(PaymentSchedule3[Ending
Balance],ROW()-ROW(PaymentSchedule3[[#Headers],[Beginning
Balance]])-1)),"")</f>
        <v>196994.47724003941</v>
      </c>
      <c r="E248" s="25">
        <f ca="1">IF(PaymentSchedule3[[#This Row],[Payment Number]]&lt;&gt;"",ScheduledPayment,"")</f>
        <v>2212.1307964707844</v>
      </c>
      <c r="F2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8" s="25">
        <f ca="1">IF(PaymentSchedule3[[#This Row],[Payment Number]]&lt;&gt;"",PaymentSchedule3[[#This Row],[Total
Payment]]-PaymentSchedule3[[#This Row],[Interest]],"")</f>
        <v>1062.9963459038877</v>
      </c>
      <c r="I248" s="25">
        <f ca="1">IF(PaymentSchedule3[[#This Row],[Payment Number]]&lt;&gt;"",PaymentSchedule3[[#This Row],[Beginning
Balance]]*(InterestRate/PaymentsPerYear),"")</f>
        <v>1149.1344505668967</v>
      </c>
      <c r="J248" s="25">
        <f ca="1">IF(PaymentSchedule3[[#This Row],[Payment Number]]&lt;&gt;"",IF(PaymentSchedule3[[#This Row],[Scheduled Payment]]+PaymentSchedule3[[#This Row],[Extra
Payment]]&lt;=PaymentSchedule3[[#This Row],[Beginning
Balance]],PaymentSchedule3[[#This Row],[Beginning
Balance]]-PaymentSchedule3[[#This Row],[Principal]],0),"")</f>
        <v>195931.48089413551</v>
      </c>
      <c r="K248" s="25">
        <f ca="1">IF(PaymentSchedule3[[#This Row],[Payment Number]]&lt;&gt;"",SUM(INDEX(PaymentSchedule3[Interest],1,1):PaymentSchedule3[[#This Row],[Interest]]),"")</f>
        <v>383282.2180647697</v>
      </c>
      <c r="L248" s="25">
        <f ca="1">IF(PaymentSchedule3[[#This Row],[Payment Number]]&lt;&gt;"",SUM(INDEX(PaymentSchedule3[Principal],1,1):PaymentSchedule3[[#This Row],[Principal]]),"")</f>
        <v>136568.51910586463</v>
      </c>
    </row>
    <row r="249" spans="2:12" x14ac:dyDescent="0.25">
      <c r="B249" s="23">
        <f ca="1">IF(LoanIsGood,IF(ROW()-ROW(PaymentSchedule3[[#Headers],[Payment Number]])&gt;ScheduledNumberOfPayments,"",ROW()-ROW(PaymentSchedule3[[#Headers],[Payment Number]])),"")</f>
        <v>236</v>
      </c>
      <c r="C249" s="24">
        <f ca="1">IF(PaymentSchedule3[[#This Row],[Payment Number]]&lt;&gt;"",EOMONTH(LoanStartDate,ROW(PaymentSchedule3[[#This Row],[Payment Number]])-ROW(PaymentSchedule3[[#Headers],[Payment Number]])-2)+DAY(LoanStartDate),"")</f>
        <v>52620</v>
      </c>
      <c r="D249" s="25">
        <f ca="1">IF(PaymentSchedule3[[#This Row],[Payment Number]]&lt;&gt;"",IF(ROW()-ROW(PaymentSchedule3[[#Headers],[Beginning
Balance]])=1,LoanAmount,INDEX(PaymentSchedule3[Ending
Balance],ROW()-ROW(PaymentSchedule3[[#Headers],[Beginning
Balance]])-1)),"")</f>
        <v>195931.48089413551</v>
      </c>
      <c r="E249" s="25">
        <f ca="1">IF(PaymentSchedule3[[#This Row],[Payment Number]]&lt;&gt;"",ScheduledPayment,"")</f>
        <v>2212.1307964707844</v>
      </c>
      <c r="F2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49" s="25">
        <f ca="1">IF(PaymentSchedule3[[#This Row],[Payment Number]]&lt;&gt;"",PaymentSchedule3[[#This Row],[Total
Payment]]-PaymentSchedule3[[#This Row],[Interest]],"")</f>
        <v>1069.1971579216604</v>
      </c>
      <c r="I249" s="25">
        <f ca="1">IF(PaymentSchedule3[[#This Row],[Payment Number]]&lt;&gt;"",PaymentSchedule3[[#This Row],[Beginning
Balance]]*(InterestRate/PaymentsPerYear),"")</f>
        <v>1142.933638549124</v>
      </c>
      <c r="J249" s="25">
        <f ca="1">IF(PaymentSchedule3[[#This Row],[Payment Number]]&lt;&gt;"",IF(PaymentSchedule3[[#This Row],[Scheduled Payment]]+PaymentSchedule3[[#This Row],[Extra
Payment]]&lt;=PaymentSchedule3[[#This Row],[Beginning
Balance]],PaymentSchedule3[[#This Row],[Beginning
Balance]]-PaymentSchedule3[[#This Row],[Principal]],0),"")</f>
        <v>194862.28373621387</v>
      </c>
      <c r="K249" s="25">
        <f ca="1">IF(PaymentSchedule3[[#This Row],[Payment Number]]&lt;&gt;"",SUM(INDEX(PaymentSchedule3[Interest],1,1):PaymentSchedule3[[#This Row],[Interest]]),"")</f>
        <v>384425.15170331881</v>
      </c>
      <c r="L249" s="25">
        <f ca="1">IF(PaymentSchedule3[[#This Row],[Payment Number]]&lt;&gt;"",SUM(INDEX(PaymentSchedule3[Principal],1,1):PaymentSchedule3[[#This Row],[Principal]]),"")</f>
        <v>137637.71626378628</v>
      </c>
    </row>
    <row r="250" spans="2:12" x14ac:dyDescent="0.25">
      <c r="B250" s="23">
        <f ca="1">IF(LoanIsGood,IF(ROW()-ROW(PaymentSchedule3[[#Headers],[Payment Number]])&gt;ScheduledNumberOfPayments,"",ROW()-ROW(PaymentSchedule3[[#Headers],[Payment Number]])),"")</f>
        <v>237</v>
      </c>
      <c r="C250" s="24">
        <f ca="1">IF(PaymentSchedule3[[#This Row],[Payment Number]]&lt;&gt;"",EOMONTH(LoanStartDate,ROW(PaymentSchedule3[[#This Row],[Payment Number]])-ROW(PaymentSchedule3[[#Headers],[Payment Number]])-2)+DAY(LoanStartDate),"")</f>
        <v>52651</v>
      </c>
      <c r="D250" s="25">
        <f ca="1">IF(PaymentSchedule3[[#This Row],[Payment Number]]&lt;&gt;"",IF(ROW()-ROW(PaymentSchedule3[[#Headers],[Beginning
Balance]])=1,LoanAmount,INDEX(PaymentSchedule3[Ending
Balance],ROW()-ROW(PaymentSchedule3[[#Headers],[Beginning
Balance]])-1)),"")</f>
        <v>194862.28373621387</v>
      </c>
      <c r="E250" s="25">
        <f ca="1">IF(PaymentSchedule3[[#This Row],[Payment Number]]&lt;&gt;"",ScheduledPayment,"")</f>
        <v>2212.1307964707844</v>
      </c>
      <c r="F2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0" s="25">
        <f ca="1">IF(PaymentSchedule3[[#This Row],[Payment Number]]&lt;&gt;"",PaymentSchedule3[[#This Row],[Total
Payment]]-PaymentSchedule3[[#This Row],[Interest]],"")</f>
        <v>1075.4341413428701</v>
      </c>
      <c r="I250" s="25">
        <f ca="1">IF(PaymentSchedule3[[#This Row],[Payment Number]]&lt;&gt;"",PaymentSchedule3[[#This Row],[Beginning
Balance]]*(InterestRate/PaymentsPerYear),"")</f>
        <v>1136.6966551279143</v>
      </c>
      <c r="J250" s="25">
        <f ca="1">IF(PaymentSchedule3[[#This Row],[Payment Number]]&lt;&gt;"",IF(PaymentSchedule3[[#This Row],[Scheduled Payment]]+PaymentSchedule3[[#This Row],[Extra
Payment]]&lt;=PaymentSchedule3[[#This Row],[Beginning
Balance]],PaymentSchedule3[[#This Row],[Beginning
Balance]]-PaymentSchedule3[[#This Row],[Principal]],0),"")</f>
        <v>193786.84959487099</v>
      </c>
      <c r="K250" s="25">
        <f ca="1">IF(PaymentSchedule3[[#This Row],[Payment Number]]&lt;&gt;"",SUM(INDEX(PaymentSchedule3[Interest],1,1):PaymentSchedule3[[#This Row],[Interest]]),"")</f>
        <v>385561.84835844673</v>
      </c>
      <c r="L250" s="25">
        <f ca="1">IF(PaymentSchedule3[[#This Row],[Payment Number]]&lt;&gt;"",SUM(INDEX(PaymentSchedule3[Principal],1,1):PaymentSchedule3[[#This Row],[Principal]]),"")</f>
        <v>138713.15040512916</v>
      </c>
    </row>
    <row r="251" spans="2:12" x14ac:dyDescent="0.25">
      <c r="B251" s="23">
        <f ca="1">IF(LoanIsGood,IF(ROW()-ROW(PaymentSchedule3[[#Headers],[Payment Number]])&gt;ScheduledNumberOfPayments,"",ROW()-ROW(PaymentSchedule3[[#Headers],[Payment Number]])),"")</f>
        <v>238</v>
      </c>
      <c r="C251" s="24">
        <f ca="1">IF(PaymentSchedule3[[#This Row],[Payment Number]]&lt;&gt;"",EOMONTH(LoanStartDate,ROW(PaymentSchedule3[[#This Row],[Payment Number]])-ROW(PaymentSchedule3[[#Headers],[Payment Number]])-2)+DAY(LoanStartDate),"")</f>
        <v>52680</v>
      </c>
      <c r="D251" s="25">
        <f ca="1">IF(PaymentSchedule3[[#This Row],[Payment Number]]&lt;&gt;"",IF(ROW()-ROW(PaymentSchedule3[[#Headers],[Beginning
Balance]])=1,LoanAmount,INDEX(PaymentSchedule3[Ending
Balance],ROW()-ROW(PaymentSchedule3[[#Headers],[Beginning
Balance]])-1)),"")</f>
        <v>193786.84959487099</v>
      </c>
      <c r="E251" s="25">
        <f ca="1">IF(PaymentSchedule3[[#This Row],[Payment Number]]&lt;&gt;"",ScheduledPayment,"")</f>
        <v>2212.1307964707844</v>
      </c>
      <c r="F2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1" s="25">
        <f ca="1">IF(PaymentSchedule3[[#This Row],[Payment Number]]&lt;&gt;"",PaymentSchedule3[[#This Row],[Total
Payment]]-PaymentSchedule3[[#This Row],[Interest]],"")</f>
        <v>1081.7075071673703</v>
      </c>
      <c r="I251" s="25">
        <f ca="1">IF(PaymentSchedule3[[#This Row],[Payment Number]]&lt;&gt;"",PaymentSchedule3[[#This Row],[Beginning
Balance]]*(InterestRate/PaymentsPerYear),"")</f>
        <v>1130.4232893034141</v>
      </c>
      <c r="J251" s="25">
        <f ca="1">IF(PaymentSchedule3[[#This Row],[Payment Number]]&lt;&gt;"",IF(PaymentSchedule3[[#This Row],[Scheduled Payment]]+PaymentSchedule3[[#This Row],[Extra
Payment]]&lt;=PaymentSchedule3[[#This Row],[Beginning
Balance]],PaymentSchedule3[[#This Row],[Beginning
Balance]]-PaymentSchedule3[[#This Row],[Principal]],0),"")</f>
        <v>192705.14208770363</v>
      </c>
      <c r="K251" s="25">
        <f ca="1">IF(PaymentSchedule3[[#This Row],[Payment Number]]&lt;&gt;"",SUM(INDEX(PaymentSchedule3[Interest],1,1):PaymentSchedule3[[#This Row],[Interest]]),"")</f>
        <v>386692.27164775017</v>
      </c>
      <c r="L251" s="25">
        <f ca="1">IF(PaymentSchedule3[[#This Row],[Payment Number]]&lt;&gt;"",SUM(INDEX(PaymentSchedule3[Principal],1,1):PaymentSchedule3[[#This Row],[Principal]]),"")</f>
        <v>139794.85791229652</v>
      </c>
    </row>
    <row r="252" spans="2:12" x14ac:dyDescent="0.25">
      <c r="B252" s="23">
        <f ca="1">IF(LoanIsGood,IF(ROW()-ROW(PaymentSchedule3[[#Headers],[Payment Number]])&gt;ScheduledNumberOfPayments,"",ROW()-ROW(PaymentSchedule3[[#Headers],[Payment Number]])),"")</f>
        <v>239</v>
      </c>
      <c r="C252" s="24">
        <f ca="1">IF(PaymentSchedule3[[#This Row],[Payment Number]]&lt;&gt;"",EOMONTH(LoanStartDate,ROW(PaymentSchedule3[[#This Row],[Payment Number]])-ROW(PaymentSchedule3[[#Headers],[Payment Number]])-2)+DAY(LoanStartDate),"")</f>
        <v>52711</v>
      </c>
      <c r="D252" s="25">
        <f ca="1">IF(PaymentSchedule3[[#This Row],[Payment Number]]&lt;&gt;"",IF(ROW()-ROW(PaymentSchedule3[[#Headers],[Beginning
Balance]])=1,LoanAmount,INDEX(PaymentSchedule3[Ending
Balance],ROW()-ROW(PaymentSchedule3[[#Headers],[Beginning
Balance]])-1)),"")</f>
        <v>192705.14208770363</v>
      </c>
      <c r="E252" s="25">
        <f ca="1">IF(PaymentSchedule3[[#This Row],[Payment Number]]&lt;&gt;"",ScheduledPayment,"")</f>
        <v>2212.1307964707844</v>
      </c>
      <c r="F2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2" s="25">
        <f ca="1">IF(PaymentSchedule3[[#This Row],[Payment Number]]&lt;&gt;"",PaymentSchedule3[[#This Row],[Total
Payment]]-PaymentSchedule3[[#This Row],[Interest]],"")</f>
        <v>1088.0174676258464</v>
      </c>
      <c r="I252" s="25">
        <f ca="1">IF(PaymentSchedule3[[#This Row],[Payment Number]]&lt;&gt;"",PaymentSchedule3[[#This Row],[Beginning
Balance]]*(InterestRate/PaymentsPerYear),"")</f>
        <v>1124.113328844938</v>
      </c>
      <c r="J252" s="25">
        <f ca="1">IF(PaymentSchedule3[[#This Row],[Payment Number]]&lt;&gt;"",IF(PaymentSchedule3[[#This Row],[Scheduled Payment]]+PaymentSchedule3[[#This Row],[Extra
Payment]]&lt;=PaymentSchedule3[[#This Row],[Beginning
Balance]],PaymentSchedule3[[#This Row],[Beginning
Balance]]-PaymentSchedule3[[#This Row],[Principal]],0),"")</f>
        <v>191617.12462007778</v>
      </c>
      <c r="K252" s="25">
        <f ca="1">IF(PaymentSchedule3[[#This Row],[Payment Number]]&lt;&gt;"",SUM(INDEX(PaymentSchedule3[Interest],1,1):PaymentSchedule3[[#This Row],[Interest]]),"")</f>
        <v>387816.38497659512</v>
      </c>
      <c r="L252" s="25">
        <f ca="1">IF(PaymentSchedule3[[#This Row],[Payment Number]]&lt;&gt;"",SUM(INDEX(PaymentSchedule3[Principal],1,1):PaymentSchedule3[[#This Row],[Principal]]),"")</f>
        <v>140882.87537992236</v>
      </c>
    </row>
    <row r="253" spans="2:12" x14ac:dyDescent="0.25">
      <c r="B253" s="23">
        <f ca="1">IF(LoanIsGood,IF(ROW()-ROW(PaymentSchedule3[[#Headers],[Payment Number]])&gt;ScheduledNumberOfPayments,"",ROW()-ROW(PaymentSchedule3[[#Headers],[Payment Number]])),"")</f>
        <v>240</v>
      </c>
      <c r="C253" s="24">
        <f ca="1">IF(PaymentSchedule3[[#This Row],[Payment Number]]&lt;&gt;"",EOMONTH(LoanStartDate,ROW(PaymentSchedule3[[#This Row],[Payment Number]])-ROW(PaymentSchedule3[[#Headers],[Payment Number]])-2)+DAY(LoanStartDate),"")</f>
        <v>52741</v>
      </c>
      <c r="D253" s="25">
        <f ca="1">IF(PaymentSchedule3[[#This Row],[Payment Number]]&lt;&gt;"",IF(ROW()-ROW(PaymentSchedule3[[#Headers],[Beginning
Balance]])=1,LoanAmount,INDEX(PaymentSchedule3[Ending
Balance],ROW()-ROW(PaymentSchedule3[[#Headers],[Beginning
Balance]])-1)),"")</f>
        <v>191617.12462007778</v>
      </c>
      <c r="E253" s="25">
        <f ca="1">IF(PaymentSchedule3[[#This Row],[Payment Number]]&lt;&gt;"",ScheduledPayment,"")</f>
        <v>2212.1307964707844</v>
      </c>
      <c r="F2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3" s="25">
        <f ca="1">IF(PaymentSchedule3[[#This Row],[Payment Number]]&lt;&gt;"",PaymentSchedule3[[#This Row],[Total
Payment]]-PaymentSchedule3[[#This Row],[Interest]],"")</f>
        <v>1094.3642361869972</v>
      </c>
      <c r="I253" s="25">
        <f ca="1">IF(PaymentSchedule3[[#This Row],[Payment Number]]&lt;&gt;"",PaymentSchedule3[[#This Row],[Beginning
Balance]]*(InterestRate/PaymentsPerYear),"")</f>
        <v>1117.7665602837872</v>
      </c>
      <c r="J253" s="25">
        <f ca="1">IF(PaymentSchedule3[[#This Row],[Payment Number]]&lt;&gt;"",IF(PaymentSchedule3[[#This Row],[Scheduled Payment]]+PaymentSchedule3[[#This Row],[Extra
Payment]]&lt;=PaymentSchedule3[[#This Row],[Beginning
Balance]],PaymentSchedule3[[#This Row],[Beginning
Balance]]-PaymentSchedule3[[#This Row],[Principal]],0),"")</f>
        <v>190522.7603838908</v>
      </c>
      <c r="K253" s="25">
        <f ca="1">IF(PaymentSchedule3[[#This Row],[Payment Number]]&lt;&gt;"",SUM(INDEX(PaymentSchedule3[Interest],1,1):PaymentSchedule3[[#This Row],[Interest]]),"")</f>
        <v>388934.1515368789</v>
      </c>
      <c r="L253" s="25">
        <f ca="1">IF(PaymentSchedule3[[#This Row],[Payment Number]]&lt;&gt;"",SUM(INDEX(PaymentSchedule3[Principal],1,1):PaymentSchedule3[[#This Row],[Principal]]),"")</f>
        <v>141977.23961610935</v>
      </c>
    </row>
    <row r="254" spans="2:12" x14ac:dyDescent="0.25">
      <c r="B254" s="23">
        <f ca="1">IF(LoanIsGood,IF(ROW()-ROW(PaymentSchedule3[[#Headers],[Payment Number]])&gt;ScheduledNumberOfPayments,"",ROW()-ROW(PaymentSchedule3[[#Headers],[Payment Number]])),"")</f>
        <v>241</v>
      </c>
      <c r="C254" s="24">
        <f ca="1">IF(PaymentSchedule3[[#This Row],[Payment Number]]&lt;&gt;"",EOMONTH(LoanStartDate,ROW(PaymentSchedule3[[#This Row],[Payment Number]])-ROW(PaymentSchedule3[[#Headers],[Payment Number]])-2)+DAY(LoanStartDate),"")</f>
        <v>52772</v>
      </c>
      <c r="D254" s="25">
        <f ca="1">IF(PaymentSchedule3[[#This Row],[Payment Number]]&lt;&gt;"",IF(ROW()-ROW(PaymentSchedule3[[#Headers],[Beginning
Balance]])=1,LoanAmount,INDEX(PaymentSchedule3[Ending
Balance],ROW()-ROW(PaymentSchedule3[[#Headers],[Beginning
Balance]])-1)),"")</f>
        <v>190522.7603838908</v>
      </c>
      <c r="E254" s="25">
        <f ca="1">IF(PaymentSchedule3[[#This Row],[Payment Number]]&lt;&gt;"",ScheduledPayment,"")</f>
        <v>2212.1307964707844</v>
      </c>
      <c r="F2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4" s="25">
        <f ca="1">IF(PaymentSchedule3[[#This Row],[Payment Number]]&lt;&gt;"",PaymentSchedule3[[#This Row],[Total
Payment]]-PaymentSchedule3[[#This Row],[Interest]],"")</f>
        <v>1100.7480275647547</v>
      </c>
      <c r="I254" s="25">
        <f ca="1">IF(PaymentSchedule3[[#This Row],[Payment Number]]&lt;&gt;"",PaymentSchedule3[[#This Row],[Beginning
Balance]]*(InterestRate/PaymentsPerYear),"")</f>
        <v>1111.3827689060297</v>
      </c>
      <c r="J254" s="25">
        <f ca="1">IF(PaymentSchedule3[[#This Row],[Payment Number]]&lt;&gt;"",IF(PaymentSchedule3[[#This Row],[Scheduled Payment]]+PaymentSchedule3[[#This Row],[Extra
Payment]]&lt;=PaymentSchedule3[[#This Row],[Beginning
Balance]],PaymentSchedule3[[#This Row],[Beginning
Balance]]-PaymentSchedule3[[#This Row],[Principal]],0),"")</f>
        <v>189422.01235632604</v>
      </c>
      <c r="K254" s="25">
        <f ca="1">IF(PaymentSchedule3[[#This Row],[Payment Number]]&lt;&gt;"",SUM(INDEX(PaymentSchedule3[Interest],1,1):PaymentSchedule3[[#This Row],[Interest]]),"")</f>
        <v>390045.53430578491</v>
      </c>
      <c r="L254" s="25">
        <f ca="1">IF(PaymentSchedule3[[#This Row],[Payment Number]]&lt;&gt;"",SUM(INDEX(PaymentSchedule3[Principal],1,1):PaymentSchedule3[[#This Row],[Principal]]),"")</f>
        <v>143077.9876436741</v>
      </c>
    </row>
    <row r="255" spans="2:12" x14ac:dyDescent="0.25">
      <c r="B255" s="23">
        <f ca="1">IF(LoanIsGood,IF(ROW()-ROW(PaymentSchedule3[[#Headers],[Payment Number]])&gt;ScheduledNumberOfPayments,"",ROW()-ROW(PaymentSchedule3[[#Headers],[Payment Number]])),"")</f>
        <v>242</v>
      </c>
      <c r="C255" s="24">
        <f ca="1">IF(PaymentSchedule3[[#This Row],[Payment Number]]&lt;&gt;"",EOMONTH(LoanStartDate,ROW(PaymentSchedule3[[#This Row],[Payment Number]])-ROW(PaymentSchedule3[[#Headers],[Payment Number]])-2)+DAY(LoanStartDate),"")</f>
        <v>52802</v>
      </c>
      <c r="D255" s="25">
        <f ca="1">IF(PaymentSchedule3[[#This Row],[Payment Number]]&lt;&gt;"",IF(ROW()-ROW(PaymentSchedule3[[#Headers],[Beginning
Balance]])=1,LoanAmount,INDEX(PaymentSchedule3[Ending
Balance],ROW()-ROW(PaymentSchedule3[[#Headers],[Beginning
Balance]])-1)),"")</f>
        <v>189422.01235632604</v>
      </c>
      <c r="E255" s="25">
        <f ca="1">IF(PaymentSchedule3[[#This Row],[Payment Number]]&lt;&gt;"",ScheduledPayment,"")</f>
        <v>2212.1307964707844</v>
      </c>
      <c r="F2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5" s="25">
        <f ca="1">IF(PaymentSchedule3[[#This Row],[Payment Number]]&lt;&gt;"",PaymentSchedule3[[#This Row],[Total
Payment]]-PaymentSchedule3[[#This Row],[Interest]],"")</f>
        <v>1107.169057725549</v>
      </c>
      <c r="I255" s="25">
        <f ca="1">IF(PaymentSchedule3[[#This Row],[Payment Number]]&lt;&gt;"",PaymentSchedule3[[#This Row],[Beginning
Balance]]*(InterestRate/PaymentsPerYear),"")</f>
        <v>1104.9617387452354</v>
      </c>
      <c r="J255" s="25">
        <f ca="1">IF(PaymentSchedule3[[#This Row],[Payment Number]]&lt;&gt;"",IF(PaymentSchedule3[[#This Row],[Scheduled Payment]]+PaymentSchedule3[[#This Row],[Extra
Payment]]&lt;=PaymentSchedule3[[#This Row],[Beginning
Balance]],PaymentSchedule3[[#This Row],[Beginning
Balance]]-PaymentSchedule3[[#This Row],[Principal]],0),"")</f>
        <v>188314.84329860049</v>
      </c>
      <c r="K255" s="25">
        <f ca="1">IF(PaymentSchedule3[[#This Row],[Payment Number]]&lt;&gt;"",SUM(INDEX(PaymentSchedule3[Interest],1,1):PaymentSchedule3[[#This Row],[Interest]]),"")</f>
        <v>391150.49604453013</v>
      </c>
      <c r="L255" s="25">
        <f ca="1">IF(PaymentSchedule3[[#This Row],[Payment Number]]&lt;&gt;"",SUM(INDEX(PaymentSchedule3[Principal],1,1):PaymentSchedule3[[#This Row],[Principal]]),"")</f>
        <v>144185.15670139965</v>
      </c>
    </row>
    <row r="256" spans="2:12" x14ac:dyDescent="0.25">
      <c r="B256" s="23">
        <f ca="1">IF(LoanIsGood,IF(ROW()-ROW(PaymentSchedule3[[#Headers],[Payment Number]])&gt;ScheduledNumberOfPayments,"",ROW()-ROW(PaymentSchedule3[[#Headers],[Payment Number]])),"")</f>
        <v>243</v>
      </c>
      <c r="C256" s="24">
        <f ca="1">IF(PaymentSchedule3[[#This Row],[Payment Number]]&lt;&gt;"",EOMONTH(LoanStartDate,ROW(PaymentSchedule3[[#This Row],[Payment Number]])-ROW(PaymentSchedule3[[#Headers],[Payment Number]])-2)+DAY(LoanStartDate),"")</f>
        <v>52833</v>
      </c>
      <c r="D256" s="25">
        <f ca="1">IF(PaymentSchedule3[[#This Row],[Payment Number]]&lt;&gt;"",IF(ROW()-ROW(PaymentSchedule3[[#Headers],[Beginning
Balance]])=1,LoanAmount,INDEX(PaymentSchedule3[Ending
Balance],ROW()-ROW(PaymentSchedule3[[#Headers],[Beginning
Balance]])-1)),"")</f>
        <v>188314.84329860049</v>
      </c>
      <c r="E256" s="25">
        <f ca="1">IF(PaymentSchedule3[[#This Row],[Payment Number]]&lt;&gt;"",ScheduledPayment,"")</f>
        <v>2212.1307964707844</v>
      </c>
      <c r="F2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6" s="25">
        <f ca="1">IF(PaymentSchedule3[[#This Row],[Payment Number]]&lt;&gt;"",PaymentSchedule3[[#This Row],[Total
Payment]]-PaymentSchedule3[[#This Row],[Interest]],"")</f>
        <v>1113.6275438956147</v>
      </c>
      <c r="I256" s="25">
        <f ca="1">IF(PaymentSchedule3[[#This Row],[Payment Number]]&lt;&gt;"",PaymentSchedule3[[#This Row],[Beginning
Balance]]*(InterestRate/PaymentsPerYear),"")</f>
        <v>1098.5032525751697</v>
      </c>
      <c r="J256" s="25">
        <f ca="1">IF(PaymentSchedule3[[#This Row],[Payment Number]]&lt;&gt;"",IF(PaymentSchedule3[[#This Row],[Scheduled Payment]]+PaymentSchedule3[[#This Row],[Extra
Payment]]&lt;=PaymentSchedule3[[#This Row],[Beginning
Balance]],PaymentSchedule3[[#This Row],[Beginning
Balance]]-PaymentSchedule3[[#This Row],[Principal]],0),"")</f>
        <v>187201.21575470487</v>
      </c>
      <c r="K256" s="25">
        <f ca="1">IF(PaymentSchedule3[[#This Row],[Payment Number]]&lt;&gt;"",SUM(INDEX(PaymentSchedule3[Interest],1,1):PaymentSchedule3[[#This Row],[Interest]]),"")</f>
        <v>392248.9992971053</v>
      </c>
      <c r="L256" s="25">
        <f ca="1">IF(PaymentSchedule3[[#This Row],[Payment Number]]&lt;&gt;"",SUM(INDEX(PaymentSchedule3[Principal],1,1):PaymentSchedule3[[#This Row],[Principal]]),"")</f>
        <v>145298.78424529528</v>
      </c>
    </row>
    <row r="257" spans="2:12" x14ac:dyDescent="0.25">
      <c r="B257" s="23">
        <f ca="1">IF(LoanIsGood,IF(ROW()-ROW(PaymentSchedule3[[#Headers],[Payment Number]])&gt;ScheduledNumberOfPayments,"",ROW()-ROW(PaymentSchedule3[[#Headers],[Payment Number]])),"")</f>
        <v>244</v>
      </c>
      <c r="C257" s="24">
        <f ca="1">IF(PaymentSchedule3[[#This Row],[Payment Number]]&lt;&gt;"",EOMONTH(LoanStartDate,ROW(PaymentSchedule3[[#This Row],[Payment Number]])-ROW(PaymentSchedule3[[#Headers],[Payment Number]])-2)+DAY(LoanStartDate),"")</f>
        <v>52864</v>
      </c>
      <c r="D257" s="25">
        <f ca="1">IF(PaymentSchedule3[[#This Row],[Payment Number]]&lt;&gt;"",IF(ROW()-ROW(PaymentSchedule3[[#Headers],[Beginning
Balance]])=1,LoanAmount,INDEX(PaymentSchedule3[Ending
Balance],ROW()-ROW(PaymentSchedule3[[#Headers],[Beginning
Balance]])-1)),"")</f>
        <v>187201.21575470487</v>
      </c>
      <c r="E257" s="25">
        <f ca="1">IF(PaymentSchedule3[[#This Row],[Payment Number]]&lt;&gt;"",ScheduledPayment,"")</f>
        <v>2212.1307964707844</v>
      </c>
      <c r="F2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7" s="25">
        <f ca="1">IF(PaymentSchedule3[[#This Row],[Payment Number]]&lt;&gt;"",PaymentSchedule3[[#This Row],[Total
Payment]]-PaymentSchedule3[[#This Row],[Interest]],"")</f>
        <v>1120.1237045683392</v>
      </c>
      <c r="I257" s="25">
        <f ca="1">IF(PaymentSchedule3[[#This Row],[Payment Number]]&lt;&gt;"",PaymentSchedule3[[#This Row],[Beginning
Balance]]*(InterestRate/PaymentsPerYear),"")</f>
        <v>1092.0070919024452</v>
      </c>
      <c r="J257" s="25">
        <f ca="1">IF(PaymentSchedule3[[#This Row],[Payment Number]]&lt;&gt;"",IF(PaymentSchedule3[[#This Row],[Scheduled Payment]]+PaymentSchedule3[[#This Row],[Extra
Payment]]&lt;=PaymentSchedule3[[#This Row],[Beginning
Balance]],PaymentSchedule3[[#This Row],[Beginning
Balance]]-PaymentSchedule3[[#This Row],[Principal]],0),"")</f>
        <v>186081.09205013653</v>
      </c>
      <c r="K257" s="25">
        <f ca="1">IF(PaymentSchedule3[[#This Row],[Payment Number]]&lt;&gt;"",SUM(INDEX(PaymentSchedule3[Interest],1,1):PaymentSchedule3[[#This Row],[Interest]]),"")</f>
        <v>393341.00638900773</v>
      </c>
      <c r="L257" s="25">
        <f ca="1">IF(PaymentSchedule3[[#This Row],[Payment Number]]&lt;&gt;"",SUM(INDEX(PaymentSchedule3[Principal],1,1):PaymentSchedule3[[#This Row],[Principal]]),"")</f>
        <v>146418.90794986361</v>
      </c>
    </row>
    <row r="258" spans="2:12" x14ac:dyDescent="0.25">
      <c r="B258" s="23">
        <f ca="1">IF(LoanIsGood,IF(ROW()-ROW(PaymentSchedule3[[#Headers],[Payment Number]])&gt;ScheduledNumberOfPayments,"",ROW()-ROW(PaymentSchedule3[[#Headers],[Payment Number]])),"")</f>
        <v>245</v>
      </c>
      <c r="C258" s="24">
        <f ca="1">IF(PaymentSchedule3[[#This Row],[Payment Number]]&lt;&gt;"",EOMONTH(LoanStartDate,ROW(PaymentSchedule3[[#This Row],[Payment Number]])-ROW(PaymentSchedule3[[#Headers],[Payment Number]])-2)+DAY(LoanStartDate),"")</f>
        <v>52894</v>
      </c>
      <c r="D258" s="25">
        <f ca="1">IF(PaymentSchedule3[[#This Row],[Payment Number]]&lt;&gt;"",IF(ROW()-ROW(PaymentSchedule3[[#Headers],[Beginning
Balance]])=1,LoanAmount,INDEX(PaymentSchedule3[Ending
Balance],ROW()-ROW(PaymentSchedule3[[#Headers],[Beginning
Balance]])-1)),"")</f>
        <v>186081.09205013653</v>
      </c>
      <c r="E258" s="25">
        <f ca="1">IF(PaymentSchedule3[[#This Row],[Payment Number]]&lt;&gt;"",ScheduledPayment,"")</f>
        <v>2212.1307964707844</v>
      </c>
      <c r="F2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8" s="25">
        <f ca="1">IF(PaymentSchedule3[[#This Row],[Payment Number]]&lt;&gt;"",PaymentSchedule3[[#This Row],[Total
Payment]]-PaymentSchedule3[[#This Row],[Interest]],"")</f>
        <v>1126.6577595116546</v>
      </c>
      <c r="I258" s="25">
        <f ca="1">IF(PaymentSchedule3[[#This Row],[Payment Number]]&lt;&gt;"",PaymentSchedule3[[#This Row],[Beginning
Balance]]*(InterestRate/PaymentsPerYear),"")</f>
        <v>1085.4730369591298</v>
      </c>
      <c r="J258" s="25">
        <f ca="1">IF(PaymentSchedule3[[#This Row],[Payment Number]]&lt;&gt;"",IF(PaymentSchedule3[[#This Row],[Scheduled Payment]]+PaymentSchedule3[[#This Row],[Extra
Payment]]&lt;=PaymentSchedule3[[#This Row],[Beginning
Balance]],PaymentSchedule3[[#This Row],[Beginning
Balance]]-PaymentSchedule3[[#This Row],[Principal]],0),"")</f>
        <v>184954.43429062486</v>
      </c>
      <c r="K258" s="25">
        <f ca="1">IF(PaymentSchedule3[[#This Row],[Payment Number]]&lt;&gt;"",SUM(INDEX(PaymentSchedule3[Interest],1,1):PaymentSchedule3[[#This Row],[Interest]]),"")</f>
        <v>394426.47942596686</v>
      </c>
      <c r="L258" s="25">
        <f ca="1">IF(PaymentSchedule3[[#This Row],[Payment Number]]&lt;&gt;"",SUM(INDEX(PaymentSchedule3[Principal],1,1):PaymentSchedule3[[#This Row],[Principal]]),"")</f>
        <v>147545.56570937528</v>
      </c>
    </row>
    <row r="259" spans="2:12" x14ac:dyDescent="0.25">
      <c r="B259" s="23">
        <f ca="1">IF(LoanIsGood,IF(ROW()-ROW(PaymentSchedule3[[#Headers],[Payment Number]])&gt;ScheduledNumberOfPayments,"",ROW()-ROW(PaymentSchedule3[[#Headers],[Payment Number]])),"")</f>
        <v>246</v>
      </c>
      <c r="C259" s="24">
        <f ca="1">IF(PaymentSchedule3[[#This Row],[Payment Number]]&lt;&gt;"",EOMONTH(LoanStartDate,ROW(PaymentSchedule3[[#This Row],[Payment Number]])-ROW(PaymentSchedule3[[#Headers],[Payment Number]])-2)+DAY(LoanStartDate),"")</f>
        <v>52925</v>
      </c>
      <c r="D259" s="25">
        <f ca="1">IF(PaymentSchedule3[[#This Row],[Payment Number]]&lt;&gt;"",IF(ROW()-ROW(PaymentSchedule3[[#Headers],[Beginning
Balance]])=1,LoanAmount,INDEX(PaymentSchedule3[Ending
Balance],ROW()-ROW(PaymentSchedule3[[#Headers],[Beginning
Balance]])-1)),"")</f>
        <v>184954.43429062486</v>
      </c>
      <c r="E259" s="25">
        <f ca="1">IF(PaymentSchedule3[[#This Row],[Payment Number]]&lt;&gt;"",ScheduledPayment,"")</f>
        <v>2212.1307964707844</v>
      </c>
      <c r="F2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59" s="25">
        <f ca="1">IF(PaymentSchedule3[[#This Row],[Payment Number]]&lt;&gt;"",PaymentSchedule3[[#This Row],[Total
Payment]]-PaymentSchedule3[[#This Row],[Interest]],"")</f>
        <v>1133.2299297754726</v>
      </c>
      <c r="I259" s="25">
        <f ca="1">IF(PaymentSchedule3[[#This Row],[Payment Number]]&lt;&gt;"",PaymentSchedule3[[#This Row],[Beginning
Balance]]*(InterestRate/PaymentsPerYear),"")</f>
        <v>1078.9008666953118</v>
      </c>
      <c r="J259" s="25">
        <f ca="1">IF(PaymentSchedule3[[#This Row],[Payment Number]]&lt;&gt;"",IF(PaymentSchedule3[[#This Row],[Scheduled Payment]]+PaymentSchedule3[[#This Row],[Extra
Payment]]&lt;=PaymentSchedule3[[#This Row],[Beginning
Balance]],PaymentSchedule3[[#This Row],[Beginning
Balance]]-PaymentSchedule3[[#This Row],[Principal]],0),"")</f>
        <v>183821.2043608494</v>
      </c>
      <c r="K259" s="25">
        <f ca="1">IF(PaymentSchedule3[[#This Row],[Payment Number]]&lt;&gt;"",SUM(INDEX(PaymentSchedule3[Interest],1,1):PaymentSchedule3[[#This Row],[Interest]]),"")</f>
        <v>395505.38029266219</v>
      </c>
      <c r="L259" s="25">
        <f ca="1">IF(PaymentSchedule3[[#This Row],[Payment Number]]&lt;&gt;"",SUM(INDEX(PaymentSchedule3[Principal],1,1):PaymentSchedule3[[#This Row],[Principal]]),"")</f>
        <v>148678.79563915075</v>
      </c>
    </row>
    <row r="260" spans="2:12" x14ac:dyDescent="0.25">
      <c r="B260" s="23">
        <f ca="1">IF(LoanIsGood,IF(ROW()-ROW(PaymentSchedule3[[#Headers],[Payment Number]])&gt;ScheduledNumberOfPayments,"",ROW()-ROW(PaymentSchedule3[[#Headers],[Payment Number]])),"")</f>
        <v>247</v>
      </c>
      <c r="C260" s="24">
        <f ca="1">IF(PaymentSchedule3[[#This Row],[Payment Number]]&lt;&gt;"",EOMONTH(LoanStartDate,ROW(PaymentSchedule3[[#This Row],[Payment Number]])-ROW(PaymentSchedule3[[#Headers],[Payment Number]])-2)+DAY(LoanStartDate),"")</f>
        <v>52955</v>
      </c>
      <c r="D260" s="25">
        <f ca="1">IF(PaymentSchedule3[[#This Row],[Payment Number]]&lt;&gt;"",IF(ROW()-ROW(PaymentSchedule3[[#Headers],[Beginning
Balance]])=1,LoanAmount,INDEX(PaymentSchedule3[Ending
Balance],ROW()-ROW(PaymentSchedule3[[#Headers],[Beginning
Balance]])-1)),"")</f>
        <v>183821.2043608494</v>
      </c>
      <c r="E260" s="25">
        <f ca="1">IF(PaymentSchedule3[[#This Row],[Payment Number]]&lt;&gt;"",ScheduledPayment,"")</f>
        <v>2212.1307964707844</v>
      </c>
      <c r="F2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0" s="25">
        <f ca="1">IF(PaymentSchedule3[[#This Row],[Payment Number]]&lt;&gt;"",PaymentSchedule3[[#This Row],[Total
Payment]]-PaymentSchedule3[[#This Row],[Interest]],"")</f>
        <v>1139.8404376991627</v>
      </c>
      <c r="I260" s="25">
        <f ca="1">IF(PaymentSchedule3[[#This Row],[Payment Number]]&lt;&gt;"",PaymentSchedule3[[#This Row],[Beginning
Balance]]*(InterestRate/PaymentsPerYear),"")</f>
        <v>1072.2903587716216</v>
      </c>
      <c r="J260" s="25">
        <f ca="1">IF(PaymentSchedule3[[#This Row],[Payment Number]]&lt;&gt;"",IF(PaymentSchedule3[[#This Row],[Scheduled Payment]]+PaymentSchedule3[[#This Row],[Extra
Payment]]&lt;=PaymentSchedule3[[#This Row],[Beginning
Balance]],PaymentSchedule3[[#This Row],[Beginning
Balance]]-PaymentSchedule3[[#This Row],[Principal]],0),"")</f>
        <v>182681.36392315023</v>
      </c>
      <c r="K260" s="25">
        <f ca="1">IF(PaymentSchedule3[[#This Row],[Payment Number]]&lt;&gt;"",SUM(INDEX(PaymentSchedule3[Interest],1,1):PaymentSchedule3[[#This Row],[Interest]]),"")</f>
        <v>396577.67065143381</v>
      </c>
      <c r="L260" s="25">
        <f ca="1">IF(PaymentSchedule3[[#This Row],[Payment Number]]&lt;&gt;"",SUM(INDEX(PaymentSchedule3[Principal],1,1):PaymentSchedule3[[#This Row],[Principal]]),"")</f>
        <v>149818.63607684991</v>
      </c>
    </row>
    <row r="261" spans="2:12" x14ac:dyDescent="0.25">
      <c r="B261" s="23">
        <f ca="1">IF(LoanIsGood,IF(ROW()-ROW(PaymentSchedule3[[#Headers],[Payment Number]])&gt;ScheduledNumberOfPayments,"",ROW()-ROW(PaymentSchedule3[[#Headers],[Payment Number]])),"")</f>
        <v>248</v>
      </c>
      <c r="C261" s="24">
        <f ca="1">IF(PaymentSchedule3[[#This Row],[Payment Number]]&lt;&gt;"",EOMONTH(LoanStartDate,ROW(PaymentSchedule3[[#This Row],[Payment Number]])-ROW(PaymentSchedule3[[#Headers],[Payment Number]])-2)+DAY(LoanStartDate),"")</f>
        <v>52986</v>
      </c>
      <c r="D261" s="25">
        <f ca="1">IF(PaymentSchedule3[[#This Row],[Payment Number]]&lt;&gt;"",IF(ROW()-ROW(PaymentSchedule3[[#Headers],[Beginning
Balance]])=1,LoanAmount,INDEX(PaymentSchedule3[Ending
Balance],ROW()-ROW(PaymentSchedule3[[#Headers],[Beginning
Balance]])-1)),"")</f>
        <v>182681.36392315023</v>
      </c>
      <c r="E261" s="25">
        <f ca="1">IF(PaymentSchedule3[[#This Row],[Payment Number]]&lt;&gt;"",ScheduledPayment,"")</f>
        <v>2212.1307964707844</v>
      </c>
      <c r="F2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1" s="25">
        <f ca="1">IF(PaymentSchedule3[[#This Row],[Payment Number]]&lt;&gt;"",PaymentSchedule3[[#This Row],[Total
Payment]]-PaymentSchedule3[[#This Row],[Interest]],"")</f>
        <v>1146.4895069190748</v>
      </c>
      <c r="I261" s="25">
        <f ca="1">IF(PaymentSchedule3[[#This Row],[Payment Number]]&lt;&gt;"",PaymentSchedule3[[#This Row],[Beginning
Balance]]*(InterestRate/PaymentsPerYear),"")</f>
        <v>1065.6412895517096</v>
      </c>
      <c r="J261" s="25">
        <f ca="1">IF(PaymentSchedule3[[#This Row],[Payment Number]]&lt;&gt;"",IF(PaymentSchedule3[[#This Row],[Scheduled Payment]]+PaymentSchedule3[[#This Row],[Extra
Payment]]&lt;=PaymentSchedule3[[#This Row],[Beginning
Balance]],PaymentSchedule3[[#This Row],[Beginning
Balance]]-PaymentSchedule3[[#This Row],[Principal]],0),"")</f>
        <v>181534.87441623115</v>
      </c>
      <c r="K261" s="25">
        <f ca="1">IF(PaymentSchedule3[[#This Row],[Payment Number]]&lt;&gt;"",SUM(INDEX(PaymentSchedule3[Interest],1,1):PaymentSchedule3[[#This Row],[Interest]]),"")</f>
        <v>397643.3119409855</v>
      </c>
      <c r="L261" s="25">
        <f ca="1">IF(PaymentSchedule3[[#This Row],[Payment Number]]&lt;&gt;"",SUM(INDEX(PaymentSchedule3[Principal],1,1):PaymentSchedule3[[#This Row],[Principal]]),"")</f>
        <v>150965.125583769</v>
      </c>
    </row>
    <row r="262" spans="2:12" x14ac:dyDescent="0.25">
      <c r="B262" s="23">
        <f ca="1">IF(LoanIsGood,IF(ROW()-ROW(PaymentSchedule3[[#Headers],[Payment Number]])&gt;ScheduledNumberOfPayments,"",ROW()-ROW(PaymentSchedule3[[#Headers],[Payment Number]])),"")</f>
        <v>249</v>
      </c>
      <c r="C262" s="24">
        <f ca="1">IF(PaymentSchedule3[[#This Row],[Payment Number]]&lt;&gt;"",EOMONTH(LoanStartDate,ROW(PaymentSchedule3[[#This Row],[Payment Number]])-ROW(PaymentSchedule3[[#Headers],[Payment Number]])-2)+DAY(LoanStartDate),"")</f>
        <v>53017</v>
      </c>
      <c r="D262" s="25">
        <f ca="1">IF(PaymentSchedule3[[#This Row],[Payment Number]]&lt;&gt;"",IF(ROW()-ROW(PaymentSchedule3[[#Headers],[Beginning
Balance]])=1,LoanAmount,INDEX(PaymentSchedule3[Ending
Balance],ROW()-ROW(PaymentSchedule3[[#Headers],[Beginning
Balance]])-1)),"")</f>
        <v>181534.87441623115</v>
      </c>
      <c r="E262" s="25">
        <f ca="1">IF(PaymentSchedule3[[#This Row],[Payment Number]]&lt;&gt;"",ScheduledPayment,"")</f>
        <v>2212.1307964707844</v>
      </c>
      <c r="F2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2" s="25">
        <f ca="1">IF(PaymentSchedule3[[#This Row],[Payment Number]]&lt;&gt;"",PaymentSchedule3[[#This Row],[Total
Payment]]-PaymentSchedule3[[#This Row],[Interest]],"")</f>
        <v>1153.1773623761026</v>
      </c>
      <c r="I262" s="25">
        <f ca="1">IF(PaymentSchedule3[[#This Row],[Payment Number]]&lt;&gt;"",PaymentSchedule3[[#This Row],[Beginning
Balance]]*(InterestRate/PaymentsPerYear),"")</f>
        <v>1058.9534340946818</v>
      </c>
      <c r="J262" s="25">
        <f ca="1">IF(PaymentSchedule3[[#This Row],[Payment Number]]&lt;&gt;"",IF(PaymentSchedule3[[#This Row],[Scheduled Payment]]+PaymentSchedule3[[#This Row],[Extra
Payment]]&lt;=PaymentSchedule3[[#This Row],[Beginning
Balance]],PaymentSchedule3[[#This Row],[Beginning
Balance]]-PaymentSchedule3[[#This Row],[Principal]],0),"")</f>
        <v>180381.69705385505</v>
      </c>
      <c r="K262" s="25">
        <f ca="1">IF(PaymentSchedule3[[#This Row],[Payment Number]]&lt;&gt;"",SUM(INDEX(PaymentSchedule3[Interest],1,1):PaymentSchedule3[[#This Row],[Interest]]),"")</f>
        <v>398702.26537508017</v>
      </c>
      <c r="L262" s="25">
        <f ca="1">IF(PaymentSchedule3[[#This Row],[Payment Number]]&lt;&gt;"",SUM(INDEX(PaymentSchedule3[Principal],1,1):PaymentSchedule3[[#This Row],[Principal]]),"")</f>
        <v>152118.30294614509</v>
      </c>
    </row>
    <row r="263" spans="2:12" x14ac:dyDescent="0.25">
      <c r="B263" s="23">
        <f ca="1">IF(LoanIsGood,IF(ROW()-ROW(PaymentSchedule3[[#Headers],[Payment Number]])&gt;ScheduledNumberOfPayments,"",ROW()-ROW(PaymentSchedule3[[#Headers],[Payment Number]])),"")</f>
        <v>250</v>
      </c>
      <c r="C263" s="24">
        <f ca="1">IF(PaymentSchedule3[[#This Row],[Payment Number]]&lt;&gt;"",EOMONTH(LoanStartDate,ROW(PaymentSchedule3[[#This Row],[Payment Number]])-ROW(PaymentSchedule3[[#Headers],[Payment Number]])-2)+DAY(LoanStartDate),"")</f>
        <v>53045</v>
      </c>
      <c r="D263" s="25">
        <f ca="1">IF(PaymentSchedule3[[#This Row],[Payment Number]]&lt;&gt;"",IF(ROW()-ROW(PaymentSchedule3[[#Headers],[Beginning
Balance]])=1,LoanAmount,INDEX(PaymentSchedule3[Ending
Balance],ROW()-ROW(PaymentSchedule3[[#Headers],[Beginning
Balance]])-1)),"")</f>
        <v>180381.69705385505</v>
      </c>
      <c r="E263" s="25">
        <f ca="1">IF(PaymentSchedule3[[#This Row],[Payment Number]]&lt;&gt;"",ScheduledPayment,"")</f>
        <v>2212.1307964707844</v>
      </c>
      <c r="F2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3" s="25">
        <f ca="1">IF(PaymentSchedule3[[#This Row],[Payment Number]]&lt;&gt;"",PaymentSchedule3[[#This Row],[Total
Payment]]-PaymentSchedule3[[#This Row],[Interest]],"")</f>
        <v>1159.9042303232966</v>
      </c>
      <c r="I263" s="25">
        <f ca="1">IF(PaymentSchedule3[[#This Row],[Payment Number]]&lt;&gt;"",PaymentSchedule3[[#This Row],[Beginning
Balance]]*(InterestRate/PaymentsPerYear),"")</f>
        <v>1052.2265661474878</v>
      </c>
      <c r="J263" s="25">
        <f ca="1">IF(PaymentSchedule3[[#This Row],[Payment Number]]&lt;&gt;"",IF(PaymentSchedule3[[#This Row],[Scheduled Payment]]+PaymentSchedule3[[#This Row],[Extra
Payment]]&lt;=PaymentSchedule3[[#This Row],[Beginning
Balance]],PaymentSchedule3[[#This Row],[Beginning
Balance]]-PaymentSchedule3[[#This Row],[Principal]],0),"")</f>
        <v>179221.79282353175</v>
      </c>
      <c r="K263" s="25">
        <f ca="1">IF(PaymentSchedule3[[#This Row],[Payment Number]]&lt;&gt;"",SUM(INDEX(PaymentSchedule3[Interest],1,1):PaymentSchedule3[[#This Row],[Interest]]),"")</f>
        <v>399754.49194122764</v>
      </c>
      <c r="L263" s="25">
        <f ca="1">IF(PaymentSchedule3[[#This Row],[Payment Number]]&lt;&gt;"",SUM(INDEX(PaymentSchedule3[Principal],1,1):PaymentSchedule3[[#This Row],[Principal]]),"")</f>
        <v>153278.20717646839</v>
      </c>
    </row>
    <row r="264" spans="2:12" x14ac:dyDescent="0.25">
      <c r="B264" s="23">
        <f ca="1">IF(LoanIsGood,IF(ROW()-ROW(PaymentSchedule3[[#Headers],[Payment Number]])&gt;ScheduledNumberOfPayments,"",ROW()-ROW(PaymentSchedule3[[#Headers],[Payment Number]])),"")</f>
        <v>251</v>
      </c>
      <c r="C264" s="24">
        <f ca="1">IF(PaymentSchedule3[[#This Row],[Payment Number]]&lt;&gt;"",EOMONTH(LoanStartDate,ROW(PaymentSchedule3[[#This Row],[Payment Number]])-ROW(PaymentSchedule3[[#Headers],[Payment Number]])-2)+DAY(LoanStartDate),"")</f>
        <v>53076</v>
      </c>
      <c r="D264" s="25">
        <f ca="1">IF(PaymentSchedule3[[#This Row],[Payment Number]]&lt;&gt;"",IF(ROW()-ROW(PaymentSchedule3[[#Headers],[Beginning
Balance]])=1,LoanAmount,INDEX(PaymentSchedule3[Ending
Balance],ROW()-ROW(PaymentSchedule3[[#Headers],[Beginning
Balance]])-1)),"")</f>
        <v>179221.79282353175</v>
      </c>
      <c r="E264" s="25">
        <f ca="1">IF(PaymentSchedule3[[#This Row],[Payment Number]]&lt;&gt;"",ScheduledPayment,"")</f>
        <v>2212.1307964707844</v>
      </c>
      <c r="F2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4" s="25">
        <f ca="1">IF(PaymentSchedule3[[#This Row],[Payment Number]]&lt;&gt;"",PaymentSchedule3[[#This Row],[Total
Payment]]-PaymentSchedule3[[#This Row],[Interest]],"")</f>
        <v>1166.6703383335157</v>
      </c>
      <c r="I264" s="25">
        <f ca="1">IF(PaymentSchedule3[[#This Row],[Payment Number]]&lt;&gt;"",PaymentSchedule3[[#This Row],[Beginning
Balance]]*(InterestRate/PaymentsPerYear),"")</f>
        <v>1045.4604581372687</v>
      </c>
      <c r="J264" s="25">
        <f ca="1">IF(PaymentSchedule3[[#This Row],[Payment Number]]&lt;&gt;"",IF(PaymentSchedule3[[#This Row],[Scheduled Payment]]+PaymentSchedule3[[#This Row],[Extra
Payment]]&lt;=PaymentSchedule3[[#This Row],[Beginning
Balance]],PaymentSchedule3[[#This Row],[Beginning
Balance]]-PaymentSchedule3[[#This Row],[Principal]],0),"")</f>
        <v>178055.12248519823</v>
      </c>
      <c r="K264" s="25">
        <f ca="1">IF(PaymentSchedule3[[#This Row],[Payment Number]]&lt;&gt;"",SUM(INDEX(PaymentSchedule3[Interest],1,1):PaymentSchedule3[[#This Row],[Interest]]),"")</f>
        <v>400799.95239936491</v>
      </c>
      <c r="L264" s="25">
        <f ca="1">IF(PaymentSchedule3[[#This Row],[Payment Number]]&lt;&gt;"",SUM(INDEX(PaymentSchedule3[Principal],1,1):PaymentSchedule3[[#This Row],[Principal]]),"")</f>
        <v>154444.87751480192</v>
      </c>
    </row>
    <row r="265" spans="2:12" x14ac:dyDescent="0.25">
      <c r="B265" s="23">
        <f ca="1">IF(LoanIsGood,IF(ROW()-ROW(PaymentSchedule3[[#Headers],[Payment Number]])&gt;ScheduledNumberOfPayments,"",ROW()-ROW(PaymentSchedule3[[#Headers],[Payment Number]])),"")</f>
        <v>252</v>
      </c>
      <c r="C265" s="24">
        <f ca="1">IF(PaymentSchedule3[[#This Row],[Payment Number]]&lt;&gt;"",EOMONTH(LoanStartDate,ROW(PaymentSchedule3[[#This Row],[Payment Number]])-ROW(PaymentSchedule3[[#Headers],[Payment Number]])-2)+DAY(LoanStartDate),"")</f>
        <v>53106</v>
      </c>
      <c r="D265" s="25">
        <f ca="1">IF(PaymentSchedule3[[#This Row],[Payment Number]]&lt;&gt;"",IF(ROW()-ROW(PaymentSchedule3[[#Headers],[Beginning
Balance]])=1,LoanAmount,INDEX(PaymentSchedule3[Ending
Balance],ROW()-ROW(PaymentSchedule3[[#Headers],[Beginning
Balance]])-1)),"")</f>
        <v>178055.12248519823</v>
      </c>
      <c r="E265" s="25">
        <f ca="1">IF(PaymentSchedule3[[#This Row],[Payment Number]]&lt;&gt;"",ScheduledPayment,"")</f>
        <v>2212.1307964707844</v>
      </c>
      <c r="F2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5" s="25">
        <f ca="1">IF(PaymentSchedule3[[#This Row],[Payment Number]]&lt;&gt;"",PaymentSchedule3[[#This Row],[Total
Payment]]-PaymentSchedule3[[#This Row],[Interest]],"")</f>
        <v>1173.4759153071279</v>
      </c>
      <c r="I265" s="25">
        <f ca="1">IF(PaymentSchedule3[[#This Row],[Payment Number]]&lt;&gt;"",PaymentSchedule3[[#This Row],[Beginning
Balance]]*(InterestRate/PaymentsPerYear),"")</f>
        <v>1038.6548811636565</v>
      </c>
      <c r="J265" s="25">
        <f ca="1">IF(PaymentSchedule3[[#This Row],[Payment Number]]&lt;&gt;"",IF(PaymentSchedule3[[#This Row],[Scheduled Payment]]+PaymentSchedule3[[#This Row],[Extra
Payment]]&lt;=PaymentSchedule3[[#This Row],[Beginning
Balance]],PaymentSchedule3[[#This Row],[Beginning
Balance]]-PaymentSchedule3[[#This Row],[Principal]],0),"")</f>
        <v>176881.64656989111</v>
      </c>
      <c r="K265" s="25">
        <f ca="1">IF(PaymentSchedule3[[#This Row],[Payment Number]]&lt;&gt;"",SUM(INDEX(PaymentSchedule3[Interest],1,1):PaymentSchedule3[[#This Row],[Interest]]),"")</f>
        <v>401838.60728052858</v>
      </c>
      <c r="L265" s="25">
        <f ca="1">IF(PaymentSchedule3[[#This Row],[Payment Number]]&lt;&gt;"",SUM(INDEX(PaymentSchedule3[Principal],1,1):PaymentSchedule3[[#This Row],[Principal]]),"")</f>
        <v>155618.35343010904</v>
      </c>
    </row>
    <row r="266" spans="2:12" x14ac:dyDescent="0.25">
      <c r="B266" s="23">
        <f ca="1">IF(LoanIsGood,IF(ROW()-ROW(PaymentSchedule3[[#Headers],[Payment Number]])&gt;ScheduledNumberOfPayments,"",ROW()-ROW(PaymentSchedule3[[#Headers],[Payment Number]])),"")</f>
        <v>253</v>
      </c>
      <c r="C266" s="24">
        <f ca="1">IF(PaymentSchedule3[[#This Row],[Payment Number]]&lt;&gt;"",EOMONTH(LoanStartDate,ROW(PaymentSchedule3[[#This Row],[Payment Number]])-ROW(PaymentSchedule3[[#Headers],[Payment Number]])-2)+DAY(LoanStartDate),"")</f>
        <v>53137</v>
      </c>
      <c r="D266" s="25">
        <f ca="1">IF(PaymentSchedule3[[#This Row],[Payment Number]]&lt;&gt;"",IF(ROW()-ROW(PaymentSchedule3[[#Headers],[Beginning
Balance]])=1,LoanAmount,INDEX(PaymentSchedule3[Ending
Balance],ROW()-ROW(PaymentSchedule3[[#Headers],[Beginning
Balance]])-1)),"")</f>
        <v>176881.64656989111</v>
      </c>
      <c r="E266" s="25">
        <f ca="1">IF(PaymentSchedule3[[#This Row],[Payment Number]]&lt;&gt;"",ScheduledPayment,"")</f>
        <v>2212.1307964707844</v>
      </c>
      <c r="F2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6" s="25">
        <f ca="1">IF(PaymentSchedule3[[#This Row],[Payment Number]]&lt;&gt;"",PaymentSchedule3[[#This Row],[Total
Payment]]-PaymentSchedule3[[#This Row],[Interest]],"")</f>
        <v>1180.321191479753</v>
      </c>
      <c r="I266" s="25">
        <f ca="1">IF(PaymentSchedule3[[#This Row],[Payment Number]]&lt;&gt;"",PaymentSchedule3[[#This Row],[Beginning
Balance]]*(InterestRate/PaymentsPerYear),"")</f>
        <v>1031.8096049910314</v>
      </c>
      <c r="J266" s="25">
        <f ca="1">IF(PaymentSchedule3[[#This Row],[Payment Number]]&lt;&gt;"",IF(PaymentSchedule3[[#This Row],[Scheduled Payment]]+PaymentSchedule3[[#This Row],[Extra
Payment]]&lt;=PaymentSchedule3[[#This Row],[Beginning
Balance]],PaymentSchedule3[[#This Row],[Beginning
Balance]]-PaymentSchedule3[[#This Row],[Principal]],0),"")</f>
        <v>175701.32537841136</v>
      </c>
      <c r="K266" s="25">
        <f ca="1">IF(PaymentSchedule3[[#This Row],[Payment Number]]&lt;&gt;"",SUM(INDEX(PaymentSchedule3[Interest],1,1):PaymentSchedule3[[#This Row],[Interest]]),"")</f>
        <v>402870.41688551963</v>
      </c>
      <c r="L266" s="25">
        <f ca="1">IF(PaymentSchedule3[[#This Row],[Payment Number]]&lt;&gt;"",SUM(INDEX(PaymentSchedule3[Principal],1,1):PaymentSchedule3[[#This Row],[Principal]]),"")</f>
        <v>156798.67462158878</v>
      </c>
    </row>
    <row r="267" spans="2:12" x14ac:dyDescent="0.25">
      <c r="B267" s="23">
        <f ca="1">IF(LoanIsGood,IF(ROW()-ROW(PaymentSchedule3[[#Headers],[Payment Number]])&gt;ScheduledNumberOfPayments,"",ROW()-ROW(PaymentSchedule3[[#Headers],[Payment Number]])),"")</f>
        <v>254</v>
      </c>
      <c r="C267" s="24">
        <f ca="1">IF(PaymentSchedule3[[#This Row],[Payment Number]]&lt;&gt;"",EOMONTH(LoanStartDate,ROW(PaymentSchedule3[[#This Row],[Payment Number]])-ROW(PaymentSchedule3[[#Headers],[Payment Number]])-2)+DAY(LoanStartDate),"")</f>
        <v>53167</v>
      </c>
      <c r="D267" s="25">
        <f ca="1">IF(PaymentSchedule3[[#This Row],[Payment Number]]&lt;&gt;"",IF(ROW()-ROW(PaymentSchedule3[[#Headers],[Beginning
Balance]])=1,LoanAmount,INDEX(PaymentSchedule3[Ending
Balance],ROW()-ROW(PaymentSchedule3[[#Headers],[Beginning
Balance]])-1)),"")</f>
        <v>175701.32537841136</v>
      </c>
      <c r="E267" s="25">
        <f ca="1">IF(PaymentSchedule3[[#This Row],[Payment Number]]&lt;&gt;"",ScheduledPayment,"")</f>
        <v>2212.1307964707844</v>
      </c>
      <c r="F2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7" s="25">
        <f ca="1">IF(PaymentSchedule3[[#This Row],[Payment Number]]&lt;&gt;"",PaymentSchedule3[[#This Row],[Total
Payment]]-PaymentSchedule3[[#This Row],[Interest]],"")</f>
        <v>1187.2063984300514</v>
      </c>
      <c r="I267" s="25">
        <f ca="1">IF(PaymentSchedule3[[#This Row],[Payment Number]]&lt;&gt;"",PaymentSchedule3[[#This Row],[Beginning
Balance]]*(InterestRate/PaymentsPerYear),"")</f>
        <v>1024.924398040733</v>
      </c>
      <c r="J267" s="25">
        <f ca="1">IF(PaymentSchedule3[[#This Row],[Payment Number]]&lt;&gt;"",IF(PaymentSchedule3[[#This Row],[Scheduled Payment]]+PaymentSchedule3[[#This Row],[Extra
Payment]]&lt;=PaymentSchedule3[[#This Row],[Beginning
Balance]],PaymentSchedule3[[#This Row],[Beginning
Balance]]-PaymentSchedule3[[#This Row],[Principal]],0),"")</f>
        <v>174514.11897998131</v>
      </c>
      <c r="K267" s="25">
        <f ca="1">IF(PaymentSchedule3[[#This Row],[Payment Number]]&lt;&gt;"",SUM(INDEX(PaymentSchedule3[Interest],1,1):PaymentSchedule3[[#This Row],[Interest]]),"")</f>
        <v>403895.34128356038</v>
      </c>
      <c r="L267" s="25">
        <f ca="1">IF(PaymentSchedule3[[#This Row],[Payment Number]]&lt;&gt;"",SUM(INDEX(PaymentSchedule3[Principal],1,1):PaymentSchedule3[[#This Row],[Principal]]),"")</f>
        <v>157985.88102001883</v>
      </c>
    </row>
    <row r="268" spans="2:12" x14ac:dyDescent="0.25">
      <c r="B268" s="23">
        <f ca="1">IF(LoanIsGood,IF(ROW()-ROW(PaymentSchedule3[[#Headers],[Payment Number]])&gt;ScheduledNumberOfPayments,"",ROW()-ROW(PaymentSchedule3[[#Headers],[Payment Number]])),"")</f>
        <v>255</v>
      </c>
      <c r="C268" s="24">
        <f ca="1">IF(PaymentSchedule3[[#This Row],[Payment Number]]&lt;&gt;"",EOMONTH(LoanStartDate,ROW(PaymentSchedule3[[#This Row],[Payment Number]])-ROW(PaymentSchedule3[[#Headers],[Payment Number]])-2)+DAY(LoanStartDate),"")</f>
        <v>53198</v>
      </c>
      <c r="D268" s="25">
        <f ca="1">IF(PaymentSchedule3[[#This Row],[Payment Number]]&lt;&gt;"",IF(ROW()-ROW(PaymentSchedule3[[#Headers],[Beginning
Balance]])=1,LoanAmount,INDEX(PaymentSchedule3[Ending
Balance],ROW()-ROW(PaymentSchedule3[[#Headers],[Beginning
Balance]])-1)),"")</f>
        <v>174514.11897998131</v>
      </c>
      <c r="E268" s="25">
        <f ca="1">IF(PaymentSchedule3[[#This Row],[Payment Number]]&lt;&gt;"",ScheduledPayment,"")</f>
        <v>2212.1307964707844</v>
      </c>
      <c r="F2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8" s="25">
        <f ca="1">IF(PaymentSchedule3[[#This Row],[Payment Number]]&lt;&gt;"",PaymentSchedule3[[#This Row],[Total
Payment]]-PaymentSchedule3[[#This Row],[Interest]],"")</f>
        <v>1194.1317690875599</v>
      </c>
      <c r="I268" s="25">
        <f ca="1">IF(PaymentSchedule3[[#This Row],[Payment Number]]&lt;&gt;"",PaymentSchedule3[[#This Row],[Beginning
Balance]]*(InterestRate/PaymentsPerYear),"")</f>
        <v>1017.9990273832244</v>
      </c>
      <c r="J268" s="25">
        <f ca="1">IF(PaymentSchedule3[[#This Row],[Payment Number]]&lt;&gt;"",IF(PaymentSchedule3[[#This Row],[Scheduled Payment]]+PaymentSchedule3[[#This Row],[Extra
Payment]]&lt;=PaymentSchedule3[[#This Row],[Beginning
Balance]],PaymentSchedule3[[#This Row],[Beginning
Balance]]-PaymentSchedule3[[#This Row],[Principal]],0),"")</f>
        <v>173319.98721089374</v>
      </c>
      <c r="K268" s="25">
        <f ca="1">IF(PaymentSchedule3[[#This Row],[Payment Number]]&lt;&gt;"",SUM(INDEX(PaymentSchedule3[Interest],1,1):PaymentSchedule3[[#This Row],[Interest]]),"")</f>
        <v>404913.3403109436</v>
      </c>
      <c r="L268" s="25">
        <f ca="1">IF(PaymentSchedule3[[#This Row],[Payment Number]]&lt;&gt;"",SUM(INDEX(PaymentSchedule3[Principal],1,1):PaymentSchedule3[[#This Row],[Principal]]),"")</f>
        <v>159180.0127891064</v>
      </c>
    </row>
    <row r="269" spans="2:12" x14ac:dyDescent="0.25">
      <c r="B269" s="23">
        <f ca="1">IF(LoanIsGood,IF(ROW()-ROW(PaymentSchedule3[[#Headers],[Payment Number]])&gt;ScheduledNumberOfPayments,"",ROW()-ROW(PaymentSchedule3[[#Headers],[Payment Number]])),"")</f>
        <v>256</v>
      </c>
      <c r="C269" s="24">
        <f ca="1">IF(PaymentSchedule3[[#This Row],[Payment Number]]&lt;&gt;"",EOMONTH(LoanStartDate,ROW(PaymentSchedule3[[#This Row],[Payment Number]])-ROW(PaymentSchedule3[[#Headers],[Payment Number]])-2)+DAY(LoanStartDate),"")</f>
        <v>53229</v>
      </c>
      <c r="D269" s="25">
        <f ca="1">IF(PaymentSchedule3[[#This Row],[Payment Number]]&lt;&gt;"",IF(ROW()-ROW(PaymentSchedule3[[#Headers],[Beginning
Balance]])=1,LoanAmount,INDEX(PaymentSchedule3[Ending
Balance],ROW()-ROW(PaymentSchedule3[[#Headers],[Beginning
Balance]])-1)),"")</f>
        <v>173319.98721089374</v>
      </c>
      <c r="E269" s="25">
        <f ca="1">IF(PaymentSchedule3[[#This Row],[Payment Number]]&lt;&gt;"",ScheduledPayment,"")</f>
        <v>2212.1307964707844</v>
      </c>
      <c r="F2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69" s="25">
        <f ca="1">IF(PaymentSchedule3[[#This Row],[Payment Number]]&lt;&gt;"",PaymentSchedule3[[#This Row],[Total
Payment]]-PaymentSchedule3[[#This Row],[Interest]],"")</f>
        <v>1201.0975377405707</v>
      </c>
      <c r="I269" s="25">
        <f ca="1">IF(PaymentSchedule3[[#This Row],[Payment Number]]&lt;&gt;"",PaymentSchedule3[[#This Row],[Beginning
Balance]]*(InterestRate/PaymentsPerYear),"")</f>
        <v>1011.0332587302136</v>
      </c>
      <c r="J269" s="25">
        <f ca="1">IF(PaymentSchedule3[[#This Row],[Payment Number]]&lt;&gt;"",IF(PaymentSchedule3[[#This Row],[Scheduled Payment]]+PaymentSchedule3[[#This Row],[Extra
Payment]]&lt;=PaymentSchedule3[[#This Row],[Beginning
Balance]],PaymentSchedule3[[#This Row],[Beginning
Balance]]-PaymentSchedule3[[#This Row],[Principal]],0),"")</f>
        <v>172118.88967315317</v>
      </c>
      <c r="K269" s="25">
        <f ca="1">IF(PaymentSchedule3[[#This Row],[Payment Number]]&lt;&gt;"",SUM(INDEX(PaymentSchedule3[Interest],1,1):PaymentSchedule3[[#This Row],[Interest]]),"")</f>
        <v>405924.3735696738</v>
      </c>
      <c r="L269" s="25">
        <f ca="1">IF(PaymentSchedule3[[#This Row],[Payment Number]]&lt;&gt;"",SUM(INDEX(PaymentSchedule3[Principal],1,1):PaymentSchedule3[[#This Row],[Principal]]),"")</f>
        <v>160381.11032684697</v>
      </c>
    </row>
    <row r="270" spans="2:12" x14ac:dyDescent="0.25">
      <c r="B270" s="23">
        <f ca="1">IF(LoanIsGood,IF(ROW()-ROW(PaymentSchedule3[[#Headers],[Payment Number]])&gt;ScheduledNumberOfPayments,"",ROW()-ROW(PaymentSchedule3[[#Headers],[Payment Number]])),"")</f>
        <v>257</v>
      </c>
      <c r="C270" s="24">
        <f ca="1">IF(PaymentSchedule3[[#This Row],[Payment Number]]&lt;&gt;"",EOMONTH(LoanStartDate,ROW(PaymentSchedule3[[#This Row],[Payment Number]])-ROW(PaymentSchedule3[[#Headers],[Payment Number]])-2)+DAY(LoanStartDate),"")</f>
        <v>53259</v>
      </c>
      <c r="D270" s="25">
        <f ca="1">IF(PaymentSchedule3[[#This Row],[Payment Number]]&lt;&gt;"",IF(ROW()-ROW(PaymentSchedule3[[#Headers],[Beginning
Balance]])=1,LoanAmount,INDEX(PaymentSchedule3[Ending
Balance],ROW()-ROW(PaymentSchedule3[[#Headers],[Beginning
Balance]])-1)),"")</f>
        <v>172118.88967315317</v>
      </c>
      <c r="E270" s="25">
        <f ca="1">IF(PaymentSchedule3[[#This Row],[Payment Number]]&lt;&gt;"",ScheduledPayment,"")</f>
        <v>2212.1307964707844</v>
      </c>
      <c r="F2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0" s="25">
        <f ca="1">IF(PaymentSchedule3[[#This Row],[Payment Number]]&lt;&gt;"",PaymentSchedule3[[#This Row],[Total
Payment]]-PaymentSchedule3[[#This Row],[Interest]],"")</f>
        <v>1208.1039400440575</v>
      </c>
      <c r="I270" s="25">
        <f ca="1">IF(PaymentSchedule3[[#This Row],[Payment Number]]&lt;&gt;"",PaymentSchedule3[[#This Row],[Beginning
Balance]]*(InterestRate/PaymentsPerYear),"")</f>
        <v>1004.0268564267269</v>
      </c>
      <c r="J270" s="25">
        <f ca="1">IF(PaymentSchedule3[[#This Row],[Payment Number]]&lt;&gt;"",IF(PaymentSchedule3[[#This Row],[Scheduled Payment]]+PaymentSchedule3[[#This Row],[Extra
Payment]]&lt;=PaymentSchedule3[[#This Row],[Beginning
Balance]],PaymentSchedule3[[#This Row],[Beginning
Balance]]-PaymentSchedule3[[#This Row],[Principal]],0),"")</f>
        <v>170910.78573310911</v>
      </c>
      <c r="K270" s="25">
        <f ca="1">IF(PaymentSchedule3[[#This Row],[Payment Number]]&lt;&gt;"",SUM(INDEX(PaymentSchedule3[Interest],1,1):PaymentSchedule3[[#This Row],[Interest]]),"")</f>
        <v>406928.40042610053</v>
      </c>
      <c r="L270" s="25">
        <f ca="1">IF(PaymentSchedule3[[#This Row],[Payment Number]]&lt;&gt;"",SUM(INDEX(PaymentSchedule3[Principal],1,1):PaymentSchedule3[[#This Row],[Principal]]),"")</f>
        <v>161589.21426689104</v>
      </c>
    </row>
    <row r="271" spans="2:12" x14ac:dyDescent="0.25">
      <c r="B271" s="23">
        <f ca="1">IF(LoanIsGood,IF(ROW()-ROW(PaymentSchedule3[[#Headers],[Payment Number]])&gt;ScheduledNumberOfPayments,"",ROW()-ROW(PaymentSchedule3[[#Headers],[Payment Number]])),"")</f>
        <v>258</v>
      </c>
      <c r="C271" s="24">
        <f ca="1">IF(PaymentSchedule3[[#This Row],[Payment Number]]&lt;&gt;"",EOMONTH(LoanStartDate,ROW(PaymentSchedule3[[#This Row],[Payment Number]])-ROW(PaymentSchedule3[[#Headers],[Payment Number]])-2)+DAY(LoanStartDate),"")</f>
        <v>53290</v>
      </c>
      <c r="D271" s="25">
        <f ca="1">IF(PaymentSchedule3[[#This Row],[Payment Number]]&lt;&gt;"",IF(ROW()-ROW(PaymentSchedule3[[#Headers],[Beginning
Balance]])=1,LoanAmount,INDEX(PaymentSchedule3[Ending
Balance],ROW()-ROW(PaymentSchedule3[[#Headers],[Beginning
Balance]])-1)),"")</f>
        <v>170910.78573310911</v>
      </c>
      <c r="E271" s="25">
        <f ca="1">IF(PaymentSchedule3[[#This Row],[Payment Number]]&lt;&gt;"",ScheduledPayment,"")</f>
        <v>2212.1307964707844</v>
      </c>
      <c r="F2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1" s="25">
        <f ca="1">IF(PaymentSchedule3[[#This Row],[Payment Number]]&lt;&gt;"",PaymentSchedule3[[#This Row],[Total
Payment]]-PaymentSchedule3[[#This Row],[Interest]],"")</f>
        <v>1215.1512130276478</v>
      </c>
      <c r="I271" s="25">
        <f ca="1">IF(PaymentSchedule3[[#This Row],[Payment Number]]&lt;&gt;"",PaymentSchedule3[[#This Row],[Beginning
Balance]]*(InterestRate/PaymentsPerYear),"")</f>
        <v>996.97958344313645</v>
      </c>
      <c r="J271" s="25">
        <f ca="1">IF(PaymentSchedule3[[#This Row],[Payment Number]]&lt;&gt;"",IF(PaymentSchedule3[[#This Row],[Scheduled Payment]]+PaymentSchedule3[[#This Row],[Extra
Payment]]&lt;=PaymentSchedule3[[#This Row],[Beginning
Balance]],PaymentSchedule3[[#This Row],[Beginning
Balance]]-PaymentSchedule3[[#This Row],[Principal]],0),"")</f>
        <v>169695.63452008145</v>
      </c>
      <c r="K271" s="25">
        <f ca="1">IF(PaymentSchedule3[[#This Row],[Payment Number]]&lt;&gt;"",SUM(INDEX(PaymentSchedule3[Interest],1,1):PaymentSchedule3[[#This Row],[Interest]]),"")</f>
        <v>407925.38000954367</v>
      </c>
      <c r="L271" s="25">
        <f ca="1">IF(PaymentSchedule3[[#This Row],[Payment Number]]&lt;&gt;"",SUM(INDEX(PaymentSchedule3[Principal],1,1):PaymentSchedule3[[#This Row],[Principal]]),"")</f>
        <v>162804.36547991869</v>
      </c>
    </row>
    <row r="272" spans="2:12" x14ac:dyDescent="0.25">
      <c r="B272" s="23">
        <f ca="1">IF(LoanIsGood,IF(ROW()-ROW(PaymentSchedule3[[#Headers],[Payment Number]])&gt;ScheduledNumberOfPayments,"",ROW()-ROW(PaymentSchedule3[[#Headers],[Payment Number]])),"")</f>
        <v>259</v>
      </c>
      <c r="C272" s="24">
        <f ca="1">IF(PaymentSchedule3[[#This Row],[Payment Number]]&lt;&gt;"",EOMONTH(LoanStartDate,ROW(PaymentSchedule3[[#This Row],[Payment Number]])-ROW(PaymentSchedule3[[#Headers],[Payment Number]])-2)+DAY(LoanStartDate),"")</f>
        <v>53320</v>
      </c>
      <c r="D272" s="25">
        <f ca="1">IF(PaymentSchedule3[[#This Row],[Payment Number]]&lt;&gt;"",IF(ROW()-ROW(PaymentSchedule3[[#Headers],[Beginning
Balance]])=1,LoanAmount,INDEX(PaymentSchedule3[Ending
Balance],ROW()-ROW(PaymentSchedule3[[#Headers],[Beginning
Balance]])-1)),"")</f>
        <v>169695.63452008145</v>
      </c>
      <c r="E272" s="25">
        <f ca="1">IF(PaymentSchedule3[[#This Row],[Payment Number]]&lt;&gt;"",ScheduledPayment,"")</f>
        <v>2212.1307964707844</v>
      </c>
      <c r="F2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2" s="25">
        <f ca="1">IF(PaymentSchedule3[[#This Row],[Payment Number]]&lt;&gt;"",PaymentSchedule3[[#This Row],[Total
Payment]]-PaymentSchedule3[[#This Row],[Interest]],"")</f>
        <v>1222.2395951036424</v>
      </c>
      <c r="I272" s="25">
        <f ca="1">IF(PaymentSchedule3[[#This Row],[Payment Number]]&lt;&gt;"",PaymentSchedule3[[#This Row],[Beginning
Balance]]*(InterestRate/PaymentsPerYear),"")</f>
        <v>989.89120136714189</v>
      </c>
      <c r="J272" s="25">
        <f ca="1">IF(PaymentSchedule3[[#This Row],[Payment Number]]&lt;&gt;"",IF(PaymentSchedule3[[#This Row],[Scheduled Payment]]+PaymentSchedule3[[#This Row],[Extra
Payment]]&lt;=PaymentSchedule3[[#This Row],[Beginning
Balance]],PaymentSchedule3[[#This Row],[Beginning
Balance]]-PaymentSchedule3[[#This Row],[Principal]],0),"")</f>
        <v>168473.39492497782</v>
      </c>
      <c r="K272" s="25">
        <f ca="1">IF(PaymentSchedule3[[#This Row],[Payment Number]]&lt;&gt;"",SUM(INDEX(PaymentSchedule3[Interest],1,1):PaymentSchedule3[[#This Row],[Interest]]),"")</f>
        <v>408915.27121091081</v>
      </c>
      <c r="L272" s="25">
        <f ca="1">IF(PaymentSchedule3[[#This Row],[Payment Number]]&lt;&gt;"",SUM(INDEX(PaymentSchedule3[Principal],1,1):PaymentSchedule3[[#This Row],[Principal]]),"")</f>
        <v>164026.60507502232</v>
      </c>
    </row>
    <row r="273" spans="2:12" x14ac:dyDescent="0.25">
      <c r="B273" s="23">
        <f ca="1">IF(LoanIsGood,IF(ROW()-ROW(PaymentSchedule3[[#Headers],[Payment Number]])&gt;ScheduledNumberOfPayments,"",ROW()-ROW(PaymentSchedule3[[#Headers],[Payment Number]])),"")</f>
        <v>260</v>
      </c>
      <c r="C273" s="24">
        <f ca="1">IF(PaymentSchedule3[[#This Row],[Payment Number]]&lt;&gt;"",EOMONTH(LoanStartDate,ROW(PaymentSchedule3[[#This Row],[Payment Number]])-ROW(PaymentSchedule3[[#Headers],[Payment Number]])-2)+DAY(LoanStartDate),"")</f>
        <v>53351</v>
      </c>
      <c r="D273" s="25">
        <f ca="1">IF(PaymentSchedule3[[#This Row],[Payment Number]]&lt;&gt;"",IF(ROW()-ROW(PaymentSchedule3[[#Headers],[Beginning
Balance]])=1,LoanAmount,INDEX(PaymentSchedule3[Ending
Balance],ROW()-ROW(PaymentSchedule3[[#Headers],[Beginning
Balance]])-1)),"")</f>
        <v>168473.39492497782</v>
      </c>
      <c r="E273" s="25">
        <f ca="1">IF(PaymentSchedule3[[#This Row],[Payment Number]]&lt;&gt;"",ScheduledPayment,"")</f>
        <v>2212.1307964707844</v>
      </c>
      <c r="F2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3" s="25">
        <f ca="1">IF(PaymentSchedule3[[#This Row],[Payment Number]]&lt;&gt;"",PaymentSchedule3[[#This Row],[Total
Payment]]-PaymentSchedule3[[#This Row],[Interest]],"")</f>
        <v>1229.3693260750804</v>
      </c>
      <c r="I273" s="25">
        <f ca="1">IF(PaymentSchedule3[[#This Row],[Payment Number]]&lt;&gt;"",PaymentSchedule3[[#This Row],[Beginning
Balance]]*(InterestRate/PaymentsPerYear),"")</f>
        <v>982.76147039570401</v>
      </c>
      <c r="J273" s="25">
        <f ca="1">IF(PaymentSchedule3[[#This Row],[Payment Number]]&lt;&gt;"",IF(PaymentSchedule3[[#This Row],[Scheduled Payment]]+PaymentSchedule3[[#This Row],[Extra
Payment]]&lt;=PaymentSchedule3[[#This Row],[Beginning
Balance]],PaymentSchedule3[[#This Row],[Beginning
Balance]]-PaymentSchedule3[[#This Row],[Principal]],0),"")</f>
        <v>167244.02559890275</v>
      </c>
      <c r="K273" s="25">
        <f ca="1">IF(PaymentSchedule3[[#This Row],[Payment Number]]&lt;&gt;"",SUM(INDEX(PaymentSchedule3[Interest],1,1):PaymentSchedule3[[#This Row],[Interest]]),"")</f>
        <v>409898.03268130653</v>
      </c>
      <c r="L273" s="25">
        <f ca="1">IF(PaymentSchedule3[[#This Row],[Payment Number]]&lt;&gt;"",SUM(INDEX(PaymentSchedule3[Principal],1,1):PaymentSchedule3[[#This Row],[Principal]]),"")</f>
        <v>165255.9744010974</v>
      </c>
    </row>
    <row r="274" spans="2:12" x14ac:dyDescent="0.25">
      <c r="B274" s="23">
        <f ca="1">IF(LoanIsGood,IF(ROW()-ROW(PaymentSchedule3[[#Headers],[Payment Number]])&gt;ScheduledNumberOfPayments,"",ROW()-ROW(PaymentSchedule3[[#Headers],[Payment Number]])),"")</f>
        <v>261</v>
      </c>
      <c r="C274" s="24">
        <f ca="1">IF(PaymentSchedule3[[#This Row],[Payment Number]]&lt;&gt;"",EOMONTH(LoanStartDate,ROW(PaymentSchedule3[[#This Row],[Payment Number]])-ROW(PaymentSchedule3[[#Headers],[Payment Number]])-2)+DAY(LoanStartDate),"")</f>
        <v>53382</v>
      </c>
      <c r="D274" s="25">
        <f ca="1">IF(PaymentSchedule3[[#This Row],[Payment Number]]&lt;&gt;"",IF(ROW()-ROW(PaymentSchedule3[[#Headers],[Beginning
Balance]])=1,LoanAmount,INDEX(PaymentSchedule3[Ending
Balance],ROW()-ROW(PaymentSchedule3[[#Headers],[Beginning
Balance]])-1)),"")</f>
        <v>167244.02559890275</v>
      </c>
      <c r="E274" s="25">
        <f ca="1">IF(PaymentSchedule3[[#This Row],[Payment Number]]&lt;&gt;"",ScheduledPayment,"")</f>
        <v>2212.1307964707844</v>
      </c>
      <c r="F2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4" s="25">
        <f ca="1">IF(PaymentSchedule3[[#This Row],[Payment Number]]&lt;&gt;"",PaymentSchedule3[[#This Row],[Total
Payment]]-PaymentSchedule3[[#This Row],[Interest]],"")</f>
        <v>1236.5406471438516</v>
      </c>
      <c r="I274" s="25">
        <f ca="1">IF(PaymentSchedule3[[#This Row],[Payment Number]]&lt;&gt;"",PaymentSchedule3[[#This Row],[Beginning
Balance]]*(InterestRate/PaymentsPerYear),"")</f>
        <v>975.59014932693276</v>
      </c>
      <c r="J274" s="25">
        <f ca="1">IF(PaymentSchedule3[[#This Row],[Payment Number]]&lt;&gt;"",IF(PaymentSchedule3[[#This Row],[Scheduled Payment]]+PaymentSchedule3[[#This Row],[Extra
Payment]]&lt;=PaymentSchedule3[[#This Row],[Beginning
Balance]],PaymentSchedule3[[#This Row],[Beginning
Balance]]-PaymentSchedule3[[#This Row],[Principal]],0),"")</f>
        <v>166007.4849517589</v>
      </c>
      <c r="K274" s="25">
        <f ca="1">IF(PaymentSchedule3[[#This Row],[Payment Number]]&lt;&gt;"",SUM(INDEX(PaymentSchedule3[Interest],1,1):PaymentSchedule3[[#This Row],[Interest]]),"")</f>
        <v>410873.62283063348</v>
      </c>
      <c r="L274" s="25">
        <f ca="1">IF(PaymentSchedule3[[#This Row],[Payment Number]]&lt;&gt;"",SUM(INDEX(PaymentSchedule3[Principal],1,1):PaymentSchedule3[[#This Row],[Principal]]),"")</f>
        <v>166492.51504824124</v>
      </c>
    </row>
    <row r="275" spans="2:12" x14ac:dyDescent="0.25">
      <c r="B275" s="23">
        <f ca="1">IF(LoanIsGood,IF(ROW()-ROW(PaymentSchedule3[[#Headers],[Payment Number]])&gt;ScheduledNumberOfPayments,"",ROW()-ROW(PaymentSchedule3[[#Headers],[Payment Number]])),"")</f>
        <v>262</v>
      </c>
      <c r="C275" s="24">
        <f ca="1">IF(PaymentSchedule3[[#This Row],[Payment Number]]&lt;&gt;"",EOMONTH(LoanStartDate,ROW(PaymentSchedule3[[#This Row],[Payment Number]])-ROW(PaymentSchedule3[[#Headers],[Payment Number]])-2)+DAY(LoanStartDate),"")</f>
        <v>53410</v>
      </c>
      <c r="D275" s="25">
        <f ca="1">IF(PaymentSchedule3[[#This Row],[Payment Number]]&lt;&gt;"",IF(ROW()-ROW(PaymentSchedule3[[#Headers],[Beginning
Balance]])=1,LoanAmount,INDEX(PaymentSchedule3[Ending
Balance],ROW()-ROW(PaymentSchedule3[[#Headers],[Beginning
Balance]])-1)),"")</f>
        <v>166007.4849517589</v>
      </c>
      <c r="E275" s="25">
        <f ca="1">IF(PaymentSchedule3[[#This Row],[Payment Number]]&lt;&gt;"",ScheduledPayment,"")</f>
        <v>2212.1307964707844</v>
      </c>
      <c r="F2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5" s="25">
        <f ca="1">IF(PaymentSchedule3[[#This Row],[Payment Number]]&lt;&gt;"",PaymentSchedule3[[#This Row],[Total
Payment]]-PaymentSchedule3[[#This Row],[Interest]],"")</f>
        <v>1243.7538009188575</v>
      </c>
      <c r="I275" s="25">
        <f ca="1">IF(PaymentSchedule3[[#This Row],[Payment Number]]&lt;&gt;"",PaymentSchedule3[[#This Row],[Beginning
Balance]]*(InterestRate/PaymentsPerYear),"")</f>
        <v>968.37699555192694</v>
      </c>
      <c r="J275" s="25">
        <f ca="1">IF(PaymentSchedule3[[#This Row],[Payment Number]]&lt;&gt;"",IF(PaymentSchedule3[[#This Row],[Scheduled Payment]]+PaymentSchedule3[[#This Row],[Extra
Payment]]&lt;=PaymentSchedule3[[#This Row],[Beginning
Balance]],PaymentSchedule3[[#This Row],[Beginning
Balance]]-PaymentSchedule3[[#This Row],[Principal]],0),"")</f>
        <v>164763.73115084006</v>
      </c>
      <c r="K275" s="25">
        <f ca="1">IF(PaymentSchedule3[[#This Row],[Payment Number]]&lt;&gt;"",SUM(INDEX(PaymentSchedule3[Interest],1,1):PaymentSchedule3[[#This Row],[Interest]]),"")</f>
        <v>411841.99982618541</v>
      </c>
      <c r="L275" s="25">
        <f ca="1">IF(PaymentSchedule3[[#This Row],[Payment Number]]&lt;&gt;"",SUM(INDEX(PaymentSchedule3[Principal],1,1):PaymentSchedule3[[#This Row],[Principal]]),"")</f>
        <v>167736.26884916011</v>
      </c>
    </row>
    <row r="276" spans="2:12" x14ac:dyDescent="0.25">
      <c r="B276" s="23">
        <f ca="1">IF(LoanIsGood,IF(ROW()-ROW(PaymentSchedule3[[#Headers],[Payment Number]])&gt;ScheduledNumberOfPayments,"",ROW()-ROW(PaymentSchedule3[[#Headers],[Payment Number]])),"")</f>
        <v>263</v>
      </c>
      <c r="C276" s="24">
        <f ca="1">IF(PaymentSchedule3[[#This Row],[Payment Number]]&lt;&gt;"",EOMONTH(LoanStartDate,ROW(PaymentSchedule3[[#This Row],[Payment Number]])-ROW(PaymentSchedule3[[#Headers],[Payment Number]])-2)+DAY(LoanStartDate),"")</f>
        <v>53441</v>
      </c>
      <c r="D276" s="25">
        <f ca="1">IF(PaymentSchedule3[[#This Row],[Payment Number]]&lt;&gt;"",IF(ROW()-ROW(PaymentSchedule3[[#Headers],[Beginning
Balance]])=1,LoanAmount,INDEX(PaymentSchedule3[Ending
Balance],ROW()-ROW(PaymentSchedule3[[#Headers],[Beginning
Balance]])-1)),"")</f>
        <v>164763.73115084006</v>
      </c>
      <c r="E276" s="25">
        <f ca="1">IF(PaymentSchedule3[[#This Row],[Payment Number]]&lt;&gt;"",ScheduledPayment,"")</f>
        <v>2212.1307964707844</v>
      </c>
      <c r="F2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6" s="25">
        <f ca="1">IF(PaymentSchedule3[[#This Row],[Payment Number]]&lt;&gt;"",PaymentSchedule3[[#This Row],[Total
Payment]]-PaymentSchedule3[[#This Row],[Interest]],"")</f>
        <v>1251.0090314242175</v>
      </c>
      <c r="I276" s="25">
        <f ca="1">IF(PaymentSchedule3[[#This Row],[Payment Number]]&lt;&gt;"",PaymentSchedule3[[#This Row],[Beginning
Balance]]*(InterestRate/PaymentsPerYear),"")</f>
        <v>961.12176504656702</v>
      </c>
      <c r="J276" s="25">
        <f ca="1">IF(PaymentSchedule3[[#This Row],[Payment Number]]&lt;&gt;"",IF(PaymentSchedule3[[#This Row],[Scheduled Payment]]+PaymentSchedule3[[#This Row],[Extra
Payment]]&lt;=PaymentSchedule3[[#This Row],[Beginning
Balance]],PaymentSchedule3[[#This Row],[Beginning
Balance]]-PaymentSchedule3[[#This Row],[Principal]],0),"")</f>
        <v>163512.72211941585</v>
      </c>
      <c r="K276" s="25">
        <f ca="1">IF(PaymentSchedule3[[#This Row],[Payment Number]]&lt;&gt;"",SUM(INDEX(PaymentSchedule3[Interest],1,1):PaymentSchedule3[[#This Row],[Interest]]),"")</f>
        <v>412803.12159123196</v>
      </c>
      <c r="L276" s="25">
        <f ca="1">IF(PaymentSchedule3[[#This Row],[Payment Number]]&lt;&gt;"",SUM(INDEX(PaymentSchedule3[Principal],1,1):PaymentSchedule3[[#This Row],[Principal]]),"")</f>
        <v>168987.27788058433</v>
      </c>
    </row>
    <row r="277" spans="2:12" x14ac:dyDescent="0.25">
      <c r="B277" s="23">
        <f ca="1">IF(LoanIsGood,IF(ROW()-ROW(PaymentSchedule3[[#Headers],[Payment Number]])&gt;ScheduledNumberOfPayments,"",ROW()-ROW(PaymentSchedule3[[#Headers],[Payment Number]])),"")</f>
        <v>264</v>
      </c>
      <c r="C277" s="24">
        <f ca="1">IF(PaymentSchedule3[[#This Row],[Payment Number]]&lt;&gt;"",EOMONTH(LoanStartDate,ROW(PaymentSchedule3[[#This Row],[Payment Number]])-ROW(PaymentSchedule3[[#Headers],[Payment Number]])-2)+DAY(LoanStartDate),"")</f>
        <v>53471</v>
      </c>
      <c r="D277" s="25">
        <f ca="1">IF(PaymentSchedule3[[#This Row],[Payment Number]]&lt;&gt;"",IF(ROW()-ROW(PaymentSchedule3[[#Headers],[Beginning
Balance]])=1,LoanAmount,INDEX(PaymentSchedule3[Ending
Balance],ROW()-ROW(PaymentSchedule3[[#Headers],[Beginning
Balance]])-1)),"")</f>
        <v>163512.72211941585</v>
      </c>
      <c r="E277" s="25">
        <f ca="1">IF(PaymentSchedule3[[#This Row],[Payment Number]]&lt;&gt;"",ScheduledPayment,"")</f>
        <v>2212.1307964707844</v>
      </c>
      <c r="F2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7" s="25">
        <f ca="1">IF(PaymentSchedule3[[#This Row],[Payment Number]]&lt;&gt;"",PaymentSchedule3[[#This Row],[Total
Payment]]-PaymentSchedule3[[#This Row],[Interest]],"")</f>
        <v>1258.3065841075254</v>
      </c>
      <c r="I277" s="25">
        <f ca="1">IF(PaymentSchedule3[[#This Row],[Payment Number]]&lt;&gt;"",PaymentSchedule3[[#This Row],[Beginning
Balance]]*(InterestRate/PaymentsPerYear),"")</f>
        <v>953.82421236325911</v>
      </c>
      <c r="J277" s="25">
        <f ca="1">IF(PaymentSchedule3[[#This Row],[Payment Number]]&lt;&gt;"",IF(PaymentSchedule3[[#This Row],[Scheduled Payment]]+PaymentSchedule3[[#This Row],[Extra
Payment]]&lt;=PaymentSchedule3[[#This Row],[Beginning
Balance]],PaymentSchedule3[[#This Row],[Beginning
Balance]]-PaymentSchedule3[[#This Row],[Principal]],0),"")</f>
        <v>162254.41553530833</v>
      </c>
      <c r="K277" s="25">
        <f ca="1">IF(PaymentSchedule3[[#This Row],[Payment Number]]&lt;&gt;"",SUM(INDEX(PaymentSchedule3[Interest],1,1):PaymentSchedule3[[#This Row],[Interest]]),"")</f>
        <v>413756.94580359524</v>
      </c>
      <c r="L277" s="25">
        <f ca="1">IF(PaymentSchedule3[[#This Row],[Payment Number]]&lt;&gt;"",SUM(INDEX(PaymentSchedule3[Principal],1,1):PaymentSchedule3[[#This Row],[Principal]]),"")</f>
        <v>170245.58446469184</v>
      </c>
    </row>
    <row r="278" spans="2:12" x14ac:dyDescent="0.25">
      <c r="B278" s="23">
        <f ca="1">IF(LoanIsGood,IF(ROW()-ROW(PaymentSchedule3[[#Headers],[Payment Number]])&gt;ScheduledNumberOfPayments,"",ROW()-ROW(PaymentSchedule3[[#Headers],[Payment Number]])),"")</f>
        <v>265</v>
      </c>
      <c r="C278" s="24">
        <f ca="1">IF(PaymentSchedule3[[#This Row],[Payment Number]]&lt;&gt;"",EOMONTH(LoanStartDate,ROW(PaymentSchedule3[[#This Row],[Payment Number]])-ROW(PaymentSchedule3[[#Headers],[Payment Number]])-2)+DAY(LoanStartDate),"")</f>
        <v>53502</v>
      </c>
      <c r="D278" s="25">
        <f ca="1">IF(PaymentSchedule3[[#This Row],[Payment Number]]&lt;&gt;"",IF(ROW()-ROW(PaymentSchedule3[[#Headers],[Beginning
Balance]])=1,LoanAmount,INDEX(PaymentSchedule3[Ending
Balance],ROW()-ROW(PaymentSchedule3[[#Headers],[Beginning
Balance]])-1)),"")</f>
        <v>162254.41553530833</v>
      </c>
      <c r="E278" s="25">
        <f ca="1">IF(PaymentSchedule3[[#This Row],[Payment Number]]&lt;&gt;"",ScheduledPayment,"")</f>
        <v>2212.1307964707844</v>
      </c>
      <c r="F2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8" s="25">
        <f ca="1">IF(PaymentSchedule3[[#This Row],[Payment Number]]&lt;&gt;"",PaymentSchedule3[[#This Row],[Total
Payment]]-PaymentSchedule3[[#This Row],[Interest]],"")</f>
        <v>1265.6467058481524</v>
      </c>
      <c r="I278" s="25">
        <f ca="1">IF(PaymentSchedule3[[#This Row],[Payment Number]]&lt;&gt;"",PaymentSchedule3[[#This Row],[Beginning
Balance]]*(InterestRate/PaymentsPerYear),"")</f>
        <v>946.48409062263204</v>
      </c>
      <c r="J278" s="25">
        <f ca="1">IF(PaymentSchedule3[[#This Row],[Payment Number]]&lt;&gt;"",IF(PaymentSchedule3[[#This Row],[Scheduled Payment]]+PaymentSchedule3[[#This Row],[Extra
Payment]]&lt;=PaymentSchedule3[[#This Row],[Beginning
Balance]],PaymentSchedule3[[#This Row],[Beginning
Balance]]-PaymentSchedule3[[#This Row],[Principal]],0),"")</f>
        <v>160988.76882946017</v>
      </c>
      <c r="K278" s="25">
        <f ca="1">IF(PaymentSchedule3[[#This Row],[Payment Number]]&lt;&gt;"",SUM(INDEX(PaymentSchedule3[Interest],1,1):PaymentSchedule3[[#This Row],[Interest]]),"")</f>
        <v>414703.42989421787</v>
      </c>
      <c r="L278" s="25">
        <f ca="1">IF(PaymentSchedule3[[#This Row],[Payment Number]]&lt;&gt;"",SUM(INDEX(PaymentSchedule3[Principal],1,1):PaymentSchedule3[[#This Row],[Principal]]),"")</f>
        <v>171511.23117054001</v>
      </c>
    </row>
    <row r="279" spans="2:12" x14ac:dyDescent="0.25">
      <c r="B279" s="23">
        <f ca="1">IF(LoanIsGood,IF(ROW()-ROW(PaymentSchedule3[[#Headers],[Payment Number]])&gt;ScheduledNumberOfPayments,"",ROW()-ROW(PaymentSchedule3[[#Headers],[Payment Number]])),"")</f>
        <v>266</v>
      </c>
      <c r="C279" s="24">
        <f ca="1">IF(PaymentSchedule3[[#This Row],[Payment Number]]&lt;&gt;"",EOMONTH(LoanStartDate,ROW(PaymentSchedule3[[#This Row],[Payment Number]])-ROW(PaymentSchedule3[[#Headers],[Payment Number]])-2)+DAY(LoanStartDate),"")</f>
        <v>53532</v>
      </c>
      <c r="D279" s="25">
        <f ca="1">IF(PaymentSchedule3[[#This Row],[Payment Number]]&lt;&gt;"",IF(ROW()-ROW(PaymentSchedule3[[#Headers],[Beginning
Balance]])=1,LoanAmount,INDEX(PaymentSchedule3[Ending
Balance],ROW()-ROW(PaymentSchedule3[[#Headers],[Beginning
Balance]])-1)),"")</f>
        <v>160988.76882946017</v>
      </c>
      <c r="E279" s="25">
        <f ca="1">IF(PaymentSchedule3[[#This Row],[Payment Number]]&lt;&gt;"",ScheduledPayment,"")</f>
        <v>2212.1307964707844</v>
      </c>
      <c r="F2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79" s="25">
        <f ca="1">IF(PaymentSchedule3[[#This Row],[Payment Number]]&lt;&gt;"",PaymentSchedule3[[#This Row],[Total
Payment]]-PaymentSchedule3[[#This Row],[Interest]],"")</f>
        <v>1273.0296449656</v>
      </c>
      <c r="I279" s="25">
        <f ca="1">IF(PaymentSchedule3[[#This Row],[Payment Number]]&lt;&gt;"",PaymentSchedule3[[#This Row],[Beginning
Balance]]*(InterestRate/PaymentsPerYear),"")</f>
        <v>939.10115150518436</v>
      </c>
      <c r="J279" s="25">
        <f ca="1">IF(PaymentSchedule3[[#This Row],[Payment Number]]&lt;&gt;"",IF(PaymentSchedule3[[#This Row],[Scheduled Payment]]+PaymentSchedule3[[#This Row],[Extra
Payment]]&lt;=PaymentSchedule3[[#This Row],[Beginning
Balance]],PaymentSchedule3[[#This Row],[Beginning
Balance]]-PaymentSchedule3[[#This Row],[Principal]],0),"")</f>
        <v>159715.73918449457</v>
      </c>
      <c r="K279" s="25">
        <f ca="1">IF(PaymentSchedule3[[#This Row],[Payment Number]]&lt;&gt;"",SUM(INDEX(PaymentSchedule3[Interest],1,1):PaymentSchedule3[[#This Row],[Interest]]),"")</f>
        <v>415642.53104572307</v>
      </c>
      <c r="L279" s="25">
        <f ca="1">IF(PaymentSchedule3[[#This Row],[Payment Number]]&lt;&gt;"",SUM(INDEX(PaymentSchedule3[Principal],1,1):PaymentSchedule3[[#This Row],[Principal]]),"")</f>
        <v>172784.26081550561</v>
      </c>
    </row>
    <row r="280" spans="2:12" x14ac:dyDescent="0.25">
      <c r="B280" s="23">
        <f ca="1">IF(LoanIsGood,IF(ROW()-ROW(PaymentSchedule3[[#Headers],[Payment Number]])&gt;ScheduledNumberOfPayments,"",ROW()-ROW(PaymentSchedule3[[#Headers],[Payment Number]])),"")</f>
        <v>267</v>
      </c>
      <c r="C280" s="24">
        <f ca="1">IF(PaymentSchedule3[[#This Row],[Payment Number]]&lt;&gt;"",EOMONTH(LoanStartDate,ROW(PaymentSchedule3[[#This Row],[Payment Number]])-ROW(PaymentSchedule3[[#Headers],[Payment Number]])-2)+DAY(LoanStartDate),"")</f>
        <v>53563</v>
      </c>
      <c r="D280" s="25">
        <f ca="1">IF(PaymentSchedule3[[#This Row],[Payment Number]]&lt;&gt;"",IF(ROW()-ROW(PaymentSchedule3[[#Headers],[Beginning
Balance]])=1,LoanAmount,INDEX(PaymentSchedule3[Ending
Balance],ROW()-ROW(PaymentSchedule3[[#Headers],[Beginning
Balance]])-1)),"")</f>
        <v>159715.73918449457</v>
      </c>
      <c r="E280" s="25">
        <f ca="1">IF(PaymentSchedule3[[#This Row],[Payment Number]]&lt;&gt;"",ScheduledPayment,"")</f>
        <v>2212.1307964707844</v>
      </c>
      <c r="F2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0" s="25">
        <f ca="1">IF(PaymentSchedule3[[#This Row],[Payment Number]]&lt;&gt;"",PaymentSchedule3[[#This Row],[Total
Payment]]-PaymentSchedule3[[#This Row],[Interest]],"")</f>
        <v>1280.4556512278994</v>
      </c>
      <c r="I280" s="25">
        <f ca="1">IF(PaymentSchedule3[[#This Row],[Payment Number]]&lt;&gt;"",PaymentSchedule3[[#This Row],[Beginning
Balance]]*(InterestRate/PaymentsPerYear),"")</f>
        <v>931.67514524288504</v>
      </c>
      <c r="J280" s="25">
        <f ca="1">IF(PaymentSchedule3[[#This Row],[Payment Number]]&lt;&gt;"",IF(PaymentSchedule3[[#This Row],[Scheduled Payment]]+PaymentSchedule3[[#This Row],[Extra
Payment]]&lt;=PaymentSchedule3[[#This Row],[Beginning
Balance]],PaymentSchedule3[[#This Row],[Beginning
Balance]]-PaymentSchedule3[[#This Row],[Principal]],0),"")</f>
        <v>158435.28353326666</v>
      </c>
      <c r="K280" s="25">
        <f ca="1">IF(PaymentSchedule3[[#This Row],[Payment Number]]&lt;&gt;"",SUM(INDEX(PaymentSchedule3[Interest],1,1):PaymentSchedule3[[#This Row],[Interest]]),"")</f>
        <v>416574.20619096595</v>
      </c>
      <c r="L280" s="25">
        <f ca="1">IF(PaymentSchedule3[[#This Row],[Payment Number]]&lt;&gt;"",SUM(INDEX(PaymentSchedule3[Principal],1,1):PaymentSchedule3[[#This Row],[Principal]]),"")</f>
        <v>174064.71646673352</v>
      </c>
    </row>
    <row r="281" spans="2:12" x14ac:dyDescent="0.25">
      <c r="B281" s="23">
        <f ca="1">IF(LoanIsGood,IF(ROW()-ROW(PaymentSchedule3[[#Headers],[Payment Number]])&gt;ScheduledNumberOfPayments,"",ROW()-ROW(PaymentSchedule3[[#Headers],[Payment Number]])),"")</f>
        <v>268</v>
      </c>
      <c r="C281" s="24">
        <f ca="1">IF(PaymentSchedule3[[#This Row],[Payment Number]]&lt;&gt;"",EOMONTH(LoanStartDate,ROW(PaymentSchedule3[[#This Row],[Payment Number]])-ROW(PaymentSchedule3[[#Headers],[Payment Number]])-2)+DAY(LoanStartDate),"")</f>
        <v>53594</v>
      </c>
      <c r="D281" s="25">
        <f ca="1">IF(PaymentSchedule3[[#This Row],[Payment Number]]&lt;&gt;"",IF(ROW()-ROW(PaymentSchedule3[[#Headers],[Beginning
Balance]])=1,LoanAmount,INDEX(PaymentSchedule3[Ending
Balance],ROW()-ROW(PaymentSchedule3[[#Headers],[Beginning
Balance]])-1)),"")</f>
        <v>158435.28353326666</v>
      </c>
      <c r="E281" s="25">
        <f ca="1">IF(PaymentSchedule3[[#This Row],[Payment Number]]&lt;&gt;"",ScheduledPayment,"")</f>
        <v>2212.1307964707844</v>
      </c>
      <c r="F2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1" s="25">
        <f ca="1">IF(PaymentSchedule3[[#This Row],[Payment Number]]&lt;&gt;"",PaymentSchedule3[[#This Row],[Total
Payment]]-PaymentSchedule3[[#This Row],[Interest]],"")</f>
        <v>1287.9249758600622</v>
      </c>
      <c r="I281" s="25">
        <f ca="1">IF(PaymentSchedule3[[#This Row],[Payment Number]]&lt;&gt;"",PaymentSchedule3[[#This Row],[Beginning
Balance]]*(InterestRate/PaymentsPerYear),"")</f>
        <v>924.20582061072218</v>
      </c>
      <c r="J281" s="25">
        <f ca="1">IF(PaymentSchedule3[[#This Row],[Payment Number]]&lt;&gt;"",IF(PaymentSchedule3[[#This Row],[Scheduled Payment]]+PaymentSchedule3[[#This Row],[Extra
Payment]]&lt;=PaymentSchedule3[[#This Row],[Beginning
Balance]],PaymentSchedule3[[#This Row],[Beginning
Balance]]-PaymentSchedule3[[#This Row],[Principal]],0),"")</f>
        <v>157147.35855740661</v>
      </c>
      <c r="K281" s="25">
        <f ca="1">IF(PaymentSchedule3[[#This Row],[Payment Number]]&lt;&gt;"",SUM(INDEX(PaymentSchedule3[Interest],1,1):PaymentSchedule3[[#This Row],[Interest]]),"")</f>
        <v>417498.4120115767</v>
      </c>
      <c r="L281" s="25">
        <f ca="1">IF(PaymentSchedule3[[#This Row],[Payment Number]]&lt;&gt;"",SUM(INDEX(PaymentSchedule3[Principal],1,1):PaymentSchedule3[[#This Row],[Principal]]),"")</f>
        <v>175352.64144259357</v>
      </c>
    </row>
    <row r="282" spans="2:12" x14ac:dyDescent="0.25">
      <c r="B282" s="23">
        <f ca="1">IF(LoanIsGood,IF(ROW()-ROW(PaymentSchedule3[[#Headers],[Payment Number]])&gt;ScheduledNumberOfPayments,"",ROW()-ROW(PaymentSchedule3[[#Headers],[Payment Number]])),"")</f>
        <v>269</v>
      </c>
      <c r="C282" s="24">
        <f ca="1">IF(PaymentSchedule3[[#This Row],[Payment Number]]&lt;&gt;"",EOMONTH(LoanStartDate,ROW(PaymentSchedule3[[#This Row],[Payment Number]])-ROW(PaymentSchedule3[[#Headers],[Payment Number]])-2)+DAY(LoanStartDate),"")</f>
        <v>53624</v>
      </c>
      <c r="D282" s="25">
        <f ca="1">IF(PaymentSchedule3[[#This Row],[Payment Number]]&lt;&gt;"",IF(ROW()-ROW(PaymentSchedule3[[#Headers],[Beginning
Balance]])=1,LoanAmount,INDEX(PaymentSchedule3[Ending
Balance],ROW()-ROW(PaymentSchedule3[[#Headers],[Beginning
Balance]])-1)),"")</f>
        <v>157147.35855740661</v>
      </c>
      <c r="E282" s="25">
        <f ca="1">IF(PaymentSchedule3[[#This Row],[Payment Number]]&lt;&gt;"",ScheduledPayment,"")</f>
        <v>2212.1307964707844</v>
      </c>
      <c r="F2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2" s="25">
        <f ca="1">IF(PaymentSchedule3[[#This Row],[Payment Number]]&lt;&gt;"",PaymentSchedule3[[#This Row],[Total
Payment]]-PaymentSchedule3[[#This Row],[Interest]],"")</f>
        <v>1295.4378715525791</v>
      </c>
      <c r="I282" s="25">
        <f ca="1">IF(PaymentSchedule3[[#This Row],[Payment Number]]&lt;&gt;"",PaymentSchedule3[[#This Row],[Beginning
Balance]]*(InterestRate/PaymentsPerYear),"")</f>
        <v>916.69292491820522</v>
      </c>
      <c r="J282" s="25">
        <f ca="1">IF(PaymentSchedule3[[#This Row],[Payment Number]]&lt;&gt;"",IF(PaymentSchedule3[[#This Row],[Scheduled Payment]]+PaymentSchedule3[[#This Row],[Extra
Payment]]&lt;=PaymentSchedule3[[#This Row],[Beginning
Balance]],PaymentSchedule3[[#This Row],[Beginning
Balance]]-PaymentSchedule3[[#This Row],[Principal]],0),"")</f>
        <v>155851.92068585404</v>
      </c>
      <c r="K282" s="25">
        <f ca="1">IF(PaymentSchedule3[[#This Row],[Payment Number]]&lt;&gt;"",SUM(INDEX(PaymentSchedule3[Interest],1,1):PaymentSchedule3[[#This Row],[Interest]]),"")</f>
        <v>418415.1049364949</v>
      </c>
      <c r="L282" s="25">
        <f ca="1">IF(PaymentSchedule3[[#This Row],[Payment Number]]&lt;&gt;"",SUM(INDEX(PaymentSchedule3[Principal],1,1):PaymentSchedule3[[#This Row],[Principal]]),"")</f>
        <v>176648.07931414613</v>
      </c>
    </row>
    <row r="283" spans="2:12" x14ac:dyDescent="0.25">
      <c r="B283" s="23">
        <f ca="1">IF(LoanIsGood,IF(ROW()-ROW(PaymentSchedule3[[#Headers],[Payment Number]])&gt;ScheduledNumberOfPayments,"",ROW()-ROW(PaymentSchedule3[[#Headers],[Payment Number]])),"")</f>
        <v>270</v>
      </c>
      <c r="C283" s="24">
        <f ca="1">IF(PaymentSchedule3[[#This Row],[Payment Number]]&lt;&gt;"",EOMONTH(LoanStartDate,ROW(PaymentSchedule3[[#This Row],[Payment Number]])-ROW(PaymentSchedule3[[#Headers],[Payment Number]])-2)+DAY(LoanStartDate),"")</f>
        <v>53655</v>
      </c>
      <c r="D283" s="25">
        <f ca="1">IF(PaymentSchedule3[[#This Row],[Payment Number]]&lt;&gt;"",IF(ROW()-ROW(PaymentSchedule3[[#Headers],[Beginning
Balance]])=1,LoanAmount,INDEX(PaymentSchedule3[Ending
Balance],ROW()-ROW(PaymentSchedule3[[#Headers],[Beginning
Balance]])-1)),"")</f>
        <v>155851.92068585404</v>
      </c>
      <c r="E283" s="25">
        <f ca="1">IF(PaymentSchedule3[[#This Row],[Payment Number]]&lt;&gt;"",ScheduledPayment,"")</f>
        <v>2212.1307964707844</v>
      </c>
      <c r="F2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3" s="25">
        <f ca="1">IF(PaymentSchedule3[[#This Row],[Payment Number]]&lt;&gt;"",PaymentSchedule3[[#This Row],[Total
Payment]]-PaymentSchedule3[[#This Row],[Interest]],"")</f>
        <v>1302.9945924699691</v>
      </c>
      <c r="I283" s="25">
        <f ca="1">IF(PaymentSchedule3[[#This Row],[Payment Number]]&lt;&gt;"",PaymentSchedule3[[#This Row],[Beginning
Balance]]*(InterestRate/PaymentsPerYear),"")</f>
        <v>909.13620400081527</v>
      </c>
      <c r="J283" s="25">
        <f ca="1">IF(PaymentSchedule3[[#This Row],[Payment Number]]&lt;&gt;"",IF(PaymentSchedule3[[#This Row],[Scheduled Payment]]+PaymentSchedule3[[#This Row],[Extra
Payment]]&lt;=PaymentSchedule3[[#This Row],[Beginning
Balance]],PaymentSchedule3[[#This Row],[Beginning
Balance]]-PaymentSchedule3[[#This Row],[Principal]],0),"")</f>
        <v>154548.92609338407</v>
      </c>
      <c r="K283" s="25">
        <f ca="1">IF(PaymentSchedule3[[#This Row],[Payment Number]]&lt;&gt;"",SUM(INDEX(PaymentSchedule3[Interest],1,1):PaymentSchedule3[[#This Row],[Interest]]),"")</f>
        <v>419324.24114049569</v>
      </c>
      <c r="L283" s="25">
        <f ca="1">IF(PaymentSchedule3[[#This Row],[Payment Number]]&lt;&gt;"",SUM(INDEX(PaymentSchedule3[Principal],1,1):PaymentSchedule3[[#This Row],[Principal]]),"")</f>
        <v>177951.0739066161</v>
      </c>
    </row>
    <row r="284" spans="2:12" x14ac:dyDescent="0.25">
      <c r="B284" s="23">
        <f ca="1">IF(LoanIsGood,IF(ROW()-ROW(PaymentSchedule3[[#Headers],[Payment Number]])&gt;ScheduledNumberOfPayments,"",ROW()-ROW(PaymentSchedule3[[#Headers],[Payment Number]])),"")</f>
        <v>271</v>
      </c>
      <c r="C284" s="24">
        <f ca="1">IF(PaymentSchedule3[[#This Row],[Payment Number]]&lt;&gt;"",EOMONTH(LoanStartDate,ROW(PaymentSchedule3[[#This Row],[Payment Number]])-ROW(PaymentSchedule3[[#Headers],[Payment Number]])-2)+DAY(LoanStartDate),"")</f>
        <v>53685</v>
      </c>
      <c r="D284" s="25">
        <f ca="1">IF(PaymentSchedule3[[#This Row],[Payment Number]]&lt;&gt;"",IF(ROW()-ROW(PaymentSchedule3[[#Headers],[Beginning
Balance]])=1,LoanAmount,INDEX(PaymentSchedule3[Ending
Balance],ROW()-ROW(PaymentSchedule3[[#Headers],[Beginning
Balance]])-1)),"")</f>
        <v>154548.92609338407</v>
      </c>
      <c r="E284" s="25">
        <f ca="1">IF(PaymentSchedule3[[#This Row],[Payment Number]]&lt;&gt;"",ScheduledPayment,"")</f>
        <v>2212.1307964707844</v>
      </c>
      <c r="F2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4" s="25">
        <f ca="1">IF(PaymentSchedule3[[#This Row],[Payment Number]]&lt;&gt;"",PaymentSchedule3[[#This Row],[Total
Payment]]-PaymentSchedule3[[#This Row],[Interest]],"")</f>
        <v>1310.5953942593774</v>
      </c>
      <c r="I284" s="25">
        <f ca="1">IF(PaymentSchedule3[[#This Row],[Payment Number]]&lt;&gt;"",PaymentSchedule3[[#This Row],[Beginning
Balance]]*(InterestRate/PaymentsPerYear),"")</f>
        <v>901.53540221140713</v>
      </c>
      <c r="J284" s="25">
        <f ca="1">IF(PaymentSchedule3[[#This Row],[Payment Number]]&lt;&gt;"",IF(PaymentSchedule3[[#This Row],[Scheduled Payment]]+PaymentSchedule3[[#This Row],[Extra
Payment]]&lt;=PaymentSchedule3[[#This Row],[Beginning
Balance]],PaymentSchedule3[[#This Row],[Beginning
Balance]]-PaymentSchedule3[[#This Row],[Principal]],0),"")</f>
        <v>153238.33069912469</v>
      </c>
      <c r="K284" s="25">
        <f ca="1">IF(PaymentSchedule3[[#This Row],[Payment Number]]&lt;&gt;"",SUM(INDEX(PaymentSchedule3[Interest],1,1):PaymentSchedule3[[#This Row],[Interest]]),"")</f>
        <v>420225.77654270711</v>
      </c>
      <c r="L284" s="25">
        <f ca="1">IF(PaymentSchedule3[[#This Row],[Payment Number]]&lt;&gt;"",SUM(INDEX(PaymentSchedule3[Principal],1,1):PaymentSchedule3[[#This Row],[Principal]]),"")</f>
        <v>179261.66930087548</v>
      </c>
    </row>
    <row r="285" spans="2:12" x14ac:dyDescent="0.25">
      <c r="B285" s="23">
        <f ca="1">IF(LoanIsGood,IF(ROW()-ROW(PaymentSchedule3[[#Headers],[Payment Number]])&gt;ScheduledNumberOfPayments,"",ROW()-ROW(PaymentSchedule3[[#Headers],[Payment Number]])),"")</f>
        <v>272</v>
      </c>
      <c r="C285" s="24">
        <f ca="1">IF(PaymentSchedule3[[#This Row],[Payment Number]]&lt;&gt;"",EOMONTH(LoanStartDate,ROW(PaymentSchedule3[[#This Row],[Payment Number]])-ROW(PaymentSchedule3[[#Headers],[Payment Number]])-2)+DAY(LoanStartDate),"")</f>
        <v>53716</v>
      </c>
      <c r="D285" s="25">
        <f ca="1">IF(PaymentSchedule3[[#This Row],[Payment Number]]&lt;&gt;"",IF(ROW()-ROW(PaymentSchedule3[[#Headers],[Beginning
Balance]])=1,LoanAmount,INDEX(PaymentSchedule3[Ending
Balance],ROW()-ROW(PaymentSchedule3[[#Headers],[Beginning
Balance]])-1)),"")</f>
        <v>153238.33069912469</v>
      </c>
      <c r="E285" s="25">
        <f ca="1">IF(PaymentSchedule3[[#This Row],[Payment Number]]&lt;&gt;"",ScheduledPayment,"")</f>
        <v>2212.1307964707844</v>
      </c>
      <c r="F2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5" s="25">
        <f ca="1">IF(PaymentSchedule3[[#This Row],[Payment Number]]&lt;&gt;"",PaymentSchedule3[[#This Row],[Total
Payment]]-PaymentSchedule3[[#This Row],[Interest]],"")</f>
        <v>1318.2405340592236</v>
      </c>
      <c r="I285" s="25">
        <f ca="1">IF(PaymentSchedule3[[#This Row],[Payment Number]]&lt;&gt;"",PaymentSchedule3[[#This Row],[Beginning
Balance]]*(InterestRate/PaymentsPerYear),"")</f>
        <v>893.8902624115608</v>
      </c>
      <c r="J285" s="25">
        <f ca="1">IF(PaymentSchedule3[[#This Row],[Payment Number]]&lt;&gt;"",IF(PaymentSchedule3[[#This Row],[Scheduled Payment]]+PaymentSchedule3[[#This Row],[Extra
Payment]]&lt;=PaymentSchedule3[[#This Row],[Beginning
Balance]],PaymentSchedule3[[#This Row],[Beginning
Balance]]-PaymentSchedule3[[#This Row],[Principal]],0),"")</f>
        <v>151920.09016506546</v>
      </c>
      <c r="K285" s="25">
        <f ca="1">IF(PaymentSchedule3[[#This Row],[Payment Number]]&lt;&gt;"",SUM(INDEX(PaymentSchedule3[Interest],1,1):PaymentSchedule3[[#This Row],[Interest]]),"")</f>
        <v>421119.66680511867</v>
      </c>
      <c r="L285" s="25">
        <f ca="1">IF(PaymentSchedule3[[#This Row],[Payment Number]]&lt;&gt;"",SUM(INDEX(PaymentSchedule3[Principal],1,1):PaymentSchedule3[[#This Row],[Principal]]),"")</f>
        <v>180579.90983493472</v>
      </c>
    </row>
    <row r="286" spans="2:12" x14ac:dyDescent="0.25">
      <c r="B286" s="23">
        <f ca="1">IF(LoanIsGood,IF(ROW()-ROW(PaymentSchedule3[[#Headers],[Payment Number]])&gt;ScheduledNumberOfPayments,"",ROW()-ROW(PaymentSchedule3[[#Headers],[Payment Number]])),"")</f>
        <v>273</v>
      </c>
      <c r="C286" s="24">
        <f ca="1">IF(PaymentSchedule3[[#This Row],[Payment Number]]&lt;&gt;"",EOMONTH(LoanStartDate,ROW(PaymentSchedule3[[#This Row],[Payment Number]])-ROW(PaymentSchedule3[[#Headers],[Payment Number]])-2)+DAY(LoanStartDate),"")</f>
        <v>53747</v>
      </c>
      <c r="D286" s="25">
        <f ca="1">IF(PaymentSchedule3[[#This Row],[Payment Number]]&lt;&gt;"",IF(ROW()-ROW(PaymentSchedule3[[#Headers],[Beginning
Balance]])=1,LoanAmount,INDEX(PaymentSchedule3[Ending
Balance],ROW()-ROW(PaymentSchedule3[[#Headers],[Beginning
Balance]])-1)),"")</f>
        <v>151920.09016506546</v>
      </c>
      <c r="E286" s="25">
        <f ca="1">IF(PaymentSchedule3[[#This Row],[Payment Number]]&lt;&gt;"",ScheduledPayment,"")</f>
        <v>2212.1307964707844</v>
      </c>
      <c r="F2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6" s="25">
        <f ca="1">IF(PaymentSchedule3[[#This Row],[Payment Number]]&lt;&gt;"",PaymentSchedule3[[#This Row],[Total
Payment]]-PaymentSchedule3[[#This Row],[Interest]],"")</f>
        <v>1325.9302705079026</v>
      </c>
      <c r="I286" s="25">
        <f ca="1">IF(PaymentSchedule3[[#This Row],[Payment Number]]&lt;&gt;"",PaymentSchedule3[[#This Row],[Beginning
Balance]]*(InterestRate/PaymentsPerYear),"")</f>
        <v>886.2005259628819</v>
      </c>
      <c r="J286" s="25">
        <f ca="1">IF(PaymentSchedule3[[#This Row],[Payment Number]]&lt;&gt;"",IF(PaymentSchedule3[[#This Row],[Scheduled Payment]]+PaymentSchedule3[[#This Row],[Extra
Payment]]&lt;=PaymentSchedule3[[#This Row],[Beginning
Balance]],PaymentSchedule3[[#This Row],[Beginning
Balance]]-PaymentSchedule3[[#This Row],[Principal]],0),"")</f>
        <v>150594.15989455755</v>
      </c>
      <c r="K286" s="25">
        <f ca="1">IF(PaymentSchedule3[[#This Row],[Payment Number]]&lt;&gt;"",SUM(INDEX(PaymentSchedule3[Interest],1,1):PaymentSchedule3[[#This Row],[Interest]]),"")</f>
        <v>422005.86733108154</v>
      </c>
      <c r="L286" s="25">
        <f ca="1">IF(PaymentSchedule3[[#This Row],[Payment Number]]&lt;&gt;"",SUM(INDEX(PaymentSchedule3[Principal],1,1):PaymentSchedule3[[#This Row],[Principal]]),"")</f>
        <v>181905.84010544262</v>
      </c>
    </row>
    <row r="287" spans="2:12" x14ac:dyDescent="0.25">
      <c r="B287" s="23">
        <f ca="1">IF(LoanIsGood,IF(ROW()-ROW(PaymentSchedule3[[#Headers],[Payment Number]])&gt;ScheduledNumberOfPayments,"",ROW()-ROW(PaymentSchedule3[[#Headers],[Payment Number]])),"")</f>
        <v>274</v>
      </c>
      <c r="C287" s="24">
        <f ca="1">IF(PaymentSchedule3[[#This Row],[Payment Number]]&lt;&gt;"",EOMONTH(LoanStartDate,ROW(PaymentSchedule3[[#This Row],[Payment Number]])-ROW(PaymentSchedule3[[#Headers],[Payment Number]])-2)+DAY(LoanStartDate),"")</f>
        <v>53775</v>
      </c>
      <c r="D287" s="25">
        <f ca="1">IF(PaymentSchedule3[[#This Row],[Payment Number]]&lt;&gt;"",IF(ROW()-ROW(PaymentSchedule3[[#Headers],[Beginning
Balance]])=1,LoanAmount,INDEX(PaymentSchedule3[Ending
Balance],ROW()-ROW(PaymentSchedule3[[#Headers],[Beginning
Balance]])-1)),"")</f>
        <v>150594.15989455755</v>
      </c>
      <c r="E287" s="25">
        <f ca="1">IF(PaymentSchedule3[[#This Row],[Payment Number]]&lt;&gt;"",ScheduledPayment,"")</f>
        <v>2212.1307964707844</v>
      </c>
      <c r="F2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7" s="25">
        <f ca="1">IF(PaymentSchedule3[[#This Row],[Payment Number]]&lt;&gt;"",PaymentSchedule3[[#This Row],[Total
Payment]]-PaymentSchedule3[[#This Row],[Interest]],"")</f>
        <v>1333.6648637525318</v>
      </c>
      <c r="I287" s="25">
        <f ca="1">IF(PaymentSchedule3[[#This Row],[Payment Number]]&lt;&gt;"",PaymentSchedule3[[#This Row],[Beginning
Balance]]*(InterestRate/PaymentsPerYear),"")</f>
        <v>878.46593271825247</v>
      </c>
      <c r="J287" s="25">
        <f ca="1">IF(PaymentSchedule3[[#This Row],[Payment Number]]&lt;&gt;"",IF(PaymentSchedule3[[#This Row],[Scheduled Payment]]+PaymentSchedule3[[#This Row],[Extra
Payment]]&lt;=PaymentSchedule3[[#This Row],[Beginning
Balance]],PaymentSchedule3[[#This Row],[Beginning
Balance]]-PaymentSchedule3[[#This Row],[Principal]],0),"")</f>
        <v>149260.49503080503</v>
      </c>
      <c r="K287" s="25">
        <f ca="1">IF(PaymentSchedule3[[#This Row],[Payment Number]]&lt;&gt;"",SUM(INDEX(PaymentSchedule3[Interest],1,1):PaymentSchedule3[[#This Row],[Interest]]),"")</f>
        <v>422884.33326379978</v>
      </c>
      <c r="L287" s="25">
        <f ca="1">IF(PaymentSchedule3[[#This Row],[Payment Number]]&lt;&gt;"",SUM(INDEX(PaymentSchedule3[Principal],1,1):PaymentSchedule3[[#This Row],[Principal]]),"")</f>
        <v>183239.50496919514</v>
      </c>
    </row>
    <row r="288" spans="2:12" x14ac:dyDescent="0.25">
      <c r="B288" s="23">
        <f ca="1">IF(LoanIsGood,IF(ROW()-ROW(PaymentSchedule3[[#Headers],[Payment Number]])&gt;ScheduledNumberOfPayments,"",ROW()-ROW(PaymentSchedule3[[#Headers],[Payment Number]])),"")</f>
        <v>275</v>
      </c>
      <c r="C288" s="24">
        <f ca="1">IF(PaymentSchedule3[[#This Row],[Payment Number]]&lt;&gt;"",EOMONTH(LoanStartDate,ROW(PaymentSchedule3[[#This Row],[Payment Number]])-ROW(PaymentSchedule3[[#Headers],[Payment Number]])-2)+DAY(LoanStartDate),"")</f>
        <v>53806</v>
      </c>
      <c r="D288" s="25">
        <f ca="1">IF(PaymentSchedule3[[#This Row],[Payment Number]]&lt;&gt;"",IF(ROW()-ROW(PaymentSchedule3[[#Headers],[Beginning
Balance]])=1,LoanAmount,INDEX(PaymentSchedule3[Ending
Balance],ROW()-ROW(PaymentSchedule3[[#Headers],[Beginning
Balance]])-1)),"")</f>
        <v>149260.49503080503</v>
      </c>
      <c r="E288" s="25">
        <f ca="1">IF(PaymentSchedule3[[#This Row],[Payment Number]]&lt;&gt;"",ScheduledPayment,"")</f>
        <v>2212.1307964707844</v>
      </c>
      <c r="F2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8" s="25">
        <f ca="1">IF(PaymentSchedule3[[#This Row],[Payment Number]]&lt;&gt;"",PaymentSchedule3[[#This Row],[Total
Payment]]-PaymentSchedule3[[#This Row],[Interest]],"")</f>
        <v>1341.444575457755</v>
      </c>
      <c r="I288" s="25">
        <f ca="1">IF(PaymentSchedule3[[#This Row],[Payment Number]]&lt;&gt;"",PaymentSchedule3[[#This Row],[Beginning
Balance]]*(InterestRate/PaymentsPerYear),"")</f>
        <v>870.68622101302935</v>
      </c>
      <c r="J288" s="25">
        <f ca="1">IF(PaymentSchedule3[[#This Row],[Payment Number]]&lt;&gt;"",IF(PaymentSchedule3[[#This Row],[Scheduled Payment]]+PaymentSchedule3[[#This Row],[Extra
Payment]]&lt;=PaymentSchedule3[[#This Row],[Beginning
Balance]],PaymentSchedule3[[#This Row],[Beginning
Balance]]-PaymentSchedule3[[#This Row],[Principal]],0),"")</f>
        <v>147919.05045534729</v>
      </c>
      <c r="K288" s="25">
        <f ca="1">IF(PaymentSchedule3[[#This Row],[Payment Number]]&lt;&gt;"",SUM(INDEX(PaymentSchedule3[Interest],1,1):PaymentSchedule3[[#This Row],[Interest]]),"")</f>
        <v>423755.0194848128</v>
      </c>
      <c r="L288" s="25">
        <f ca="1">IF(PaymentSchedule3[[#This Row],[Payment Number]]&lt;&gt;"",SUM(INDEX(PaymentSchedule3[Principal],1,1):PaymentSchedule3[[#This Row],[Principal]]),"")</f>
        <v>184580.94954465289</v>
      </c>
    </row>
    <row r="289" spans="2:12" x14ac:dyDescent="0.25">
      <c r="B289" s="23">
        <f ca="1">IF(LoanIsGood,IF(ROW()-ROW(PaymentSchedule3[[#Headers],[Payment Number]])&gt;ScheduledNumberOfPayments,"",ROW()-ROW(PaymentSchedule3[[#Headers],[Payment Number]])),"")</f>
        <v>276</v>
      </c>
      <c r="C289" s="24">
        <f ca="1">IF(PaymentSchedule3[[#This Row],[Payment Number]]&lt;&gt;"",EOMONTH(LoanStartDate,ROW(PaymentSchedule3[[#This Row],[Payment Number]])-ROW(PaymentSchedule3[[#Headers],[Payment Number]])-2)+DAY(LoanStartDate),"")</f>
        <v>53836</v>
      </c>
      <c r="D289" s="25">
        <f ca="1">IF(PaymentSchedule3[[#This Row],[Payment Number]]&lt;&gt;"",IF(ROW()-ROW(PaymentSchedule3[[#Headers],[Beginning
Balance]])=1,LoanAmount,INDEX(PaymentSchedule3[Ending
Balance],ROW()-ROW(PaymentSchedule3[[#Headers],[Beginning
Balance]])-1)),"")</f>
        <v>147919.05045534729</v>
      </c>
      <c r="E289" s="25">
        <f ca="1">IF(PaymentSchedule3[[#This Row],[Payment Number]]&lt;&gt;"",ScheduledPayment,"")</f>
        <v>2212.1307964707844</v>
      </c>
      <c r="F2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89" s="25">
        <f ca="1">IF(PaymentSchedule3[[#This Row],[Payment Number]]&lt;&gt;"",PaymentSchedule3[[#This Row],[Total
Payment]]-PaymentSchedule3[[#This Row],[Interest]],"")</f>
        <v>1349.2696688145918</v>
      </c>
      <c r="I289" s="25">
        <f ca="1">IF(PaymentSchedule3[[#This Row],[Payment Number]]&lt;&gt;"",PaymentSchedule3[[#This Row],[Beginning
Balance]]*(InterestRate/PaymentsPerYear),"")</f>
        <v>862.86112765619259</v>
      </c>
      <c r="J289" s="25">
        <f ca="1">IF(PaymentSchedule3[[#This Row],[Payment Number]]&lt;&gt;"",IF(PaymentSchedule3[[#This Row],[Scheduled Payment]]+PaymentSchedule3[[#This Row],[Extra
Payment]]&lt;=PaymentSchedule3[[#This Row],[Beginning
Balance]],PaymentSchedule3[[#This Row],[Beginning
Balance]]-PaymentSchedule3[[#This Row],[Principal]],0),"")</f>
        <v>146569.7807865327</v>
      </c>
      <c r="K289" s="25">
        <f ca="1">IF(PaymentSchedule3[[#This Row],[Payment Number]]&lt;&gt;"",SUM(INDEX(PaymentSchedule3[Interest],1,1):PaymentSchedule3[[#This Row],[Interest]]),"")</f>
        <v>424617.88061246899</v>
      </c>
      <c r="L289" s="25">
        <f ca="1">IF(PaymentSchedule3[[#This Row],[Payment Number]]&lt;&gt;"",SUM(INDEX(PaymentSchedule3[Principal],1,1):PaymentSchedule3[[#This Row],[Principal]]),"")</f>
        <v>185930.21921346747</v>
      </c>
    </row>
    <row r="290" spans="2:12" x14ac:dyDescent="0.25">
      <c r="B290" s="23">
        <f ca="1">IF(LoanIsGood,IF(ROW()-ROW(PaymentSchedule3[[#Headers],[Payment Number]])&gt;ScheduledNumberOfPayments,"",ROW()-ROW(PaymentSchedule3[[#Headers],[Payment Number]])),"")</f>
        <v>277</v>
      </c>
      <c r="C290" s="24">
        <f ca="1">IF(PaymentSchedule3[[#This Row],[Payment Number]]&lt;&gt;"",EOMONTH(LoanStartDate,ROW(PaymentSchedule3[[#This Row],[Payment Number]])-ROW(PaymentSchedule3[[#Headers],[Payment Number]])-2)+DAY(LoanStartDate),"")</f>
        <v>53867</v>
      </c>
      <c r="D290" s="25">
        <f ca="1">IF(PaymentSchedule3[[#This Row],[Payment Number]]&lt;&gt;"",IF(ROW()-ROW(PaymentSchedule3[[#Headers],[Beginning
Balance]])=1,LoanAmount,INDEX(PaymentSchedule3[Ending
Balance],ROW()-ROW(PaymentSchedule3[[#Headers],[Beginning
Balance]])-1)),"")</f>
        <v>146569.7807865327</v>
      </c>
      <c r="E290" s="25">
        <f ca="1">IF(PaymentSchedule3[[#This Row],[Payment Number]]&lt;&gt;"",ScheduledPayment,"")</f>
        <v>2212.1307964707844</v>
      </c>
      <c r="F2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0" s="25">
        <f ca="1">IF(PaymentSchedule3[[#This Row],[Payment Number]]&lt;&gt;"",PaymentSchedule3[[#This Row],[Total
Payment]]-PaymentSchedule3[[#This Row],[Interest]],"")</f>
        <v>1357.1404085493436</v>
      </c>
      <c r="I290" s="25">
        <f ca="1">IF(PaymentSchedule3[[#This Row],[Payment Number]]&lt;&gt;"",PaymentSchedule3[[#This Row],[Beginning
Balance]]*(InterestRate/PaymentsPerYear),"")</f>
        <v>854.99038792144086</v>
      </c>
      <c r="J290" s="25">
        <f ca="1">IF(PaymentSchedule3[[#This Row],[Payment Number]]&lt;&gt;"",IF(PaymentSchedule3[[#This Row],[Scheduled Payment]]+PaymentSchedule3[[#This Row],[Extra
Payment]]&lt;=PaymentSchedule3[[#This Row],[Beginning
Balance]],PaymentSchedule3[[#This Row],[Beginning
Balance]]-PaymentSchedule3[[#This Row],[Principal]],0),"")</f>
        <v>145212.64037798336</v>
      </c>
      <c r="K290" s="25">
        <f ca="1">IF(PaymentSchedule3[[#This Row],[Payment Number]]&lt;&gt;"",SUM(INDEX(PaymentSchedule3[Interest],1,1):PaymentSchedule3[[#This Row],[Interest]]),"")</f>
        <v>425472.87100039044</v>
      </c>
      <c r="L290" s="25">
        <f ca="1">IF(PaymentSchedule3[[#This Row],[Payment Number]]&lt;&gt;"",SUM(INDEX(PaymentSchedule3[Principal],1,1):PaymentSchedule3[[#This Row],[Principal]]),"")</f>
        <v>187287.35962201681</v>
      </c>
    </row>
    <row r="291" spans="2:12" x14ac:dyDescent="0.25">
      <c r="B291" s="23">
        <f ca="1">IF(LoanIsGood,IF(ROW()-ROW(PaymentSchedule3[[#Headers],[Payment Number]])&gt;ScheduledNumberOfPayments,"",ROW()-ROW(PaymentSchedule3[[#Headers],[Payment Number]])),"")</f>
        <v>278</v>
      </c>
      <c r="C291" s="24">
        <f ca="1">IF(PaymentSchedule3[[#This Row],[Payment Number]]&lt;&gt;"",EOMONTH(LoanStartDate,ROW(PaymentSchedule3[[#This Row],[Payment Number]])-ROW(PaymentSchedule3[[#Headers],[Payment Number]])-2)+DAY(LoanStartDate),"")</f>
        <v>53897</v>
      </c>
      <c r="D291" s="25">
        <f ca="1">IF(PaymentSchedule3[[#This Row],[Payment Number]]&lt;&gt;"",IF(ROW()-ROW(PaymentSchedule3[[#Headers],[Beginning
Balance]])=1,LoanAmount,INDEX(PaymentSchedule3[Ending
Balance],ROW()-ROW(PaymentSchedule3[[#Headers],[Beginning
Balance]])-1)),"")</f>
        <v>145212.64037798336</v>
      </c>
      <c r="E291" s="25">
        <f ca="1">IF(PaymentSchedule3[[#This Row],[Payment Number]]&lt;&gt;"",ScheduledPayment,"")</f>
        <v>2212.1307964707844</v>
      </c>
      <c r="F2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1" s="25">
        <f ca="1">IF(PaymentSchedule3[[#This Row],[Payment Number]]&lt;&gt;"",PaymentSchedule3[[#This Row],[Total
Payment]]-PaymentSchedule3[[#This Row],[Interest]],"")</f>
        <v>1365.0570609325482</v>
      </c>
      <c r="I291" s="25">
        <f ca="1">IF(PaymentSchedule3[[#This Row],[Payment Number]]&lt;&gt;"",PaymentSchedule3[[#This Row],[Beginning
Balance]]*(InterestRate/PaymentsPerYear),"")</f>
        <v>847.07373553823629</v>
      </c>
      <c r="J291" s="25">
        <f ca="1">IF(PaymentSchedule3[[#This Row],[Payment Number]]&lt;&gt;"",IF(PaymentSchedule3[[#This Row],[Scheduled Payment]]+PaymentSchedule3[[#This Row],[Extra
Payment]]&lt;=PaymentSchedule3[[#This Row],[Beginning
Balance]],PaymentSchedule3[[#This Row],[Beginning
Balance]]-PaymentSchedule3[[#This Row],[Principal]],0),"")</f>
        <v>143847.58331705083</v>
      </c>
      <c r="K291" s="25">
        <f ca="1">IF(PaymentSchedule3[[#This Row],[Payment Number]]&lt;&gt;"",SUM(INDEX(PaymentSchedule3[Interest],1,1):PaymentSchedule3[[#This Row],[Interest]]),"")</f>
        <v>426319.94473592867</v>
      </c>
      <c r="L291" s="25">
        <f ca="1">IF(PaymentSchedule3[[#This Row],[Payment Number]]&lt;&gt;"",SUM(INDEX(PaymentSchedule3[Principal],1,1):PaymentSchedule3[[#This Row],[Principal]]),"")</f>
        <v>188652.41668294935</v>
      </c>
    </row>
    <row r="292" spans="2:12" x14ac:dyDescent="0.25">
      <c r="B292" s="23">
        <f ca="1">IF(LoanIsGood,IF(ROW()-ROW(PaymentSchedule3[[#Headers],[Payment Number]])&gt;ScheduledNumberOfPayments,"",ROW()-ROW(PaymentSchedule3[[#Headers],[Payment Number]])),"")</f>
        <v>279</v>
      </c>
      <c r="C292" s="24">
        <f ca="1">IF(PaymentSchedule3[[#This Row],[Payment Number]]&lt;&gt;"",EOMONTH(LoanStartDate,ROW(PaymentSchedule3[[#This Row],[Payment Number]])-ROW(PaymentSchedule3[[#Headers],[Payment Number]])-2)+DAY(LoanStartDate),"")</f>
        <v>53928</v>
      </c>
      <c r="D292" s="25">
        <f ca="1">IF(PaymentSchedule3[[#This Row],[Payment Number]]&lt;&gt;"",IF(ROW()-ROW(PaymentSchedule3[[#Headers],[Beginning
Balance]])=1,LoanAmount,INDEX(PaymentSchedule3[Ending
Balance],ROW()-ROW(PaymentSchedule3[[#Headers],[Beginning
Balance]])-1)),"")</f>
        <v>143847.58331705083</v>
      </c>
      <c r="E292" s="25">
        <f ca="1">IF(PaymentSchedule3[[#This Row],[Payment Number]]&lt;&gt;"",ScheduledPayment,"")</f>
        <v>2212.1307964707844</v>
      </c>
      <c r="F2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2" s="25">
        <f ca="1">IF(PaymentSchedule3[[#This Row],[Payment Number]]&lt;&gt;"",PaymentSchedule3[[#This Row],[Total
Payment]]-PaymentSchedule3[[#This Row],[Interest]],"")</f>
        <v>1373.0198937879877</v>
      </c>
      <c r="I292" s="25">
        <f ca="1">IF(PaymentSchedule3[[#This Row],[Payment Number]]&lt;&gt;"",PaymentSchedule3[[#This Row],[Beginning
Balance]]*(InterestRate/PaymentsPerYear),"")</f>
        <v>839.11090268279656</v>
      </c>
      <c r="J292" s="25">
        <f ca="1">IF(PaymentSchedule3[[#This Row],[Payment Number]]&lt;&gt;"",IF(PaymentSchedule3[[#This Row],[Scheduled Payment]]+PaymentSchedule3[[#This Row],[Extra
Payment]]&lt;=PaymentSchedule3[[#This Row],[Beginning
Balance]],PaymentSchedule3[[#This Row],[Beginning
Balance]]-PaymentSchedule3[[#This Row],[Principal]],0),"")</f>
        <v>142474.56342326285</v>
      </c>
      <c r="K292" s="25">
        <f ca="1">IF(PaymentSchedule3[[#This Row],[Payment Number]]&lt;&gt;"",SUM(INDEX(PaymentSchedule3[Interest],1,1):PaymentSchedule3[[#This Row],[Interest]]),"")</f>
        <v>427159.05563861149</v>
      </c>
      <c r="L292" s="25">
        <f ca="1">IF(PaymentSchedule3[[#This Row],[Payment Number]]&lt;&gt;"",SUM(INDEX(PaymentSchedule3[Principal],1,1):PaymentSchedule3[[#This Row],[Principal]]),"")</f>
        <v>190025.43657673732</v>
      </c>
    </row>
    <row r="293" spans="2:12" x14ac:dyDescent="0.25">
      <c r="B293" s="23">
        <f ca="1">IF(LoanIsGood,IF(ROW()-ROW(PaymentSchedule3[[#Headers],[Payment Number]])&gt;ScheduledNumberOfPayments,"",ROW()-ROW(PaymentSchedule3[[#Headers],[Payment Number]])),"")</f>
        <v>280</v>
      </c>
      <c r="C293" s="24">
        <f ca="1">IF(PaymentSchedule3[[#This Row],[Payment Number]]&lt;&gt;"",EOMONTH(LoanStartDate,ROW(PaymentSchedule3[[#This Row],[Payment Number]])-ROW(PaymentSchedule3[[#Headers],[Payment Number]])-2)+DAY(LoanStartDate),"")</f>
        <v>53959</v>
      </c>
      <c r="D293" s="25">
        <f ca="1">IF(PaymentSchedule3[[#This Row],[Payment Number]]&lt;&gt;"",IF(ROW()-ROW(PaymentSchedule3[[#Headers],[Beginning
Balance]])=1,LoanAmount,INDEX(PaymentSchedule3[Ending
Balance],ROW()-ROW(PaymentSchedule3[[#Headers],[Beginning
Balance]])-1)),"")</f>
        <v>142474.56342326285</v>
      </c>
      <c r="E293" s="25">
        <f ca="1">IF(PaymentSchedule3[[#This Row],[Payment Number]]&lt;&gt;"",ScheduledPayment,"")</f>
        <v>2212.1307964707844</v>
      </c>
      <c r="F2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3" s="25">
        <f ca="1">IF(PaymentSchedule3[[#This Row],[Payment Number]]&lt;&gt;"",PaymentSchedule3[[#This Row],[Total
Payment]]-PaymentSchedule3[[#This Row],[Interest]],"")</f>
        <v>1381.029176501751</v>
      </c>
      <c r="I293" s="25">
        <f ca="1">IF(PaymentSchedule3[[#This Row],[Payment Number]]&lt;&gt;"",PaymentSchedule3[[#This Row],[Beginning
Balance]]*(InterestRate/PaymentsPerYear),"")</f>
        <v>831.10161996903332</v>
      </c>
      <c r="J293" s="25">
        <f ca="1">IF(PaymentSchedule3[[#This Row],[Payment Number]]&lt;&gt;"",IF(PaymentSchedule3[[#This Row],[Scheduled Payment]]+PaymentSchedule3[[#This Row],[Extra
Payment]]&lt;=PaymentSchedule3[[#This Row],[Beginning
Balance]],PaymentSchedule3[[#This Row],[Beginning
Balance]]-PaymentSchedule3[[#This Row],[Principal]],0),"")</f>
        <v>141093.53424676109</v>
      </c>
      <c r="K293" s="25">
        <f ca="1">IF(PaymentSchedule3[[#This Row],[Payment Number]]&lt;&gt;"",SUM(INDEX(PaymentSchedule3[Interest],1,1):PaymentSchedule3[[#This Row],[Interest]]),"")</f>
        <v>427990.1572585805</v>
      </c>
      <c r="L293" s="25">
        <f ca="1">IF(PaymentSchedule3[[#This Row],[Payment Number]]&lt;&gt;"",SUM(INDEX(PaymentSchedule3[Principal],1,1):PaymentSchedule3[[#This Row],[Principal]]),"")</f>
        <v>191406.46575323908</v>
      </c>
    </row>
    <row r="294" spans="2:12" x14ac:dyDescent="0.25">
      <c r="B294" s="23">
        <f ca="1">IF(LoanIsGood,IF(ROW()-ROW(PaymentSchedule3[[#Headers],[Payment Number]])&gt;ScheduledNumberOfPayments,"",ROW()-ROW(PaymentSchedule3[[#Headers],[Payment Number]])),"")</f>
        <v>281</v>
      </c>
      <c r="C294" s="24">
        <f ca="1">IF(PaymentSchedule3[[#This Row],[Payment Number]]&lt;&gt;"",EOMONTH(LoanStartDate,ROW(PaymentSchedule3[[#This Row],[Payment Number]])-ROW(PaymentSchedule3[[#Headers],[Payment Number]])-2)+DAY(LoanStartDate),"")</f>
        <v>53989</v>
      </c>
      <c r="D294" s="25">
        <f ca="1">IF(PaymentSchedule3[[#This Row],[Payment Number]]&lt;&gt;"",IF(ROW()-ROW(PaymentSchedule3[[#Headers],[Beginning
Balance]])=1,LoanAmount,INDEX(PaymentSchedule3[Ending
Balance],ROW()-ROW(PaymentSchedule3[[#Headers],[Beginning
Balance]])-1)),"")</f>
        <v>141093.53424676109</v>
      </c>
      <c r="E294" s="25">
        <f ca="1">IF(PaymentSchedule3[[#This Row],[Payment Number]]&lt;&gt;"",ScheduledPayment,"")</f>
        <v>2212.1307964707844</v>
      </c>
      <c r="F2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4" s="25">
        <f ca="1">IF(PaymentSchedule3[[#This Row],[Payment Number]]&lt;&gt;"",PaymentSchedule3[[#This Row],[Total
Payment]]-PaymentSchedule3[[#This Row],[Interest]],"")</f>
        <v>1389.0851800313446</v>
      </c>
      <c r="I294" s="25">
        <f ca="1">IF(PaymentSchedule3[[#This Row],[Payment Number]]&lt;&gt;"",PaymentSchedule3[[#This Row],[Beginning
Balance]]*(InterestRate/PaymentsPerYear),"")</f>
        <v>823.04561643943975</v>
      </c>
      <c r="J294" s="25">
        <f ca="1">IF(PaymentSchedule3[[#This Row],[Payment Number]]&lt;&gt;"",IF(PaymentSchedule3[[#This Row],[Scheduled Payment]]+PaymentSchedule3[[#This Row],[Extra
Payment]]&lt;=PaymentSchedule3[[#This Row],[Beginning
Balance]],PaymentSchedule3[[#This Row],[Beginning
Balance]]-PaymentSchedule3[[#This Row],[Principal]],0),"")</f>
        <v>139704.44906672975</v>
      </c>
      <c r="K294" s="25">
        <f ca="1">IF(PaymentSchedule3[[#This Row],[Payment Number]]&lt;&gt;"",SUM(INDEX(PaymentSchedule3[Interest],1,1):PaymentSchedule3[[#This Row],[Interest]]),"")</f>
        <v>428813.20287501992</v>
      </c>
      <c r="L294" s="25">
        <f ca="1">IF(PaymentSchedule3[[#This Row],[Payment Number]]&lt;&gt;"",SUM(INDEX(PaymentSchedule3[Principal],1,1):PaymentSchedule3[[#This Row],[Principal]]),"")</f>
        <v>192795.55093327042</v>
      </c>
    </row>
    <row r="295" spans="2:12" x14ac:dyDescent="0.25">
      <c r="B295" s="23">
        <f ca="1">IF(LoanIsGood,IF(ROW()-ROW(PaymentSchedule3[[#Headers],[Payment Number]])&gt;ScheduledNumberOfPayments,"",ROW()-ROW(PaymentSchedule3[[#Headers],[Payment Number]])),"")</f>
        <v>282</v>
      </c>
      <c r="C295" s="24">
        <f ca="1">IF(PaymentSchedule3[[#This Row],[Payment Number]]&lt;&gt;"",EOMONTH(LoanStartDate,ROW(PaymentSchedule3[[#This Row],[Payment Number]])-ROW(PaymentSchedule3[[#Headers],[Payment Number]])-2)+DAY(LoanStartDate),"")</f>
        <v>54020</v>
      </c>
      <c r="D295" s="25">
        <f ca="1">IF(PaymentSchedule3[[#This Row],[Payment Number]]&lt;&gt;"",IF(ROW()-ROW(PaymentSchedule3[[#Headers],[Beginning
Balance]])=1,LoanAmount,INDEX(PaymentSchedule3[Ending
Balance],ROW()-ROW(PaymentSchedule3[[#Headers],[Beginning
Balance]])-1)),"")</f>
        <v>139704.44906672975</v>
      </c>
      <c r="E295" s="25">
        <f ca="1">IF(PaymentSchedule3[[#This Row],[Payment Number]]&lt;&gt;"",ScheduledPayment,"")</f>
        <v>2212.1307964707844</v>
      </c>
      <c r="F2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5" s="25">
        <f ca="1">IF(PaymentSchedule3[[#This Row],[Payment Number]]&lt;&gt;"",PaymentSchedule3[[#This Row],[Total
Payment]]-PaymentSchedule3[[#This Row],[Interest]],"")</f>
        <v>1397.1881769148608</v>
      </c>
      <c r="I295" s="25">
        <f ca="1">IF(PaymentSchedule3[[#This Row],[Payment Number]]&lt;&gt;"",PaymentSchedule3[[#This Row],[Beginning
Balance]]*(InterestRate/PaymentsPerYear),"")</f>
        <v>814.94261955592356</v>
      </c>
      <c r="J295" s="25">
        <f ca="1">IF(PaymentSchedule3[[#This Row],[Payment Number]]&lt;&gt;"",IF(PaymentSchedule3[[#This Row],[Scheduled Payment]]+PaymentSchedule3[[#This Row],[Extra
Payment]]&lt;=PaymentSchedule3[[#This Row],[Beginning
Balance]],PaymentSchedule3[[#This Row],[Beginning
Balance]]-PaymentSchedule3[[#This Row],[Principal]],0),"")</f>
        <v>138307.26088981488</v>
      </c>
      <c r="K295" s="25">
        <f ca="1">IF(PaymentSchedule3[[#This Row],[Payment Number]]&lt;&gt;"",SUM(INDEX(PaymentSchedule3[Interest],1,1):PaymentSchedule3[[#This Row],[Interest]]),"")</f>
        <v>429628.14549457585</v>
      </c>
      <c r="L295" s="25">
        <f ca="1">IF(PaymentSchedule3[[#This Row],[Payment Number]]&lt;&gt;"",SUM(INDEX(PaymentSchedule3[Principal],1,1):PaymentSchedule3[[#This Row],[Principal]]),"")</f>
        <v>194192.7391101853</v>
      </c>
    </row>
    <row r="296" spans="2:12" x14ac:dyDescent="0.25">
      <c r="B296" s="23">
        <f ca="1">IF(LoanIsGood,IF(ROW()-ROW(PaymentSchedule3[[#Headers],[Payment Number]])&gt;ScheduledNumberOfPayments,"",ROW()-ROW(PaymentSchedule3[[#Headers],[Payment Number]])),"")</f>
        <v>283</v>
      </c>
      <c r="C296" s="24">
        <f ca="1">IF(PaymentSchedule3[[#This Row],[Payment Number]]&lt;&gt;"",EOMONTH(LoanStartDate,ROW(PaymentSchedule3[[#This Row],[Payment Number]])-ROW(PaymentSchedule3[[#Headers],[Payment Number]])-2)+DAY(LoanStartDate),"")</f>
        <v>54050</v>
      </c>
      <c r="D296" s="25">
        <f ca="1">IF(PaymentSchedule3[[#This Row],[Payment Number]]&lt;&gt;"",IF(ROW()-ROW(PaymentSchedule3[[#Headers],[Beginning
Balance]])=1,LoanAmount,INDEX(PaymentSchedule3[Ending
Balance],ROW()-ROW(PaymentSchedule3[[#Headers],[Beginning
Balance]])-1)),"")</f>
        <v>138307.26088981488</v>
      </c>
      <c r="E296" s="25">
        <f ca="1">IF(PaymentSchedule3[[#This Row],[Payment Number]]&lt;&gt;"",ScheduledPayment,"")</f>
        <v>2212.1307964707844</v>
      </c>
      <c r="F2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6" s="25">
        <f ca="1">IF(PaymentSchedule3[[#This Row],[Payment Number]]&lt;&gt;"",PaymentSchedule3[[#This Row],[Total
Payment]]-PaymentSchedule3[[#This Row],[Interest]],"")</f>
        <v>1405.3384412801975</v>
      </c>
      <c r="I296" s="25">
        <f ca="1">IF(PaymentSchedule3[[#This Row],[Payment Number]]&lt;&gt;"",PaymentSchedule3[[#This Row],[Beginning
Balance]]*(InterestRate/PaymentsPerYear),"")</f>
        <v>806.79235519058682</v>
      </c>
      <c r="J296" s="25">
        <f ca="1">IF(PaymentSchedule3[[#This Row],[Payment Number]]&lt;&gt;"",IF(PaymentSchedule3[[#This Row],[Scheduled Payment]]+PaymentSchedule3[[#This Row],[Extra
Payment]]&lt;=PaymentSchedule3[[#This Row],[Beginning
Balance]],PaymentSchedule3[[#This Row],[Beginning
Balance]]-PaymentSchedule3[[#This Row],[Principal]],0),"")</f>
        <v>136901.92244853466</v>
      </c>
      <c r="K296" s="25">
        <f ca="1">IF(PaymentSchedule3[[#This Row],[Payment Number]]&lt;&gt;"",SUM(INDEX(PaymentSchedule3[Interest],1,1):PaymentSchedule3[[#This Row],[Interest]]),"")</f>
        <v>430434.93784976646</v>
      </c>
      <c r="L296" s="25">
        <f ca="1">IF(PaymentSchedule3[[#This Row],[Payment Number]]&lt;&gt;"",SUM(INDEX(PaymentSchedule3[Principal],1,1):PaymentSchedule3[[#This Row],[Principal]]),"")</f>
        <v>195598.07755146551</v>
      </c>
    </row>
    <row r="297" spans="2:12" x14ac:dyDescent="0.25">
      <c r="B297" s="23">
        <f ca="1">IF(LoanIsGood,IF(ROW()-ROW(PaymentSchedule3[[#Headers],[Payment Number]])&gt;ScheduledNumberOfPayments,"",ROW()-ROW(PaymentSchedule3[[#Headers],[Payment Number]])),"")</f>
        <v>284</v>
      </c>
      <c r="C297" s="24">
        <f ca="1">IF(PaymentSchedule3[[#This Row],[Payment Number]]&lt;&gt;"",EOMONTH(LoanStartDate,ROW(PaymentSchedule3[[#This Row],[Payment Number]])-ROW(PaymentSchedule3[[#Headers],[Payment Number]])-2)+DAY(LoanStartDate),"")</f>
        <v>54081</v>
      </c>
      <c r="D297" s="25">
        <f ca="1">IF(PaymentSchedule3[[#This Row],[Payment Number]]&lt;&gt;"",IF(ROW()-ROW(PaymentSchedule3[[#Headers],[Beginning
Balance]])=1,LoanAmount,INDEX(PaymentSchedule3[Ending
Balance],ROW()-ROW(PaymentSchedule3[[#Headers],[Beginning
Balance]])-1)),"")</f>
        <v>136901.92244853466</v>
      </c>
      <c r="E297" s="25">
        <f ca="1">IF(PaymentSchedule3[[#This Row],[Payment Number]]&lt;&gt;"",ScheduledPayment,"")</f>
        <v>2212.1307964707844</v>
      </c>
      <c r="F2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7" s="25">
        <f ca="1">IF(PaymentSchedule3[[#This Row],[Payment Number]]&lt;&gt;"",PaymentSchedule3[[#This Row],[Total
Payment]]-PaymentSchedule3[[#This Row],[Interest]],"")</f>
        <v>1413.5362488543321</v>
      </c>
      <c r="I297" s="25">
        <f ca="1">IF(PaymentSchedule3[[#This Row],[Payment Number]]&lt;&gt;"",PaymentSchedule3[[#This Row],[Beginning
Balance]]*(InterestRate/PaymentsPerYear),"")</f>
        <v>798.59454761645225</v>
      </c>
      <c r="J297" s="25">
        <f ca="1">IF(PaymentSchedule3[[#This Row],[Payment Number]]&lt;&gt;"",IF(PaymentSchedule3[[#This Row],[Scheduled Payment]]+PaymentSchedule3[[#This Row],[Extra
Payment]]&lt;=PaymentSchedule3[[#This Row],[Beginning
Balance]],PaymentSchedule3[[#This Row],[Beginning
Balance]]-PaymentSchedule3[[#This Row],[Principal]],0),"")</f>
        <v>135488.38619968033</v>
      </c>
      <c r="K297" s="25">
        <f ca="1">IF(PaymentSchedule3[[#This Row],[Payment Number]]&lt;&gt;"",SUM(INDEX(PaymentSchedule3[Interest],1,1):PaymentSchedule3[[#This Row],[Interest]]),"")</f>
        <v>431233.53239738289</v>
      </c>
      <c r="L297" s="25">
        <f ca="1">IF(PaymentSchedule3[[#This Row],[Payment Number]]&lt;&gt;"",SUM(INDEX(PaymentSchedule3[Principal],1,1):PaymentSchedule3[[#This Row],[Principal]]),"")</f>
        <v>197011.61380031984</v>
      </c>
    </row>
    <row r="298" spans="2:12" x14ac:dyDescent="0.25">
      <c r="B298" s="23">
        <f ca="1">IF(LoanIsGood,IF(ROW()-ROW(PaymentSchedule3[[#Headers],[Payment Number]])&gt;ScheduledNumberOfPayments,"",ROW()-ROW(PaymentSchedule3[[#Headers],[Payment Number]])),"")</f>
        <v>285</v>
      </c>
      <c r="C298" s="24">
        <f ca="1">IF(PaymentSchedule3[[#This Row],[Payment Number]]&lt;&gt;"",EOMONTH(LoanStartDate,ROW(PaymentSchedule3[[#This Row],[Payment Number]])-ROW(PaymentSchedule3[[#Headers],[Payment Number]])-2)+DAY(LoanStartDate),"")</f>
        <v>54112</v>
      </c>
      <c r="D298" s="25">
        <f ca="1">IF(PaymentSchedule3[[#This Row],[Payment Number]]&lt;&gt;"",IF(ROW()-ROW(PaymentSchedule3[[#Headers],[Beginning
Balance]])=1,LoanAmount,INDEX(PaymentSchedule3[Ending
Balance],ROW()-ROW(PaymentSchedule3[[#Headers],[Beginning
Balance]])-1)),"")</f>
        <v>135488.38619968033</v>
      </c>
      <c r="E298" s="25">
        <f ca="1">IF(PaymentSchedule3[[#This Row],[Payment Number]]&lt;&gt;"",ScheduledPayment,"")</f>
        <v>2212.1307964707844</v>
      </c>
      <c r="F2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8" s="25">
        <f ca="1">IF(PaymentSchedule3[[#This Row],[Payment Number]]&lt;&gt;"",PaymentSchedule3[[#This Row],[Total
Payment]]-PaymentSchedule3[[#This Row],[Interest]],"")</f>
        <v>1421.7818769726491</v>
      </c>
      <c r="I298" s="25">
        <f ca="1">IF(PaymentSchedule3[[#This Row],[Payment Number]]&lt;&gt;"",PaymentSchedule3[[#This Row],[Beginning
Balance]]*(InterestRate/PaymentsPerYear),"")</f>
        <v>790.34891949813527</v>
      </c>
      <c r="J298" s="25">
        <f ca="1">IF(PaymentSchedule3[[#This Row],[Payment Number]]&lt;&gt;"",IF(PaymentSchedule3[[#This Row],[Scheduled Payment]]+PaymentSchedule3[[#This Row],[Extra
Payment]]&lt;=PaymentSchedule3[[#This Row],[Beginning
Balance]],PaymentSchedule3[[#This Row],[Beginning
Balance]]-PaymentSchedule3[[#This Row],[Principal]],0),"")</f>
        <v>134066.60432270769</v>
      </c>
      <c r="K298" s="25">
        <f ca="1">IF(PaymentSchedule3[[#This Row],[Payment Number]]&lt;&gt;"",SUM(INDEX(PaymentSchedule3[Interest],1,1):PaymentSchedule3[[#This Row],[Interest]]),"")</f>
        <v>432023.88131688104</v>
      </c>
      <c r="L298" s="25">
        <f ca="1">IF(PaymentSchedule3[[#This Row],[Payment Number]]&lt;&gt;"",SUM(INDEX(PaymentSchedule3[Principal],1,1):PaymentSchedule3[[#This Row],[Principal]]),"")</f>
        <v>198433.39567729249</v>
      </c>
    </row>
    <row r="299" spans="2:12" x14ac:dyDescent="0.25">
      <c r="B299" s="23">
        <f ca="1">IF(LoanIsGood,IF(ROW()-ROW(PaymentSchedule3[[#Headers],[Payment Number]])&gt;ScheduledNumberOfPayments,"",ROW()-ROW(PaymentSchedule3[[#Headers],[Payment Number]])),"")</f>
        <v>286</v>
      </c>
      <c r="C299" s="24">
        <f ca="1">IF(PaymentSchedule3[[#This Row],[Payment Number]]&lt;&gt;"",EOMONTH(LoanStartDate,ROW(PaymentSchedule3[[#This Row],[Payment Number]])-ROW(PaymentSchedule3[[#Headers],[Payment Number]])-2)+DAY(LoanStartDate),"")</f>
        <v>54141</v>
      </c>
      <c r="D299" s="25">
        <f ca="1">IF(PaymentSchedule3[[#This Row],[Payment Number]]&lt;&gt;"",IF(ROW()-ROW(PaymentSchedule3[[#Headers],[Beginning
Balance]])=1,LoanAmount,INDEX(PaymentSchedule3[Ending
Balance],ROW()-ROW(PaymentSchedule3[[#Headers],[Beginning
Balance]])-1)),"")</f>
        <v>134066.60432270769</v>
      </c>
      <c r="E299" s="25">
        <f ca="1">IF(PaymentSchedule3[[#This Row],[Payment Number]]&lt;&gt;"",ScheduledPayment,"")</f>
        <v>2212.1307964707844</v>
      </c>
      <c r="F2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299" s="25">
        <f ca="1">IF(PaymentSchedule3[[#This Row],[Payment Number]]&lt;&gt;"",PaymentSchedule3[[#This Row],[Total
Payment]]-PaymentSchedule3[[#This Row],[Interest]],"")</f>
        <v>1430.0756045883227</v>
      </c>
      <c r="I299" s="25">
        <f ca="1">IF(PaymentSchedule3[[#This Row],[Payment Number]]&lt;&gt;"",PaymentSchedule3[[#This Row],[Beginning
Balance]]*(InterestRate/PaymentsPerYear),"")</f>
        <v>782.0551918824616</v>
      </c>
      <c r="J299" s="25">
        <f ca="1">IF(PaymentSchedule3[[#This Row],[Payment Number]]&lt;&gt;"",IF(PaymentSchedule3[[#This Row],[Scheduled Payment]]+PaymentSchedule3[[#This Row],[Extra
Payment]]&lt;=PaymentSchedule3[[#This Row],[Beginning
Balance]],PaymentSchedule3[[#This Row],[Beginning
Balance]]-PaymentSchedule3[[#This Row],[Principal]],0),"")</f>
        <v>132636.52871811937</v>
      </c>
      <c r="K299" s="25">
        <f ca="1">IF(PaymentSchedule3[[#This Row],[Payment Number]]&lt;&gt;"",SUM(INDEX(PaymentSchedule3[Interest],1,1):PaymentSchedule3[[#This Row],[Interest]]),"")</f>
        <v>432805.93650876352</v>
      </c>
      <c r="L299" s="25">
        <f ca="1">IF(PaymentSchedule3[[#This Row],[Payment Number]]&lt;&gt;"",SUM(INDEX(PaymentSchedule3[Principal],1,1):PaymentSchedule3[[#This Row],[Principal]]),"")</f>
        <v>199863.4712818808</v>
      </c>
    </row>
    <row r="300" spans="2:12" x14ac:dyDescent="0.25">
      <c r="B300" s="23">
        <f ca="1">IF(LoanIsGood,IF(ROW()-ROW(PaymentSchedule3[[#Headers],[Payment Number]])&gt;ScheduledNumberOfPayments,"",ROW()-ROW(PaymentSchedule3[[#Headers],[Payment Number]])),"")</f>
        <v>287</v>
      </c>
      <c r="C300" s="24">
        <f ca="1">IF(PaymentSchedule3[[#This Row],[Payment Number]]&lt;&gt;"",EOMONTH(LoanStartDate,ROW(PaymentSchedule3[[#This Row],[Payment Number]])-ROW(PaymentSchedule3[[#Headers],[Payment Number]])-2)+DAY(LoanStartDate),"")</f>
        <v>54172</v>
      </c>
      <c r="D300" s="25">
        <f ca="1">IF(PaymentSchedule3[[#This Row],[Payment Number]]&lt;&gt;"",IF(ROW()-ROW(PaymentSchedule3[[#Headers],[Beginning
Balance]])=1,LoanAmount,INDEX(PaymentSchedule3[Ending
Balance],ROW()-ROW(PaymentSchedule3[[#Headers],[Beginning
Balance]])-1)),"")</f>
        <v>132636.52871811937</v>
      </c>
      <c r="E300" s="25">
        <f ca="1">IF(PaymentSchedule3[[#This Row],[Payment Number]]&lt;&gt;"",ScheduledPayment,"")</f>
        <v>2212.1307964707844</v>
      </c>
      <c r="F3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0" s="25">
        <f ca="1">IF(PaymentSchedule3[[#This Row],[Payment Number]]&lt;&gt;"",PaymentSchedule3[[#This Row],[Total
Payment]]-PaymentSchedule3[[#This Row],[Interest]],"")</f>
        <v>1438.4177122817546</v>
      </c>
      <c r="I300" s="25">
        <f ca="1">IF(PaymentSchedule3[[#This Row],[Payment Number]]&lt;&gt;"",PaymentSchedule3[[#This Row],[Beginning
Balance]]*(InterestRate/PaymentsPerYear),"")</f>
        <v>773.7130841890297</v>
      </c>
      <c r="J300" s="25">
        <f ca="1">IF(PaymentSchedule3[[#This Row],[Payment Number]]&lt;&gt;"",IF(PaymentSchedule3[[#This Row],[Scheduled Payment]]+PaymentSchedule3[[#This Row],[Extra
Payment]]&lt;=PaymentSchedule3[[#This Row],[Beginning
Balance]],PaymentSchedule3[[#This Row],[Beginning
Balance]]-PaymentSchedule3[[#This Row],[Principal]],0),"")</f>
        <v>131198.11100583762</v>
      </c>
      <c r="K300" s="25">
        <f ca="1">IF(PaymentSchedule3[[#This Row],[Payment Number]]&lt;&gt;"",SUM(INDEX(PaymentSchedule3[Interest],1,1):PaymentSchedule3[[#This Row],[Interest]]),"")</f>
        <v>433579.64959295257</v>
      </c>
      <c r="L300" s="25">
        <f ca="1">IF(PaymentSchedule3[[#This Row],[Payment Number]]&lt;&gt;"",SUM(INDEX(PaymentSchedule3[Principal],1,1):PaymentSchedule3[[#This Row],[Principal]]),"")</f>
        <v>201301.88899416255</v>
      </c>
    </row>
    <row r="301" spans="2:12" x14ac:dyDescent="0.25">
      <c r="B301" s="23">
        <f ca="1">IF(LoanIsGood,IF(ROW()-ROW(PaymentSchedule3[[#Headers],[Payment Number]])&gt;ScheduledNumberOfPayments,"",ROW()-ROW(PaymentSchedule3[[#Headers],[Payment Number]])),"")</f>
        <v>288</v>
      </c>
      <c r="C301" s="24">
        <f ca="1">IF(PaymentSchedule3[[#This Row],[Payment Number]]&lt;&gt;"",EOMONTH(LoanStartDate,ROW(PaymentSchedule3[[#This Row],[Payment Number]])-ROW(PaymentSchedule3[[#Headers],[Payment Number]])-2)+DAY(LoanStartDate),"")</f>
        <v>54202</v>
      </c>
      <c r="D301" s="25">
        <f ca="1">IF(PaymentSchedule3[[#This Row],[Payment Number]]&lt;&gt;"",IF(ROW()-ROW(PaymentSchedule3[[#Headers],[Beginning
Balance]])=1,LoanAmount,INDEX(PaymentSchedule3[Ending
Balance],ROW()-ROW(PaymentSchedule3[[#Headers],[Beginning
Balance]])-1)),"")</f>
        <v>131198.11100583762</v>
      </c>
      <c r="E301" s="25">
        <f ca="1">IF(PaymentSchedule3[[#This Row],[Payment Number]]&lt;&gt;"",ScheduledPayment,"")</f>
        <v>2212.1307964707844</v>
      </c>
      <c r="F3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1" s="25">
        <f ca="1">IF(PaymentSchedule3[[#This Row],[Payment Number]]&lt;&gt;"",PaymentSchedule3[[#This Row],[Total
Payment]]-PaymentSchedule3[[#This Row],[Interest]],"")</f>
        <v>1446.8084822700648</v>
      </c>
      <c r="I301" s="25">
        <f ca="1">IF(PaymentSchedule3[[#This Row],[Payment Number]]&lt;&gt;"",PaymentSchedule3[[#This Row],[Beginning
Balance]]*(InterestRate/PaymentsPerYear),"")</f>
        <v>765.32231420071946</v>
      </c>
      <c r="J301" s="25">
        <f ca="1">IF(PaymentSchedule3[[#This Row],[Payment Number]]&lt;&gt;"",IF(PaymentSchedule3[[#This Row],[Scheduled Payment]]+PaymentSchedule3[[#This Row],[Extra
Payment]]&lt;=PaymentSchedule3[[#This Row],[Beginning
Balance]],PaymentSchedule3[[#This Row],[Beginning
Balance]]-PaymentSchedule3[[#This Row],[Principal]],0),"")</f>
        <v>129751.30252356756</v>
      </c>
      <c r="K301" s="25">
        <f ca="1">IF(PaymentSchedule3[[#This Row],[Payment Number]]&lt;&gt;"",SUM(INDEX(PaymentSchedule3[Interest],1,1):PaymentSchedule3[[#This Row],[Interest]]),"")</f>
        <v>434344.97190715332</v>
      </c>
      <c r="L301" s="25">
        <f ca="1">IF(PaymentSchedule3[[#This Row],[Payment Number]]&lt;&gt;"",SUM(INDEX(PaymentSchedule3[Principal],1,1):PaymentSchedule3[[#This Row],[Principal]]),"")</f>
        <v>202748.69747643263</v>
      </c>
    </row>
    <row r="302" spans="2:12" x14ac:dyDescent="0.25">
      <c r="B302" s="23">
        <f ca="1">IF(LoanIsGood,IF(ROW()-ROW(PaymentSchedule3[[#Headers],[Payment Number]])&gt;ScheduledNumberOfPayments,"",ROW()-ROW(PaymentSchedule3[[#Headers],[Payment Number]])),"")</f>
        <v>289</v>
      </c>
      <c r="C302" s="24">
        <f ca="1">IF(PaymentSchedule3[[#This Row],[Payment Number]]&lt;&gt;"",EOMONTH(LoanStartDate,ROW(PaymentSchedule3[[#This Row],[Payment Number]])-ROW(PaymentSchedule3[[#Headers],[Payment Number]])-2)+DAY(LoanStartDate),"")</f>
        <v>54233</v>
      </c>
      <c r="D302" s="25">
        <f ca="1">IF(PaymentSchedule3[[#This Row],[Payment Number]]&lt;&gt;"",IF(ROW()-ROW(PaymentSchedule3[[#Headers],[Beginning
Balance]])=1,LoanAmount,INDEX(PaymentSchedule3[Ending
Balance],ROW()-ROW(PaymentSchedule3[[#Headers],[Beginning
Balance]])-1)),"")</f>
        <v>129751.30252356756</v>
      </c>
      <c r="E302" s="25">
        <f ca="1">IF(PaymentSchedule3[[#This Row],[Payment Number]]&lt;&gt;"",ScheduledPayment,"")</f>
        <v>2212.1307964707844</v>
      </c>
      <c r="F3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2" s="25">
        <f ca="1">IF(PaymentSchedule3[[#This Row],[Payment Number]]&lt;&gt;"",PaymentSchedule3[[#This Row],[Total
Payment]]-PaymentSchedule3[[#This Row],[Interest]],"")</f>
        <v>1455.2481984166402</v>
      </c>
      <c r="I302" s="25">
        <f ca="1">IF(PaymentSchedule3[[#This Row],[Payment Number]]&lt;&gt;"",PaymentSchedule3[[#This Row],[Beginning
Balance]]*(InterestRate/PaymentsPerYear),"")</f>
        <v>756.88259805414418</v>
      </c>
      <c r="J302" s="25">
        <f ca="1">IF(PaymentSchedule3[[#This Row],[Payment Number]]&lt;&gt;"",IF(PaymentSchedule3[[#This Row],[Scheduled Payment]]+PaymentSchedule3[[#This Row],[Extra
Payment]]&lt;=PaymentSchedule3[[#This Row],[Beginning
Balance]],PaymentSchedule3[[#This Row],[Beginning
Balance]]-PaymentSchedule3[[#This Row],[Principal]],0),"")</f>
        <v>128296.05432515092</v>
      </c>
      <c r="K302" s="25">
        <f ca="1">IF(PaymentSchedule3[[#This Row],[Payment Number]]&lt;&gt;"",SUM(INDEX(PaymentSchedule3[Interest],1,1):PaymentSchedule3[[#This Row],[Interest]]),"")</f>
        <v>435101.85450520745</v>
      </c>
      <c r="L302" s="25">
        <f ca="1">IF(PaymentSchedule3[[#This Row],[Payment Number]]&lt;&gt;"",SUM(INDEX(PaymentSchedule3[Principal],1,1):PaymentSchedule3[[#This Row],[Principal]]),"")</f>
        <v>204203.94567484927</v>
      </c>
    </row>
    <row r="303" spans="2:12" x14ac:dyDescent="0.25">
      <c r="B303" s="23">
        <f ca="1">IF(LoanIsGood,IF(ROW()-ROW(PaymentSchedule3[[#Headers],[Payment Number]])&gt;ScheduledNumberOfPayments,"",ROW()-ROW(PaymentSchedule3[[#Headers],[Payment Number]])),"")</f>
        <v>290</v>
      </c>
      <c r="C303" s="24">
        <f ca="1">IF(PaymentSchedule3[[#This Row],[Payment Number]]&lt;&gt;"",EOMONTH(LoanStartDate,ROW(PaymentSchedule3[[#This Row],[Payment Number]])-ROW(PaymentSchedule3[[#Headers],[Payment Number]])-2)+DAY(LoanStartDate),"")</f>
        <v>54263</v>
      </c>
      <c r="D303" s="25">
        <f ca="1">IF(PaymentSchedule3[[#This Row],[Payment Number]]&lt;&gt;"",IF(ROW()-ROW(PaymentSchedule3[[#Headers],[Beginning
Balance]])=1,LoanAmount,INDEX(PaymentSchedule3[Ending
Balance],ROW()-ROW(PaymentSchedule3[[#Headers],[Beginning
Balance]])-1)),"")</f>
        <v>128296.05432515092</v>
      </c>
      <c r="E303" s="25">
        <f ca="1">IF(PaymentSchedule3[[#This Row],[Payment Number]]&lt;&gt;"",ScheduledPayment,"")</f>
        <v>2212.1307964707844</v>
      </c>
      <c r="F3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3" s="25">
        <f ca="1">IF(PaymentSchedule3[[#This Row],[Payment Number]]&lt;&gt;"",PaymentSchedule3[[#This Row],[Total
Payment]]-PaymentSchedule3[[#This Row],[Interest]],"")</f>
        <v>1463.7371462407373</v>
      </c>
      <c r="I303" s="25">
        <f ca="1">IF(PaymentSchedule3[[#This Row],[Payment Number]]&lt;&gt;"",PaymentSchedule3[[#This Row],[Beginning
Balance]]*(InterestRate/PaymentsPerYear),"")</f>
        <v>748.39365023004711</v>
      </c>
      <c r="J303" s="25">
        <f ca="1">IF(PaymentSchedule3[[#This Row],[Payment Number]]&lt;&gt;"",IF(PaymentSchedule3[[#This Row],[Scheduled Payment]]+PaymentSchedule3[[#This Row],[Extra
Payment]]&lt;=PaymentSchedule3[[#This Row],[Beginning
Balance]],PaymentSchedule3[[#This Row],[Beginning
Balance]]-PaymentSchedule3[[#This Row],[Principal]],0),"")</f>
        <v>126832.31717891019</v>
      </c>
      <c r="K303" s="25">
        <f ca="1">IF(PaymentSchedule3[[#This Row],[Payment Number]]&lt;&gt;"",SUM(INDEX(PaymentSchedule3[Interest],1,1):PaymentSchedule3[[#This Row],[Interest]]),"")</f>
        <v>435850.24815543747</v>
      </c>
      <c r="L303" s="25">
        <f ca="1">IF(PaymentSchedule3[[#This Row],[Payment Number]]&lt;&gt;"",SUM(INDEX(PaymentSchedule3[Principal],1,1):PaymentSchedule3[[#This Row],[Principal]]),"")</f>
        <v>205667.68282109001</v>
      </c>
    </row>
    <row r="304" spans="2:12" x14ac:dyDescent="0.25">
      <c r="B304" s="23">
        <f ca="1">IF(LoanIsGood,IF(ROW()-ROW(PaymentSchedule3[[#Headers],[Payment Number]])&gt;ScheduledNumberOfPayments,"",ROW()-ROW(PaymentSchedule3[[#Headers],[Payment Number]])),"")</f>
        <v>291</v>
      </c>
      <c r="C304" s="24">
        <f ca="1">IF(PaymentSchedule3[[#This Row],[Payment Number]]&lt;&gt;"",EOMONTH(LoanStartDate,ROW(PaymentSchedule3[[#This Row],[Payment Number]])-ROW(PaymentSchedule3[[#Headers],[Payment Number]])-2)+DAY(LoanStartDate),"")</f>
        <v>54294</v>
      </c>
      <c r="D304" s="25">
        <f ca="1">IF(PaymentSchedule3[[#This Row],[Payment Number]]&lt;&gt;"",IF(ROW()-ROW(PaymentSchedule3[[#Headers],[Beginning
Balance]])=1,LoanAmount,INDEX(PaymentSchedule3[Ending
Balance],ROW()-ROW(PaymentSchedule3[[#Headers],[Beginning
Balance]])-1)),"")</f>
        <v>126832.31717891019</v>
      </c>
      <c r="E304" s="25">
        <f ca="1">IF(PaymentSchedule3[[#This Row],[Payment Number]]&lt;&gt;"",ScheduledPayment,"")</f>
        <v>2212.1307964707844</v>
      </c>
      <c r="F3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4" s="25">
        <f ca="1">IF(PaymentSchedule3[[#This Row],[Payment Number]]&lt;&gt;"",PaymentSchedule3[[#This Row],[Total
Payment]]-PaymentSchedule3[[#This Row],[Interest]],"")</f>
        <v>1472.2756129271415</v>
      </c>
      <c r="I304" s="25">
        <f ca="1">IF(PaymentSchedule3[[#This Row],[Payment Number]]&lt;&gt;"",PaymentSchedule3[[#This Row],[Beginning
Balance]]*(InterestRate/PaymentsPerYear),"")</f>
        <v>739.85518354364285</v>
      </c>
      <c r="J304" s="25">
        <f ca="1">IF(PaymentSchedule3[[#This Row],[Payment Number]]&lt;&gt;"",IF(PaymentSchedule3[[#This Row],[Scheduled Payment]]+PaymentSchedule3[[#This Row],[Extra
Payment]]&lt;=PaymentSchedule3[[#This Row],[Beginning
Balance]],PaymentSchedule3[[#This Row],[Beginning
Balance]]-PaymentSchedule3[[#This Row],[Principal]],0),"")</f>
        <v>125360.04156598305</v>
      </c>
      <c r="K304" s="25">
        <f ca="1">IF(PaymentSchedule3[[#This Row],[Payment Number]]&lt;&gt;"",SUM(INDEX(PaymentSchedule3[Interest],1,1):PaymentSchedule3[[#This Row],[Interest]]),"")</f>
        <v>436590.10333898111</v>
      </c>
      <c r="L304" s="25">
        <f ca="1">IF(PaymentSchedule3[[#This Row],[Payment Number]]&lt;&gt;"",SUM(INDEX(PaymentSchedule3[Principal],1,1):PaymentSchedule3[[#This Row],[Principal]]),"")</f>
        <v>207139.95843401714</v>
      </c>
    </row>
    <row r="305" spans="2:12" x14ac:dyDescent="0.25">
      <c r="B305" s="23">
        <f ca="1">IF(LoanIsGood,IF(ROW()-ROW(PaymentSchedule3[[#Headers],[Payment Number]])&gt;ScheduledNumberOfPayments,"",ROW()-ROW(PaymentSchedule3[[#Headers],[Payment Number]])),"")</f>
        <v>292</v>
      </c>
      <c r="C305" s="24">
        <f ca="1">IF(PaymentSchedule3[[#This Row],[Payment Number]]&lt;&gt;"",EOMONTH(LoanStartDate,ROW(PaymentSchedule3[[#This Row],[Payment Number]])-ROW(PaymentSchedule3[[#Headers],[Payment Number]])-2)+DAY(LoanStartDate),"")</f>
        <v>54325</v>
      </c>
      <c r="D305" s="25">
        <f ca="1">IF(PaymentSchedule3[[#This Row],[Payment Number]]&lt;&gt;"",IF(ROW()-ROW(PaymentSchedule3[[#Headers],[Beginning
Balance]])=1,LoanAmount,INDEX(PaymentSchedule3[Ending
Balance],ROW()-ROW(PaymentSchedule3[[#Headers],[Beginning
Balance]])-1)),"")</f>
        <v>125360.04156598305</v>
      </c>
      <c r="E305" s="25">
        <f ca="1">IF(PaymentSchedule3[[#This Row],[Payment Number]]&lt;&gt;"",ScheduledPayment,"")</f>
        <v>2212.1307964707844</v>
      </c>
      <c r="F3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5" s="25">
        <f ca="1">IF(PaymentSchedule3[[#This Row],[Payment Number]]&lt;&gt;"",PaymentSchedule3[[#This Row],[Total
Payment]]-PaymentSchedule3[[#This Row],[Interest]],"")</f>
        <v>1480.8638873358832</v>
      </c>
      <c r="I305" s="25">
        <f ca="1">IF(PaymentSchedule3[[#This Row],[Payment Number]]&lt;&gt;"",PaymentSchedule3[[#This Row],[Beginning
Balance]]*(InterestRate/PaymentsPerYear),"")</f>
        <v>731.26690913490108</v>
      </c>
      <c r="J305" s="25">
        <f ca="1">IF(PaymentSchedule3[[#This Row],[Payment Number]]&lt;&gt;"",IF(PaymentSchedule3[[#This Row],[Scheduled Payment]]+PaymentSchedule3[[#This Row],[Extra
Payment]]&lt;=PaymentSchedule3[[#This Row],[Beginning
Balance]],PaymentSchedule3[[#This Row],[Beginning
Balance]]-PaymentSchedule3[[#This Row],[Principal]],0),"")</f>
        <v>123879.17767864716</v>
      </c>
      <c r="K305" s="25">
        <f ca="1">IF(PaymentSchedule3[[#This Row],[Payment Number]]&lt;&gt;"",SUM(INDEX(PaymentSchedule3[Interest],1,1):PaymentSchedule3[[#This Row],[Interest]]),"")</f>
        <v>437321.37024811603</v>
      </c>
      <c r="L305" s="25">
        <f ca="1">IF(PaymentSchedule3[[#This Row],[Payment Number]]&lt;&gt;"",SUM(INDEX(PaymentSchedule3[Principal],1,1):PaymentSchedule3[[#This Row],[Principal]]),"")</f>
        <v>208620.82232135301</v>
      </c>
    </row>
    <row r="306" spans="2:12" x14ac:dyDescent="0.25">
      <c r="B306" s="23">
        <f ca="1">IF(LoanIsGood,IF(ROW()-ROW(PaymentSchedule3[[#Headers],[Payment Number]])&gt;ScheduledNumberOfPayments,"",ROW()-ROW(PaymentSchedule3[[#Headers],[Payment Number]])),"")</f>
        <v>293</v>
      </c>
      <c r="C306" s="24">
        <f ca="1">IF(PaymentSchedule3[[#This Row],[Payment Number]]&lt;&gt;"",EOMONTH(LoanStartDate,ROW(PaymentSchedule3[[#This Row],[Payment Number]])-ROW(PaymentSchedule3[[#Headers],[Payment Number]])-2)+DAY(LoanStartDate),"")</f>
        <v>54355</v>
      </c>
      <c r="D306" s="25">
        <f ca="1">IF(PaymentSchedule3[[#This Row],[Payment Number]]&lt;&gt;"",IF(ROW()-ROW(PaymentSchedule3[[#Headers],[Beginning
Balance]])=1,LoanAmount,INDEX(PaymentSchedule3[Ending
Balance],ROW()-ROW(PaymentSchedule3[[#Headers],[Beginning
Balance]])-1)),"")</f>
        <v>123879.17767864716</v>
      </c>
      <c r="E306" s="25">
        <f ca="1">IF(PaymentSchedule3[[#This Row],[Payment Number]]&lt;&gt;"",ScheduledPayment,"")</f>
        <v>2212.1307964707844</v>
      </c>
      <c r="F3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6" s="25">
        <f ca="1">IF(PaymentSchedule3[[#This Row],[Payment Number]]&lt;&gt;"",PaymentSchedule3[[#This Row],[Total
Payment]]-PaymentSchedule3[[#This Row],[Interest]],"")</f>
        <v>1489.5022600120092</v>
      </c>
      <c r="I306" s="25">
        <f ca="1">IF(PaymentSchedule3[[#This Row],[Payment Number]]&lt;&gt;"",PaymentSchedule3[[#This Row],[Beginning
Balance]]*(InterestRate/PaymentsPerYear),"")</f>
        <v>722.6285364587751</v>
      </c>
      <c r="J306" s="25">
        <f ca="1">IF(PaymentSchedule3[[#This Row],[Payment Number]]&lt;&gt;"",IF(PaymentSchedule3[[#This Row],[Scheduled Payment]]+PaymentSchedule3[[#This Row],[Extra
Payment]]&lt;=PaymentSchedule3[[#This Row],[Beginning
Balance]],PaymentSchedule3[[#This Row],[Beginning
Balance]]-PaymentSchedule3[[#This Row],[Principal]],0),"")</f>
        <v>122389.67541863515</v>
      </c>
      <c r="K306" s="25">
        <f ca="1">IF(PaymentSchedule3[[#This Row],[Payment Number]]&lt;&gt;"",SUM(INDEX(PaymentSchedule3[Interest],1,1):PaymentSchedule3[[#This Row],[Interest]]),"")</f>
        <v>438043.9987845748</v>
      </c>
      <c r="L306" s="25">
        <f ca="1">IF(PaymentSchedule3[[#This Row],[Payment Number]]&lt;&gt;"",SUM(INDEX(PaymentSchedule3[Principal],1,1):PaymentSchedule3[[#This Row],[Principal]]),"")</f>
        <v>210110.32458136501</v>
      </c>
    </row>
    <row r="307" spans="2:12" x14ac:dyDescent="0.25">
      <c r="B307" s="23">
        <f ca="1">IF(LoanIsGood,IF(ROW()-ROW(PaymentSchedule3[[#Headers],[Payment Number]])&gt;ScheduledNumberOfPayments,"",ROW()-ROW(PaymentSchedule3[[#Headers],[Payment Number]])),"")</f>
        <v>294</v>
      </c>
      <c r="C307" s="24">
        <f ca="1">IF(PaymentSchedule3[[#This Row],[Payment Number]]&lt;&gt;"",EOMONTH(LoanStartDate,ROW(PaymentSchedule3[[#This Row],[Payment Number]])-ROW(PaymentSchedule3[[#Headers],[Payment Number]])-2)+DAY(LoanStartDate),"")</f>
        <v>54386</v>
      </c>
      <c r="D307" s="25">
        <f ca="1">IF(PaymentSchedule3[[#This Row],[Payment Number]]&lt;&gt;"",IF(ROW()-ROW(PaymentSchedule3[[#Headers],[Beginning
Balance]])=1,LoanAmount,INDEX(PaymentSchedule3[Ending
Balance],ROW()-ROW(PaymentSchedule3[[#Headers],[Beginning
Balance]])-1)),"")</f>
        <v>122389.67541863515</v>
      </c>
      <c r="E307" s="25">
        <f ca="1">IF(PaymentSchedule3[[#This Row],[Payment Number]]&lt;&gt;"",ScheduledPayment,"")</f>
        <v>2212.1307964707844</v>
      </c>
      <c r="F3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7" s="25">
        <f ca="1">IF(PaymentSchedule3[[#This Row],[Payment Number]]&lt;&gt;"",PaymentSchedule3[[#This Row],[Total
Payment]]-PaymentSchedule3[[#This Row],[Interest]],"")</f>
        <v>1498.1910231954125</v>
      </c>
      <c r="I307" s="25">
        <f ca="1">IF(PaymentSchedule3[[#This Row],[Payment Number]]&lt;&gt;"",PaymentSchedule3[[#This Row],[Beginning
Balance]]*(InterestRate/PaymentsPerYear),"")</f>
        <v>713.93977327537175</v>
      </c>
      <c r="J307" s="25">
        <f ca="1">IF(PaymentSchedule3[[#This Row],[Payment Number]]&lt;&gt;"",IF(PaymentSchedule3[[#This Row],[Scheduled Payment]]+PaymentSchedule3[[#This Row],[Extra
Payment]]&lt;=PaymentSchedule3[[#This Row],[Beginning
Balance]],PaymentSchedule3[[#This Row],[Beginning
Balance]]-PaymentSchedule3[[#This Row],[Principal]],0),"")</f>
        <v>120891.48439543974</v>
      </c>
      <c r="K307" s="25">
        <f ca="1">IF(PaymentSchedule3[[#This Row],[Payment Number]]&lt;&gt;"",SUM(INDEX(PaymentSchedule3[Interest],1,1):PaymentSchedule3[[#This Row],[Interest]]),"")</f>
        <v>438757.9385578502</v>
      </c>
      <c r="L307" s="25">
        <f ca="1">IF(PaymentSchedule3[[#This Row],[Payment Number]]&lt;&gt;"",SUM(INDEX(PaymentSchedule3[Principal],1,1):PaymentSchedule3[[#This Row],[Principal]]),"")</f>
        <v>211608.51560456044</v>
      </c>
    </row>
    <row r="308" spans="2:12" x14ac:dyDescent="0.25">
      <c r="B308" s="23">
        <f ca="1">IF(LoanIsGood,IF(ROW()-ROW(PaymentSchedule3[[#Headers],[Payment Number]])&gt;ScheduledNumberOfPayments,"",ROW()-ROW(PaymentSchedule3[[#Headers],[Payment Number]])),"")</f>
        <v>295</v>
      </c>
      <c r="C308" s="24">
        <f ca="1">IF(PaymentSchedule3[[#This Row],[Payment Number]]&lt;&gt;"",EOMONTH(LoanStartDate,ROW(PaymentSchedule3[[#This Row],[Payment Number]])-ROW(PaymentSchedule3[[#Headers],[Payment Number]])-2)+DAY(LoanStartDate),"")</f>
        <v>54416</v>
      </c>
      <c r="D308" s="25">
        <f ca="1">IF(PaymentSchedule3[[#This Row],[Payment Number]]&lt;&gt;"",IF(ROW()-ROW(PaymentSchedule3[[#Headers],[Beginning
Balance]])=1,LoanAmount,INDEX(PaymentSchedule3[Ending
Balance],ROW()-ROW(PaymentSchedule3[[#Headers],[Beginning
Balance]])-1)),"")</f>
        <v>120891.48439543974</v>
      </c>
      <c r="E308" s="25">
        <f ca="1">IF(PaymentSchedule3[[#This Row],[Payment Number]]&lt;&gt;"",ScheduledPayment,"")</f>
        <v>2212.1307964707844</v>
      </c>
      <c r="F3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8" s="25">
        <f ca="1">IF(PaymentSchedule3[[#This Row],[Payment Number]]&lt;&gt;"",PaymentSchedule3[[#This Row],[Total
Payment]]-PaymentSchedule3[[#This Row],[Interest]],"")</f>
        <v>1506.9304708307191</v>
      </c>
      <c r="I308" s="25">
        <f ca="1">IF(PaymentSchedule3[[#This Row],[Payment Number]]&lt;&gt;"",PaymentSchedule3[[#This Row],[Beginning
Balance]]*(InterestRate/PaymentsPerYear),"")</f>
        <v>705.20032564006522</v>
      </c>
      <c r="J308" s="25">
        <f ca="1">IF(PaymentSchedule3[[#This Row],[Payment Number]]&lt;&gt;"",IF(PaymentSchedule3[[#This Row],[Scheduled Payment]]+PaymentSchedule3[[#This Row],[Extra
Payment]]&lt;=PaymentSchedule3[[#This Row],[Beginning
Balance]],PaymentSchedule3[[#This Row],[Beginning
Balance]]-PaymentSchedule3[[#This Row],[Principal]],0),"")</f>
        <v>119384.55392460902</v>
      </c>
      <c r="K308" s="25">
        <f ca="1">IF(PaymentSchedule3[[#This Row],[Payment Number]]&lt;&gt;"",SUM(INDEX(PaymentSchedule3[Interest],1,1):PaymentSchedule3[[#This Row],[Interest]]),"")</f>
        <v>439463.13888349029</v>
      </c>
      <c r="L308" s="25">
        <f ca="1">IF(PaymentSchedule3[[#This Row],[Payment Number]]&lt;&gt;"",SUM(INDEX(PaymentSchedule3[Principal],1,1):PaymentSchedule3[[#This Row],[Principal]]),"")</f>
        <v>213115.44607539117</v>
      </c>
    </row>
    <row r="309" spans="2:12" x14ac:dyDescent="0.25">
      <c r="B309" s="23">
        <f ca="1">IF(LoanIsGood,IF(ROW()-ROW(PaymentSchedule3[[#Headers],[Payment Number]])&gt;ScheduledNumberOfPayments,"",ROW()-ROW(PaymentSchedule3[[#Headers],[Payment Number]])),"")</f>
        <v>296</v>
      </c>
      <c r="C309" s="24">
        <f ca="1">IF(PaymentSchedule3[[#This Row],[Payment Number]]&lt;&gt;"",EOMONTH(LoanStartDate,ROW(PaymentSchedule3[[#This Row],[Payment Number]])-ROW(PaymentSchedule3[[#Headers],[Payment Number]])-2)+DAY(LoanStartDate),"")</f>
        <v>54447</v>
      </c>
      <c r="D309" s="25">
        <f ca="1">IF(PaymentSchedule3[[#This Row],[Payment Number]]&lt;&gt;"",IF(ROW()-ROW(PaymentSchedule3[[#Headers],[Beginning
Balance]])=1,LoanAmount,INDEX(PaymentSchedule3[Ending
Balance],ROW()-ROW(PaymentSchedule3[[#Headers],[Beginning
Balance]])-1)),"")</f>
        <v>119384.55392460902</v>
      </c>
      <c r="E309" s="25">
        <f ca="1">IF(PaymentSchedule3[[#This Row],[Payment Number]]&lt;&gt;"",ScheduledPayment,"")</f>
        <v>2212.1307964707844</v>
      </c>
      <c r="F3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09" s="25">
        <f ca="1">IF(PaymentSchedule3[[#This Row],[Payment Number]]&lt;&gt;"",PaymentSchedule3[[#This Row],[Total
Payment]]-PaymentSchedule3[[#This Row],[Interest]],"")</f>
        <v>1515.7208985772318</v>
      </c>
      <c r="I309" s="25">
        <f ca="1">IF(PaymentSchedule3[[#This Row],[Payment Number]]&lt;&gt;"",PaymentSchedule3[[#This Row],[Beginning
Balance]]*(InterestRate/PaymentsPerYear),"")</f>
        <v>696.40989789355262</v>
      </c>
      <c r="J309" s="25">
        <f ca="1">IF(PaymentSchedule3[[#This Row],[Payment Number]]&lt;&gt;"",IF(PaymentSchedule3[[#This Row],[Scheduled Payment]]+PaymentSchedule3[[#This Row],[Extra
Payment]]&lt;=PaymentSchedule3[[#This Row],[Beginning
Balance]],PaymentSchedule3[[#This Row],[Beginning
Balance]]-PaymentSchedule3[[#This Row],[Principal]],0),"")</f>
        <v>117868.83302603179</v>
      </c>
      <c r="K309" s="25">
        <f ca="1">IF(PaymentSchedule3[[#This Row],[Payment Number]]&lt;&gt;"",SUM(INDEX(PaymentSchedule3[Interest],1,1):PaymentSchedule3[[#This Row],[Interest]]),"")</f>
        <v>440159.54878138384</v>
      </c>
      <c r="L309" s="25">
        <f ca="1">IF(PaymentSchedule3[[#This Row],[Payment Number]]&lt;&gt;"",SUM(INDEX(PaymentSchedule3[Principal],1,1):PaymentSchedule3[[#This Row],[Principal]]),"")</f>
        <v>214631.16697396841</v>
      </c>
    </row>
    <row r="310" spans="2:12" x14ac:dyDescent="0.25">
      <c r="B310" s="23">
        <f ca="1">IF(LoanIsGood,IF(ROW()-ROW(PaymentSchedule3[[#Headers],[Payment Number]])&gt;ScheduledNumberOfPayments,"",ROW()-ROW(PaymentSchedule3[[#Headers],[Payment Number]])),"")</f>
        <v>297</v>
      </c>
      <c r="C310" s="24">
        <f ca="1">IF(PaymentSchedule3[[#This Row],[Payment Number]]&lt;&gt;"",EOMONTH(LoanStartDate,ROW(PaymentSchedule3[[#This Row],[Payment Number]])-ROW(PaymentSchedule3[[#Headers],[Payment Number]])-2)+DAY(LoanStartDate),"")</f>
        <v>54478</v>
      </c>
      <c r="D310" s="25">
        <f ca="1">IF(PaymentSchedule3[[#This Row],[Payment Number]]&lt;&gt;"",IF(ROW()-ROW(PaymentSchedule3[[#Headers],[Beginning
Balance]])=1,LoanAmount,INDEX(PaymentSchedule3[Ending
Balance],ROW()-ROW(PaymentSchedule3[[#Headers],[Beginning
Balance]])-1)),"")</f>
        <v>117868.83302603179</v>
      </c>
      <c r="E310" s="25">
        <f ca="1">IF(PaymentSchedule3[[#This Row],[Payment Number]]&lt;&gt;"",ScheduledPayment,"")</f>
        <v>2212.1307964707844</v>
      </c>
      <c r="F3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0" s="25">
        <f ca="1">IF(PaymentSchedule3[[#This Row],[Payment Number]]&lt;&gt;"",PaymentSchedule3[[#This Row],[Total
Payment]]-PaymentSchedule3[[#This Row],[Interest]],"")</f>
        <v>1524.5626038189323</v>
      </c>
      <c r="I310" s="25">
        <f ca="1">IF(PaymentSchedule3[[#This Row],[Payment Number]]&lt;&gt;"",PaymentSchedule3[[#This Row],[Beginning
Balance]]*(InterestRate/PaymentsPerYear),"")</f>
        <v>687.56819265185209</v>
      </c>
      <c r="J310" s="25">
        <f ca="1">IF(PaymentSchedule3[[#This Row],[Payment Number]]&lt;&gt;"",IF(PaymentSchedule3[[#This Row],[Scheduled Payment]]+PaymentSchedule3[[#This Row],[Extra
Payment]]&lt;=PaymentSchedule3[[#This Row],[Beginning
Balance]],PaymentSchedule3[[#This Row],[Beginning
Balance]]-PaymentSchedule3[[#This Row],[Principal]],0),"")</f>
        <v>116344.27042221285</v>
      </c>
      <c r="K310" s="25">
        <f ca="1">IF(PaymentSchedule3[[#This Row],[Payment Number]]&lt;&gt;"",SUM(INDEX(PaymentSchedule3[Interest],1,1):PaymentSchedule3[[#This Row],[Interest]]),"")</f>
        <v>440847.11697403569</v>
      </c>
      <c r="L310" s="25">
        <f ca="1">IF(PaymentSchedule3[[#This Row],[Payment Number]]&lt;&gt;"",SUM(INDEX(PaymentSchedule3[Principal],1,1):PaymentSchedule3[[#This Row],[Principal]]),"")</f>
        <v>216155.72957778734</v>
      </c>
    </row>
    <row r="311" spans="2:12" x14ac:dyDescent="0.25">
      <c r="B311" s="23">
        <f ca="1">IF(LoanIsGood,IF(ROW()-ROW(PaymentSchedule3[[#Headers],[Payment Number]])&gt;ScheduledNumberOfPayments,"",ROW()-ROW(PaymentSchedule3[[#Headers],[Payment Number]])),"")</f>
        <v>298</v>
      </c>
      <c r="C311" s="24">
        <f ca="1">IF(PaymentSchedule3[[#This Row],[Payment Number]]&lt;&gt;"",EOMONTH(LoanStartDate,ROW(PaymentSchedule3[[#This Row],[Payment Number]])-ROW(PaymentSchedule3[[#Headers],[Payment Number]])-2)+DAY(LoanStartDate),"")</f>
        <v>54506</v>
      </c>
      <c r="D311" s="25">
        <f ca="1">IF(PaymentSchedule3[[#This Row],[Payment Number]]&lt;&gt;"",IF(ROW()-ROW(PaymentSchedule3[[#Headers],[Beginning
Balance]])=1,LoanAmount,INDEX(PaymentSchedule3[Ending
Balance],ROW()-ROW(PaymentSchedule3[[#Headers],[Beginning
Balance]])-1)),"")</f>
        <v>116344.27042221285</v>
      </c>
      <c r="E311" s="25">
        <f ca="1">IF(PaymentSchedule3[[#This Row],[Payment Number]]&lt;&gt;"",ScheduledPayment,"")</f>
        <v>2212.1307964707844</v>
      </c>
      <c r="F3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1" s="25">
        <f ca="1">IF(PaymentSchedule3[[#This Row],[Payment Number]]&lt;&gt;"",PaymentSchedule3[[#This Row],[Total
Payment]]-PaymentSchedule3[[#This Row],[Interest]],"")</f>
        <v>1533.4558856745427</v>
      </c>
      <c r="I311" s="25">
        <f ca="1">IF(PaymentSchedule3[[#This Row],[Payment Number]]&lt;&gt;"",PaymentSchedule3[[#This Row],[Beginning
Balance]]*(InterestRate/PaymentsPerYear),"")</f>
        <v>678.67491079624165</v>
      </c>
      <c r="J311" s="25">
        <f ca="1">IF(PaymentSchedule3[[#This Row],[Payment Number]]&lt;&gt;"",IF(PaymentSchedule3[[#This Row],[Scheduled Payment]]+PaymentSchedule3[[#This Row],[Extra
Payment]]&lt;=PaymentSchedule3[[#This Row],[Beginning
Balance]],PaymentSchedule3[[#This Row],[Beginning
Balance]]-PaymentSchedule3[[#This Row],[Principal]],0),"")</f>
        <v>114810.81453653831</v>
      </c>
      <c r="K311" s="25">
        <f ca="1">IF(PaymentSchedule3[[#This Row],[Payment Number]]&lt;&gt;"",SUM(INDEX(PaymentSchedule3[Interest],1,1):PaymentSchedule3[[#This Row],[Interest]]),"")</f>
        <v>441525.79188483191</v>
      </c>
      <c r="L311" s="25">
        <f ca="1">IF(PaymentSchedule3[[#This Row],[Payment Number]]&lt;&gt;"",SUM(INDEX(PaymentSchedule3[Principal],1,1):PaymentSchedule3[[#This Row],[Principal]]),"")</f>
        <v>217689.18546346188</v>
      </c>
    </row>
    <row r="312" spans="2:12" x14ac:dyDescent="0.25">
      <c r="B312" s="23">
        <f ca="1">IF(LoanIsGood,IF(ROW()-ROW(PaymentSchedule3[[#Headers],[Payment Number]])&gt;ScheduledNumberOfPayments,"",ROW()-ROW(PaymentSchedule3[[#Headers],[Payment Number]])),"")</f>
        <v>299</v>
      </c>
      <c r="C312" s="24">
        <f ca="1">IF(PaymentSchedule3[[#This Row],[Payment Number]]&lt;&gt;"",EOMONTH(LoanStartDate,ROW(PaymentSchedule3[[#This Row],[Payment Number]])-ROW(PaymentSchedule3[[#Headers],[Payment Number]])-2)+DAY(LoanStartDate),"")</f>
        <v>54537</v>
      </c>
      <c r="D312" s="25">
        <f ca="1">IF(PaymentSchedule3[[#This Row],[Payment Number]]&lt;&gt;"",IF(ROW()-ROW(PaymentSchedule3[[#Headers],[Beginning
Balance]])=1,LoanAmount,INDEX(PaymentSchedule3[Ending
Balance],ROW()-ROW(PaymentSchedule3[[#Headers],[Beginning
Balance]])-1)),"")</f>
        <v>114810.81453653831</v>
      </c>
      <c r="E312" s="25">
        <f ca="1">IF(PaymentSchedule3[[#This Row],[Payment Number]]&lt;&gt;"",ScheduledPayment,"")</f>
        <v>2212.1307964707844</v>
      </c>
      <c r="F3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2" s="25">
        <f ca="1">IF(PaymentSchedule3[[#This Row],[Payment Number]]&lt;&gt;"",PaymentSchedule3[[#This Row],[Total
Payment]]-PaymentSchedule3[[#This Row],[Interest]],"")</f>
        <v>1542.4010450076444</v>
      </c>
      <c r="I312" s="25">
        <f ca="1">IF(PaymentSchedule3[[#This Row],[Payment Number]]&lt;&gt;"",PaymentSchedule3[[#This Row],[Beginning
Balance]]*(InterestRate/PaymentsPerYear),"")</f>
        <v>669.72975146314013</v>
      </c>
      <c r="J312" s="25">
        <f ca="1">IF(PaymentSchedule3[[#This Row],[Payment Number]]&lt;&gt;"",IF(PaymentSchedule3[[#This Row],[Scheduled Payment]]+PaymentSchedule3[[#This Row],[Extra
Payment]]&lt;=PaymentSchedule3[[#This Row],[Beginning
Balance]],PaymentSchedule3[[#This Row],[Beginning
Balance]]-PaymentSchedule3[[#This Row],[Principal]],0),"")</f>
        <v>113268.41349153066</v>
      </c>
      <c r="K312" s="25">
        <f ca="1">IF(PaymentSchedule3[[#This Row],[Payment Number]]&lt;&gt;"",SUM(INDEX(PaymentSchedule3[Interest],1,1):PaymentSchedule3[[#This Row],[Interest]]),"")</f>
        <v>442195.52163629507</v>
      </c>
      <c r="L312" s="25">
        <f ca="1">IF(PaymentSchedule3[[#This Row],[Payment Number]]&lt;&gt;"",SUM(INDEX(PaymentSchedule3[Principal],1,1):PaymentSchedule3[[#This Row],[Principal]]),"")</f>
        <v>219231.58650846951</v>
      </c>
    </row>
    <row r="313" spans="2:12" x14ac:dyDescent="0.25">
      <c r="B313" s="23">
        <f ca="1">IF(LoanIsGood,IF(ROW()-ROW(PaymentSchedule3[[#Headers],[Payment Number]])&gt;ScheduledNumberOfPayments,"",ROW()-ROW(PaymentSchedule3[[#Headers],[Payment Number]])),"")</f>
        <v>300</v>
      </c>
      <c r="C313" s="24">
        <f ca="1">IF(PaymentSchedule3[[#This Row],[Payment Number]]&lt;&gt;"",EOMONTH(LoanStartDate,ROW(PaymentSchedule3[[#This Row],[Payment Number]])-ROW(PaymentSchedule3[[#Headers],[Payment Number]])-2)+DAY(LoanStartDate),"")</f>
        <v>54567</v>
      </c>
      <c r="D313" s="25">
        <f ca="1">IF(PaymentSchedule3[[#This Row],[Payment Number]]&lt;&gt;"",IF(ROW()-ROW(PaymentSchedule3[[#Headers],[Beginning
Balance]])=1,LoanAmount,INDEX(PaymentSchedule3[Ending
Balance],ROW()-ROW(PaymentSchedule3[[#Headers],[Beginning
Balance]])-1)),"")</f>
        <v>113268.41349153066</v>
      </c>
      <c r="E313" s="25">
        <f ca="1">IF(PaymentSchedule3[[#This Row],[Payment Number]]&lt;&gt;"",ScheduledPayment,"")</f>
        <v>2212.1307964707844</v>
      </c>
      <c r="F3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3" s="25">
        <f ca="1">IF(PaymentSchedule3[[#This Row],[Payment Number]]&lt;&gt;"",PaymentSchedule3[[#This Row],[Total
Payment]]-PaymentSchedule3[[#This Row],[Interest]],"")</f>
        <v>1551.3983844368554</v>
      </c>
      <c r="I313" s="25">
        <f ca="1">IF(PaymentSchedule3[[#This Row],[Payment Number]]&lt;&gt;"",PaymentSchedule3[[#This Row],[Beginning
Balance]]*(InterestRate/PaymentsPerYear),"")</f>
        <v>660.73241203392888</v>
      </c>
      <c r="J313" s="25">
        <f ca="1">IF(PaymentSchedule3[[#This Row],[Payment Number]]&lt;&gt;"",IF(PaymentSchedule3[[#This Row],[Scheduled Payment]]+PaymentSchedule3[[#This Row],[Extra
Payment]]&lt;=PaymentSchedule3[[#This Row],[Beginning
Balance]],PaymentSchedule3[[#This Row],[Beginning
Balance]]-PaymentSchedule3[[#This Row],[Principal]],0),"")</f>
        <v>111717.01510709382</v>
      </c>
      <c r="K313" s="25">
        <f ca="1">IF(PaymentSchedule3[[#This Row],[Payment Number]]&lt;&gt;"",SUM(INDEX(PaymentSchedule3[Interest],1,1):PaymentSchedule3[[#This Row],[Interest]]),"")</f>
        <v>442856.25404832902</v>
      </c>
      <c r="L313" s="25">
        <f ca="1">IF(PaymentSchedule3[[#This Row],[Payment Number]]&lt;&gt;"",SUM(INDEX(PaymentSchedule3[Principal],1,1):PaymentSchedule3[[#This Row],[Principal]]),"")</f>
        <v>220782.98489290636</v>
      </c>
    </row>
    <row r="314" spans="2:12" x14ac:dyDescent="0.25">
      <c r="B314" s="23">
        <f ca="1">IF(LoanIsGood,IF(ROW()-ROW(PaymentSchedule3[[#Headers],[Payment Number]])&gt;ScheduledNumberOfPayments,"",ROW()-ROW(PaymentSchedule3[[#Headers],[Payment Number]])),"")</f>
        <v>301</v>
      </c>
      <c r="C314" s="24">
        <f ca="1">IF(PaymentSchedule3[[#This Row],[Payment Number]]&lt;&gt;"",EOMONTH(LoanStartDate,ROW(PaymentSchedule3[[#This Row],[Payment Number]])-ROW(PaymentSchedule3[[#Headers],[Payment Number]])-2)+DAY(LoanStartDate),"")</f>
        <v>54598</v>
      </c>
      <c r="D314" s="25">
        <f ca="1">IF(PaymentSchedule3[[#This Row],[Payment Number]]&lt;&gt;"",IF(ROW()-ROW(PaymentSchedule3[[#Headers],[Beginning
Balance]])=1,LoanAmount,INDEX(PaymentSchedule3[Ending
Balance],ROW()-ROW(PaymentSchedule3[[#Headers],[Beginning
Balance]])-1)),"")</f>
        <v>111717.01510709382</v>
      </c>
      <c r="E314" s="25">
        <f ca="1">IF(PaymentSchedule3[[#This Row],[Payment Number]]&lt;&gt;"",ScheduledPayment,"")</f>
        <v>2212.1307964707844</v>
      </c>
      <c r="F3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4" s="25">
        <f ca="1">IF(PaymentSchedule3[[#This Row],[Payment Number]]&lt;&gt;"",PaymentSchedule3[[#This Row],[Total
Payment]]-PaymentSchedule3[[#This Row],[Interest]],"")</f>
        <v>1560.4482083460705</v>
      </c>
      <c r="I314" s="25">
        <f ca="1">IF(PaymentSchedule3[[#This Row],[Payment Number]]&lt;&gt;"",PaymentSchedule3[[#This Row],[Beginning
Balance]]*(InterestRate/PaymentsPerYear),"")</f>
        <v>651.6825881247139</v>
      </c>
      <c r="J314" s="25">
        <f ca="1">IF(PaymentSchedule3[[#This Row],[Payment Number]]&lt;&gt;"",IF(PaymentSchedule3[[#This Row],[Scheduled Payment]]+PaymentSchedule3[[#This Row],[Extra
Payment]]&lt;=PaymentSchedule3[[#This Row],[Beginning
Balance]],PaymentSchedule3[[#This Row],[Beginning
Balance]]-PaymentSchedule3[[#This Row],[Principal]],0),"")</f>
        <v>110156.56689874774</v>
      </c>
      <c r="K314" s="25">
        <f ca="1">IF(PaymentSchedule3[[#This Row],[Payment Number]]&lt;&gt;"",SUM(INDEX(PaymentSchedule3[Interest],1,1):PaymentSchedule3[[#This Row],[Interest]]),"")</f>
        <v>443507.93663645373</v>
      </c>
      <c r="L314" s="25">
        <f ca="1">IF(PaymentSchedule3[[#This Row],[Payment Number]]&lt;&gt;"",SUM(INDEX(PaymentSchedule3[Principal],1,1):PaymentSchedule3[[#This Row],[Principal]]),"")</f>
        <v>222343.43310125242</v>
      </c>
    </row>
    <row r="315" spans="2:12" x14ac:dyDescent="0.25">
      <c r="B315" s="23">
        <f ca="1">IF(LoanIsGood,IF(ROW()-ROW(PaymentSchedule3[[#Headers],[Payment Number]])&gt;ScheduledNumberOfPayments,"",ROW()-ROW(PaymentSchedule3[[#Headers],[Payment Number]])),"")</f>
        <v>302</v>
      </c>
      <c r="C315" s="24">
        <f ca="1">IF(PaymentSchedule3[[#This Row],[Payment Number]]&lt;&gt;"",EOMONTH(LoanStartDate,ROW(PaymentSchedule3[[#This Row],[Payment Number]])-ROW(PaymentSchedule3[[#Headers],[Payment Number]])-2)+DAY(LoanStartDate),"")</f>
        <v>54628</v>
      </c>
      <c r="D315" s="25">
        <f ca="1">IF(PaymentSchedule3[[#This Row],[Payment Number]]&lt;&gt;"",IF(ROW()-ROW(PaymentSchedule3[[#Headers],[Beginning
Balance]])=1,LoanAmount,INDEX(PaymentSchedule3[Ending
Balance],ROW()-ROW(PaymentSchedule3[[#Headers],[Beginning
Balance]])-1)),"")</f>
        <v>110156.56689874774</v>
      </c>
      <c r="E315" s="25">
        <f ca="1">IF(PaymentSchedule3[[#This Row],[Payment Number]]&lt;&gt;"",ScheduledPayment,"")</f>
        <v>2212.1307964707844</v>
      </c>
      <c r="F3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5" s="25">
        <f ca="1">IF(PaymentSchedule3[[#This Row],[Payment Number]]&lt;&gt;"",PaymentSchedule3[[#This Row],[Total
Payment]]-PaymentSchedule3[[#This Row],[Interest]],"")</f>
        <v>1569.550822894756</v>
      </c>
      <c r="I315" s="25">
        <f ca="1">IF(PaymentSchedule3[[#This Row],[Payment Number]]&lt;&gt;"",PaymentSchedule3[[#This Row],[Beginning
Balance]]*(InterestRate/PaymentsPerYear),"")</f>
        <v>642.57997357602846</v>
      </c>
      <c r="J315" s="25">
        <f ca="1">IF(PaymentSchedule3[[#This Row],[Payment Number]]&lt;&gt;"",IF(PaymentSchedule3[[#This Row],[Scheduled Payment]]+PaymentSchedule3[[#This Row],[Extra
Payment]]&lt;=PaymentSchedule3[[#This Row],[Beginning
Balance]],PaymentSchedule3[[#This Row],[Beginning
Balance]]-PaymentSchedule3[[#This Row],[Principal]],0),"")</f>
        <v>108587.01607585298</v>
      </c>
      <c r="K315" s="25">
        <f ca="1">IF(PaymentSchedule3[[#This Row],[Payment Number]]&lt;&gt;"",SUM(INDEX(PaymentSchedule3[Interest],1,1):PaymentSchedule3[[#This Row],[Interest]]),"")</f>
        <v>444150.51661002974</v>
      </c>
      <c r="L315" s="25">
        <f ca="1">IF(PaymentSchedule3[[#This Row],[Payment Number]]&lt;&gt;"",SUM(INDEX(PaymentSchedule3[Principal],1,1):PaymentSchedule3[[#This Row],[Principal]]),"")</f>
        <v>223912.98392414718</v>
      </c>
    </row>
    <row r="316" spans="2:12" x14ac:dyDescent="0.25">
      <c r="B316" s="23">
        <f ca="1">IF(LoanIsGood,IF(ROW()-ROW(PaymentSchedule3[[#Headers],[Payment Number]])&gt;ScheduledNumberOfPayments,"",ROW()-ROW(PaymentSchedule3[[#Headers],[Payment Number]])),"")</f>
        <v>303</v>
      </c>
      <c r="C316" s="24">
        <f ca="1">IF(PaymentSchedule3[[#This Row],[Payment Number]]&lt;&gt;"",EOMONTH(LoanStartDate,ROW(PaymentSchedule3[[#This Row],[Payment Number]])-ROW(PaymentSchedule3[[#Headers],[Payment Number]])-2)+DAY(LoanStartDate),"")</f>
        <v>54659</v>
      </c>
      <c r="D316" s="25">
        <f ca="1">IF(PaymentSchedule3[[#This Row],[Payment Number]]&lt;&gt;"",IF(ROW()-ROW(PaymentSchedule3[[#Headers],[Beginning
Balance]])=1,LoanAmount,INDEX(PaymentSchedule3[Ending
Balance],ROW()-ROW(PaymentSchedule3[[#Headers],[Beginning
Balance]])-1)),"")</f>
        <v>108587.01607585298</v>
      </c>
      <c r="E316" s="25">
        <f ca="1">IF(PaymentSchedule3[[#This Row],[Payment Number]]&lt;&gt;"",ScheduledPayment,"")</f>
        <v>2212.1307964707844</v>
      </c>
      <c r="F3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6" s="25">
        <f ca="1">IF(PaymentSchedule3[[#This Row],[Payment Number]]&lt;&gt;"",PaymentSchedule3[[#This Row],[Total
Payment]]-PaymentSchedule3[[#This Row],[Interest]],"")</f>
        <v>1578.7065360283086</v>
      </c>
      <c r="I316" s="25">
        <f ca="1">IF(PaymentSchedule3[[#This Row],[Payment Number]]&lt;&gt;"",PaymentSchedule3[[#This Row],[Beginning
Balance]]*(InterestRate/PaymentsPerYear),"")</f>
        <v>633.42426044247577</v>
      </c>
      <c r="J316" s="25">
        <f ca="1">IF(PaymentSchedule3[[#This Row],[Payment Number]]&lt;&gt;"",IF(PaymentSchedule3[[#This Row],[Scheduled Payment]]+PaymentSchedule3[[#This Row],[Extra
Payment]]&lt;=PaymentSchedule3[[#This Row],[Beginning
Balance]],PaymentSchedule3[[#This Row],[Beginning
Balance]]-PaymentSchedule3[[#This Row],[Principal]],0),"")</f>
        <v>107008.30953982467</v>
      </c>
      <c r="K316" s="25">
        <f ca="1">IF(PaymentSchedule3[[#This Row],[Payment Number]]&lt;&gt;"",SUM(INDEX(PaymentSchedule3[Interest],1,1):PaymentSchedule3[[#This Row],[Interest]]),"")</f>
        <v>444783.94087047223</v>
      </c>
      <c r="L316" s="25">
        <f ca="1">IF(PaymentSchedule3[[#This Row],[Payment Number]]&lt;&gt;"",SUM(INDEX(PaymentSchedule3[Principal],1,1):PaymentSchedule3[[#This Row],[Principal]]),"")</f>
        <v>225491.69046017548</v>
      </c>
    </row>
    <row r="317" spans="2:12" x14ac:dyDescent="0.25">
      <c r="B317" s="23">
        <f ca="1">IF(LoanIsGood,IF(ROW()-ROW(PaymentSchedule3[[#Headers],[Payment Number]])&gt;ScheduledNumberOfPayments,"",ROW()-ROW(PaymentSchedule3[[#Headers],[Payment Number]])),"")</f>
        <v>304</v>
      </c>
      <c r="C317" s="24">
        <f ca="1">IF(PaymentSchedule3[[#This Row],[Payment Number]]&lt;&gt;"",EOMONTH(LoanStartDate,ROW(PaymentSchedule3[[#This Row],[Payment Number]])-ROW(PaymentSchedule3[[#Headers],[Payment Number]])-2)+DAY(LoanStartDate),"")</f>
        <v>54690</v>
      </c>
      <c r="D317" s="25">
        <f ca="1">IF(PaymentSchedule3[[#This Row],[Payment Number]]&lt;&gt;"",IF(ROW()-ROW(PaymentSchedule3[[#Headers],[Beginning
Balance]])=1,LoanAmount,INDEX(PaymentSchedule3[Ending
Balance],ROW()-ROW(PaymentSchedule3[[#Headers],[Beginning
Balance]])-1)),"")</f>
        <v>107008.30953982467</v>
      </c>
      <c r="E317" s="25">
        <f ca="1">IF(PaymentSchedule3[[#This Row],[Payment Number]]&lt;&gt;"",ScheduledPayment,"")</f>
        <v>2212.1307964707844</v>
      </c>
      <c r="F3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7" s="25">
        <f ca="1">IF(PaymentSchedule3[[#This Row],[Payment Number]]&lt;&gt;"",PaymentSchedule3[[#This Row],[Total
Payment]]-PaymentSchedule3[[#This Row],[Interest]],"")</f>
        <v>1587.9156574884737</v>
      </c>
      <c r="I317" s="25">
        <f ca="1">IF(PaymentSchedule3[[#This Row],[Payment Number]]&lt;&gt;"",PaymentSchedule3[[#This Row],[Beginning
Balance]]*(InterestRate/PaymentsPerYear),"")</f>
        <v>624.21513898231058</v>
      </c>
      <c r="J317" s="25">
        <f ca="1">IF(PaymentSchedule3[[#This Row],[Payment Number]]&lt;&gt;"",IF(PaymentSchedule3[[#This Row],[Scheduled Payment]]+PaymentSchedule3[[#This Row],[Extra
Payment]]&lt;=PaymentSchedule3[[#This Row],[Beginning
Balance]],PaymentSchedule3[[#This Row],[Beginning
Balance]]-PaymentSchedule3[[#This Row],[Principal]],0),"")</f>
        <v>105420.3938823362</v>
      </c>
      <c r="K317" s="25">
        <f ca="1">IF(PaymentSchedule3[[#This Row],[Payment Number]]&lt;&gt;"",SUM(INDEX(PaymentSchedule3[Interest],1,1):PaymentSchedule3[[#This Row],[Interest]]),"")</f>
        <v>445408.15600945451</v>
      </c>
      <c r="L317" s="25">
        <f ca="1">IF(PaymentSchedule3[[#This Row],[Payment Number]]&lt;&gt;"",SUM(INDEX(PaymentSchedule3[Principal],1,1):PaymentSchedule3[[#This Row],[Principal]]),"")</f>
        <v>227079.60611766396</v>
      </c>
    </row>
    <row r="318" spans="2:12" x14ac:dyDescent="0.25">
      <c r="B318" s="23">
        <f ca="1">IF(LoanIsGood,IF(ROW()-ROW(PaymentSchedule3[[#Headers],[Payment Number]])&gt;ScheduledNumberOfPayments,"",ROW()-ROW(PaymentSchedule3[[#Headers],[Payment Number]])),"")</f>
        <v>305</v>
      </c>
      <c r="C318" s="24">
        <f ca="1">IF(PaymentSchedule3[[#This Row],[Payment Number]]&lt;&gt;"",EOMONTH(LoanStartDate,ROW(PaymentSchedule3[[#This Row],[Payment Number]])-ROW(PaymentSchedule3[[#Headers],[Payment Number]])-2)+DAY(LoanStartDate),"")</f>
        <v>54720</v>
      </c>
      <c r="D318" s="25">
        <f ca="1">IF(PaymentSchedule3[[#This Row],[Payment Number]]&lt;&gt;"",IF(ROW()-ROW(PaymentSchedule3[[#Headers],[Beginning
Balance]])=1,LoanAmount,INDEX(PaymentSchedule3[Ending
Balance],ROW()-ROW(PaymentSchedule3[[#Headers],[Beginning
Balance]])-1)),"")</f>
        <v>105420.3938823362</v>
      </c>
      <c r="E318" s="25">
        <f ca="1">IF(PaymentSchedule3[[#This Row],[Payment Number]]&lt;&gt;"",ScheduledPayment,"")</f>
        <v>2212.1307964707844</v>
      </c>
      <c r="F3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8" s="25">
        <f ca="1">IF(PaymentSchedule3[[#This Row],[Payment Number]]&lt;&gt;"",PaymentSchedule3[[#This Row],[Total
Payment]]-PaymentSchedule3[[#This Row],[Interest]],"")</f>
        <v>1597.1784988238232</v>
      </c>
      <c r="I318" s="25">
        <f ca="1">IF(PaymentSchedule3[[#This Row],[Payment Number]]&lt;&gt;"",PaymentSchedule3[[#This Row],[Beginning
Balance]]*(InterestRate/PaymentsPerYear),"")</f>
        <v>614.95229764696114</v>
      </c>
      <c r="J318" s="25">
        <f ca="1">IF(PaymentSchedule3[[#This Row],[Payment Number]]&lt;&gt;"",IF(PaymentSchedule3[[#This Row],[Scheduled Payment]]+PaymentSchedule3[[#This Row],[Extra
Payment]]&lt;=PaymentSchedule3[[#This Row],[Beginning
Balance]],PaymentSchedule3[[#This Row],[Beginning
Balance]]-PaymentSchedule3[[#This Row],[Principal]],0),"")</f>
        <v>103823.21538351238</v>
      </c>
      <c r="K318" s="25">
        <f ca="1">IF(PaymentSchedule3[[#This Row],[Payment Number]]&lt;&gt;"",SUM(INDEX(PaymentSchedule3[Interest],1,1):PaymentSchedule3[[#This Row],[Interest]]),"")</f>
        <v>446023.10830710147</v>
      </c>
      <c r="L318" s="25">
        <f ca="1">IF(PaymentSchedule3[[#This Row],[Payment Number]]&lt;&gt;"",SUM(INDEX(PaymentSchedule3[Principal],1,1):PaymentSchedule3[[#This Row],[Principal]]),"")</f>
        <v>228676.7846164878</v>
      </c>
    </row>
    <row r="319" spans="2:12" x14ac:dyDescent="0.25">
      <c r="B319" s="23">
        <f ca="1">IF(LoanIsGood,IF(ROW()-ROW(PaymentSchedule3[[#Headers],[Payment Number]])&gt;ScheduledNumberOfPayments,"",ROW()-ROW(PaymentSchedule3[[#Headers],[Payment Number]])),"")</f>
        <v>306</v>
      </c>
      <c r="C319" s="24">
        <f ca="1">IF(PaymentSchedule3[[#This Row],[Payment Number]]&lt;&gt;"",EOMONTH(LoanStartDate,ROW(PaymentSchedule3[[#This Row],[Payment Number]])-ROW(PaymentSchedule3[[#Headers],[Payment Number]])-2)+DAY(LoanStartDate),"")</f>
        <v>54751</v>
      </c>
      <c r="D319" s="25">
        <f ca="1">IF(PaymentSchedule3[[#This Row],[Payment Number]]&lt;&gt;"",IF(ROW()-ROW(PaymentSchedule3[[#Headers],[Beginning
Balance]])=1,LoanAmount,INDEX(PaymentSchedule3[Ending
Balance],ROW()-ROW(PaymentSchedule3[[#Headers],[Beginning
Balance]])-1)),"")</f>
        <v>103823.21538351238</v>
      </c>
      <c r="E319" s="25">
        <f ca="1">IF(PaymentSchedule3[[#This Row],[Payment Number]]&lt;&gt;"",ScheduledPayment,"")</f>
        <v>2212.1307964707844</v>
      </c>
      <c r="F3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19" s="25">
        <f ca="1">IF(PaymentSchedule3[[#This Row],[Payment Number]]&lt;&gt;"",PaymentSchedule3[[#This Row],[Total
Payment]]-PaymentSchedule3[[#This Row],[Interest]],"")</f>
        <v>1606.4953734002956</v>
      </c>
      <c r="I319" s="25">
        <f ca="1">IF(PaymentSchedule3[[#This Row],[Payment Number]]&lt;&gt;"",PaymentSchedule3[[#This Row],[Beginning
Balance]]*(InterestRate/PaymentsPerYear),"")</f>
        <v>605.63542307048886</v>
      </c>
      <c r="J319" s="25">
        <f ca="1">IF(PaymentSchedule3[[#This Row],[Payment Number]]&lt;&gt;"",IF(PaymentSchedule3[[#This Row],[Scheduled Payment]]+PaymentSchedule3[[#This Row],[Extra
Payment]]&lt;=PaymentSchedule3[[#This Row],[Beginning
Balance]],PaymentSchedule3[[#This Row],[Beginning
Balance]]-PaymentSchedule3[[#This Row],[Principal]],0),"")</f>
        <v>102216.72001011208</v>
      </c>
      <c r="K319" s="25">
        <f ca="1">IF(PaymentSchedule3[[#This Row],[Payment Number]]&lt;&gt;"",SUM(INDEX(PaymentSchedule3[Interest],1,1):PaymentSchedule3[[#This Row],[Interest]]),"")</f>
        <v>446628.74373017193</v>
      </c>
      <c r="L319" s="25">
        <f ca="1">IF(PaymentSchedule3[[#This Row],[Payment Number]]&lt;&gt;"",SUM(INDEX(PaymentSchedule3[Principal],1,1):PaymentSchedule3[[#This Row],[Principal]]),"")</f>
        <v>230283.27998988811</v>
      </c>
    </row>
    <row r="320" spans="2:12" x14ac:dyDescent="0.25">
      <c r="B320" s="23">
        <f ca="1">IF(LoanIsGood,IF(ROW()-ROW(PaymentSchedule3[[#Headers],[Payment Number]])&gt;ScheduledNumberOfPayments,"",ROW()-ROW(PaymentSchedule3[[#Headers],[Payment Number]])),"")</f>
        <v>307</v>
      </c>
      <c r="C320" s="24">
        <f ca="1">IF(PaymentSchedule3[[#This Row],[Payment Number]]&lt;&gt;"",EOMONTH(LoanStartDate,ROW(PaymentSchedule3[[#This Row],[Payment Number]])-ROW(PaymentSchedule3[[#Headers],[Payment Number]])-2)+DAY(LoanStartDate),"")</f>
        <v>54781</v>
      </c>
      <c r="D320" s="25">
        <f ca="1">IF(PaymentSchedule3[[#This Row],[Payment Number]]&lt;&gt;"",IF(ROW()-ROW(PaymentSchedule3[[#Headers],[Beginning
Balance]])=1,LoanAmount,INDEX(PaymentSchedule3[Ending
Balance],ROW()-ROW(PaymentSchedule3[[#Headers],[Beginning
Balance]])-1)),"")</f>
        <v>102216.72001011208</v>
      </c>
      <c r="E320" s="25">
        <f ca="1">IF(PaymentSchedule3[[#This Row],[Payment Number]]&lt;&gt;"",ScheduledPayment,"")</f>
        <v>2212.1307964707844</v>
      </c>
      <c r="F3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0" s="25">
        <f ca="1">IF(PaymentSchedule3[[#This Row],[Payment Number]]&lt;&gt;"",PaymentSchedule3[[#This Row],[Total
Payment]]-PaymentSchedule3[[#This Row],[Interest]],"")</f>
        <v>1615.8665964117972</v>
      </c>
      <c r="I320" s="25">
        <f ca="1">IF(PaymentSchedule3[[#This Row],[Payment Number]]&lt;&gt;"",PaymentSchedule3[[#This Row],[Beginning
Balance]]*(InterestRate/PaymentsPerYear),"")</f>
        <v>596.26420005898717</v>
      </c>
      <c r="J320" s="25">
        <f ca="1">IF(PaymentSchedule3[[#This Row],[Payment Number]]&lt;&gt;"",IF(PaymentSchedule3[[#This Row],[Scheduled Payment]]+PaymentSchedule3[[#This Row],[Extra
Payment]]&lt;=PaymentSchedule3[[#This Row],[Beginning
Balance]],PaymentSchedule3[[#This Row],[Beginning
Balance]]-PaymentSchedule3[[#This Row],[Principal]],0),"")</f>
        <v>100600.85341370029</v>
      </c>
      <c r="K320" s="25">
        <f ca="1">IF(PaymentSchedule3[[#This Row],[Payment Number]]&lt;&gt;"",SUM(INDEX(PaymentSchedule3[Interest],1,1):PaymentSchedule3[[#This Row],[Interest]]),"")</f>
        <v>447225.00793023093</v>
      </c>
      <c r="L320" s="25">
        <f ca="1">IF(PaymentSchedule3[[#This Row],[Payment Number]]&lt;&gt;"",SUM(INDEX(PaymentSchedule3[Principal],1,1):PaymentSchedule3[[#This Row],[Principal]]),"")</f>
        <v>231899.1465862999</v>
      </c>
    </row>
    <row r="321" spans="2:12" x14ac:dyDescent="0.25">
      <c r="B321" s="23">
        <f ca="1">IF(LoanIsGood,IF(ROW()-ROW(PaymentSchedule3[[#Headers],[Payment Number]])&gt;ScheduledNumberOfPayments,"",ROW()-ROW(PaymentSchedule3[[#Headers],[Payment Number]])),"")</f>
        <v>308</v>
      </c>
      <c r="C321" s="24">
        <f ca="1">IF(PaymentSchedule3[[#This Row],[Payment Number]]&lt;&gt;"",EOMONTH(LoanStartDate,ROW(PaymentSchedule3[[#This Row],[Payment Number]])-ROW(PaymentSchedule3[[#Headers],[Payment Number]])-2)+DAY(LoanStartDate),"")</f>
        <v>54812</v>
      </c>
      <c r="D321" s="25">
        <f ca="1">IF(PaymentSchedule3[[#This Row],[Payment Number]]&lt;&gt;"",IF(ROW()-ROW(PaymentSchedule3[[#Headers],[Beginning
Balance]])=1,LoanAmount,INDEX(PaymentSchedule3[Ending
Balance],ROW()-ROW(PaymentSchedule3[[#Headers],[Beginning
Balance]])-1)),"")</f>
        <v>100600.85341370029</v>
      </c>
      <c r="E321" s="25">
        <f ca="1">IF(PaymentSchedule3[[#This Row],[Payment Number]]&lt;&gt;"",ScheduledPayment,"")</f>
        <v>2212.1307964707844</v>
      </c>
      <c r="F3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1" s="25">
        <f ca="1">IF(PaymentSchedule3[[#This Row],[Payment Number]]&lt;&gt;"",PaymentSchedule3[[#This Row],[Total
Payment]]-PaymentSchedule3[[#This Row],[Interest]],"")</f>
        <v>1625.292484890866</v>
      </c>
      <c r="I321" s="25">
        <f ca="1">IF(PaymentSchedule3[[#This Row],[Payment Number]]&lt;&gt;"",PaymentSchedule3[[#This Row],[Beginning
Balance]]*(InterestRate/PaymentsPerYear),"")</f>
        <v>586.83831157991835</v>
      </c>
      <c r="J321" s="25">
        <f ca="1">IF(PaymentSchedule3[[#This Row],[Payment Number]]&lt;&gt;"",IF(PaymentSchedule3[[#This Row],[Scheduled Payment]]+PaymentSchedule3[[#This Row],[Extra
Payment]]&lt;=PaymentSchedule3[[#This Row],[Beginning
Balance]],PaymentSchedule3[[#This Row],[Beginning
Balance]]-PaymentSchedule3[[#This Row],[Principal]],0),"")</f>
        <v>98975.560928809427</v>
      </c>
      <c r="K321" s="25">
        <f ca="1">IF(PaymentSchedule3[[#This Row],[Payment Number]]&lt;&gt;"",SUM(INDEX(PaymentSchedule3[Interest],1,1):PaymentSchedule3[[#This Row],[Interest]]),"")</f>
        <v>447811.84624181082</v>
      </c>
      <c r="L321" s="25">
        <f ca="1">IF(PaymentSchedule3[[#This Row],[Payment Number]]&lt;&gt;"",SUM(INDEX(PaymentSchedule3[Principal],1,1):PaymentSchedule3[[#This Row],[Principal]]),"")</f>
        <v>233524.43907119078</v>
      </c>
    </row>
    <row r="322" spans="2:12" x14ac:dyDescent="0.25">
      <c r="B322" s="23">
        <f ca="1">IF(LoanIsGood,IF(ROW()-ROW(PaymentSchedule3[[#Headers],[Payment Number]])&gt;ScheduledNumberOfPayments,"",ROW()-ROW(PaymentSchedule3[[#Headers],[Payment Number]])),"")</f>
        <v>309</v>
      </c>
      <c r="C322" s="24">
        <f ca="1">IF(PaymentSchedule3[[#This Row],[Payment Number]]&lt;&gt;"",EOMONTH(LoanStartDate,ROW(PaymentSchedule3[[#This Row],[Payment Number]])-ROW(PaymentSchedule3[[#Headers],[Payment Number]])-2)+DAY(LoanStartDate),"")</f>
        <v>54843</v>
      </c>
      <c r="D322" s="25">
        <f ca="1">IF(PaymentSchedule3[[#This Row],[Payment Number]]&lt;&gt;"",IF(ROW()-ROW(PaymentSchedule3[[#Headers],[Beginning
Balance]])=1,LoanAmount,INDEX(PaymentSchedule3[Ending
Balance],ROW()-ROW(PaymentSchedule3[[#Headers],[Beginning
Balance]])-1)),"")</f>
        <v>98975.560928809427</v>
      </c>
      <c r="E322" s="25">
        <f ca="1">IF(PaymentSchedule3[[#This Row],[Payment Number]]&lt;&gt;"",ScheduledPayment,"")</f>
        <v>2212.1307964707844</v>
      </c>
      <c r="F3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2" s="25">
        <f ca="1">IF(PaymentSchedule3[[#This Row],[Payment Number]]&lt;&gt;"",PaymentSchedule3[[#This Row],[Total
Payment]]-PaymentSchedule3[[#This Row],[Interest]],"")</f>
        <v>1634.773357719396</v>
      </c>
      <c r="I322" s="25">
        <f ca="1">IF(PaymentSchedule3[[#This Row],[Payment Number]]&lt;&gt;"",PaymentSchedule3[[#This Row],[Beginning
Balance]]*(InterestRate/PaymentsPerYear),"")</f>
        <v>577.35743875138837</v>
      </c>
      <c r="J322" s="25">
        <f ca="1">IF(PaymentSchedule3[[#This Row],[Payment Number]]&lt;&gt;"",IF(PaymentSchedule3[[#This Row],[Scheduled Payment]]+PaymentSchedule3[[#This Row],[Extra
Payment]]&lt;=PaymentSchedule3[[#This Row],[Beginning
Balance]],PaymentSchedule3[[#This Row],[Beginning
Balance]]-PaymentSchedule3[[#This Row],[Principal]],0),"")</f>
        <v>97340.787571090026</v>
      </c>
      <c r="K322" s="25">
        <f ca="1">IF(PaymentSchedule3[[#This Row],[Payment Number]]&lt;&gt;"",SUM(INDEX(PaymentSchedule3[Interest],1,1):PaymentSchedule3[[#This Row],[Interest]]),"")</f>
        <v>448389.2036805622</v>
      </c>
      <c r="L322" s="25">
        <f ca="1">IF(PaymentSchedule3[[#This Row],[Payment Number]]&lt;&gt;"",SUM(INDEX(PaymentSchedule3[Principal],1,1):PaymentSchedule3[[#This Row],[Principal]]),"")</f>
        <v>235159.21242891016</v>
      </c>
    </row>
    <row r="323" spans="2:12" x14ac:dyDescent="0.25">
      <c r="B323" s="23">
        <f ca="1">IF(LoanIsGood,IF(ROW()-ROW(PaymentSchedule3[[#Headers],[Payment Number]])&gt;ScheduledNumberOfPayments,"",ROW()-ROW(PaymentSchedule3[[#Headers],[Payment Number]])),"")</f>
        <v>310</v>
      </c>
      <c r="C323" s="24">
        <f ca="1">IF(PaymentSchedule3[[#This Row],[Payment Number]]&lt;&gt;"",EOMONTH(LoanStartDate,ROW(PaymentSchedule3[[#This Row],[Payment Number]])-ROW(PaymentSchedule3[[#Headers],[Payment Number]])-2)+DAY(LoanStartDate),"")</f>
        <v>54871</v>
      </c>
      <c r="D323" s="25">
        <f ca="1">IF(PaymentSchedule3[[#This Row],[Payment Number]]&lt;&gt;"",IF(ROW()-ROW(PaymentSchedule3[[#Headers],[Beginning
Balance]])=1,LoanAmount,INDEX(PaymentSchedule3[Ending
Balance],ROW()-ROW(PaymentSchedule3[[#Headers],[Beginning
Balance]])-1)),"")</f>
        <v>97340.787571090026</v>
      </c>
      <c r="E323" s="25">
        <f ca="1">IF(PaymentSchedule3[[#This Row],[Payment Number]]&lt;&gt;"",ScheduledPayment,"")</f>
        <v>2212.1307964707844</v>
      </c>
      <c r="F3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3" s="25">
        <f ca="1">IF(PaymentSchedule3[[#This Row],[Payment Number]]&lt;&gt;"",PaymentSchedule3[[#This Row],[Total
Payment]]-PaymentSchedule3[[#This Row],[Interest]],"")</f>
        <v>1644.309535639426</v>
      </c>
      <c r="I323" s="25">
        <f ca="1">IF(PaymentSchedule3[[#This Row],[Payment Number]]&lt;&gt;"",PaymentSchedule3[[#This Row],[Beginning
Balance]]*(InterestRate/PaymentsPerYear),"")</f>
        <v>567.82126083135847</v>
      </c>
      <c r="J323" s="25">
        <f ca="1">IF(PaymentSchedule3[[#This Row],[Payment Number]]&lt;&gt;"",IF(PaymentSchedule3[[#This Row],[Scheduled Payment]]+PaymentSchedule3[[#This Row],[Extra
Payment]]&lt;=PaymentSchedule3[[#This Row],[Beginning
Balance]],PaymentSchedule3[[#This Row],[Beginning
Balance]]-PaymentSchedule3[[#This Row],[Principal]],0),"")</f>
        <v>95696.478035450593</v>
      </c>
      <c r="K323" s="25">
        <f ca="1">IF(PaymentSchedule3[[#This Row],[Payment Number]]&lt;&gt;"",SUM(INDEX(PaymentSchedule3[Interest],1,1):PaymentSchedule3[[#This Row],[Interest]]),"")</f>
        <v>448957.02494139358</v>
      </c>
      <c r="L323" s="25">
        <f ca="1">IF(PaymentSchedule3[[#This Row],[Payment Number]]&lt;&gt;"",SUM(INDEX(PaymentSchedule3[Principal],1,1):PaymentSchedule3[[#This Row],[Principal]]),"")</f>
        <v>236803.52196454958</v>
      </c>
    </row>
    <row r="324" spans="2:12" x14ac:dyDescent="0.25">
      <c r="B324" s="23">
        <f ca="1">IF(LoanIsGood,IF(ROW()-ROW(PaymentSchedule3[[#Headers],[Payment Number]])&gt;ScheduledNumberOfPayments,"",ROW()-ROW(PaymentSchedule3[[#Headers],[Payment Number]])),"")</f>
        <v>311</v>
      </c>
      <c r="C324" s="24">
        <f ca="1">IF(PaymentSchedule3[[#This Row],[Payment Number]]&lt;&gt;"",EOMONTH(LoanStartDate,ROW(PaymentSchedule3[[#This Row],[Payment Number]])-ROW(PaymentSchedule3[[#Headers],[Payment Number]])-2)+DAY(LoanStartDate),"")</f>
        <v>54902</v>
      </c>
      <c r="D324" s="25">
        <f ca="1">IF(PaymentSchedule3[[#This Row],[Payment Number]]&lt;&gt;"",IF(ROW()-ROW(PaymentSchedule3[[#Headers],[Beginning
Balance]])=1,LoanAmount,INDEX(PaymentSchedule3[Ending
Balance],ROW()-ROW(PaymentSchedule3[[#Headers],[Beginning
Balance]])-1)),"")</f>
        <v>95696.478035450593</v>
      </c>
      <c r="E324" s="25">
        <f ca="1">IF(PaymentSchedule3[[#This Row],[Payment Number]]&lt;&gt;"",ScheduledPayment,"")</f>
        <v>2212.1307964707844</v>
      </c>
      <c r="F3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4" s="25">
        <f ca="1">IF(PaymentSchedule3[[#This Row],[Payment Number]]&lt;&gt;"",PaymentSchedule3[[#This Row],[Total
Payment]]-PaymentSchedule3[[#This Row],[Interest]],"")</f>
        <v>1653.9013412639893</v>
      </c>
      <c r="I324" s="25">
        <f ca="1">IF(PaymentSchedule3[[#This Row],[Payment Number]]&lt;&gt;"",PaymentSchedule3[[#This Row],[Beginning
Balance]]*(InterestRate/PaymentsPerYear),"")</f>
        <v>558.22945520679514</v>
      </c>
      <c r="J324" s="25">
        <f ca="1">IF(PaymentSchedule3[[#This Row],[Payment Number]]&lt;&gt;"",IF(PaymentSchedule3[[#This Row],[Scheduled Payment]]+PaymentSchedule3[[#This Row],[Extra
Payment]]&lt;=PaymentSchedule3[[#This Row],[Beginning
Balance]],PaymentSchedule3[[#This Row],[Beginning
Balance]]-PaymentSchedule3[[#This Row],[Principal]],0),"")</f>
        <v>94042.576694186602</v>
      </c>
      <c r="K324" s="25">
        <f ca="1">IF(PaymentSchedule3[[#This Row],[Payment Number]]&lt;&gt;"",SUM(INDEX(PaymentSchedule3[Interest],1,1):PaymentSchedule3[[#This Row],[Interest]]),"")</f>
        <v>449515.25439660036</v>
      </c>
      <c r="L324" s="25">
        <f ca="1">IF(PaymentSchedule3[[#This Row],[Payment Number]]&lt;&gt;"",SUM(INDEX(PaymentSchedule3[Principal],1,1):PaymentSchedule3[[#This Row],[Principal]]),"")</f>
        <v>238457.42330581357</v>
      </c>
    </row>
    <row r="325" spans="2:12" x14ac:dyDescent="0.25">
      <c r="B325" s="23">
        <f ca="1">IF(LoanIsGood,IF(ROW()-ROW(PaymentSchedule3[[#Headers],[Payment Number]])&gt;ScheduledNumberOfPayments,"",ROW()-ROW(PaymentSchedule3[[#Headers],[Payment Number]])),"")</f>
        <v>312</v>
      </c>
      <c r="C325" s="24">
        <f ca="1">IF(PaymentSchedule3[[#This Row],[Payment Number]]&lt;&gt;"",EOMONTH(LoanStartDate,ROW(PaymentSchedule3[[#This Row],[Payment Number]])-ROW(PaymentSchedule3[[#Headers],[Payment Number]])-2)+DAY(LoanStartDate),"")</f>
        <v>54932</v>
      </c>
      <c r="D325" s="25">
        <f ca="1">IF(PaymentSchedule3[[#This Row],[Payment Number]]&lt;&gt;"",IF(ROW()-ROW(PaymentSchedule3[[#Headers],[Beginning
Balance]])=1,LoanAmount,INDEX(PaymentSchedule3[Ending
Balance],ROW()-ROW(PaymentSchedule3[[#Headers],[Beginning
Balance]])-1)),"")</f>
        <v>94042.576694186602</v>
      </c>
      <c r="E325" s="25">
        <f ca="1">IF(PaymentSchedule3[[#This Row],[Payment Number]]&lt;&gt;"",ScheduledPayment,"")</f>
        <v>2212.1307964707844</v>
      </c>
      <c r="F3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5" s="25">
        <f ca="1">IF(PaymentSchedule3[[#This Row],[Payment Number]]&lt;&gt;"",PaymentSchedule3[[#This Row],[Total
Payment]]-PaymentSchedule3[[#This Row],[Interest]],"")</f>
        <v>1663.5490990880292</v>
      </c>
      <c r="I325" s="25">
        <f ca="1">IF(PaymentSchedule3[[#This Row],[Payment Number]]&lt;&gt;"",PaymentSchedule3[[#This Row],[Beginning
Balance]]*(InterestRate/PaymentsPerYear),"")</f>
        <v>548.58169738275524</v>
      </c>
      <c r="J325" s="25">
        <f ca="1">IF(PaymentSchedule3[[#This Row],[Payment Number]]&lt;&gt;"",IF(PaymentSchedule3[[#This Row],[Scheduled Payment]]+PaymentSchedule3[[#This Row],[Extra
Payment]]&lt;=PaymentSchedule3[[#This Row],[Beginning
Balance]],PaymentSchedule3[[#This Row],[Beginning
Balance]]-PaymentSchedule3[[#This Row],[Principal]],0),"")</f>
        <v>92379.027595098567</v>
      </c>
      <c r="K325" s="25">
        <f ca="1">IF(PaymentSchedule3[[#This Row],[Payment Number]]&lt;&gt;"",SUM(INDEX(PaymentSchedule3[Interest],1,1):PaymentSchedule3[[#This Row],[Interest]]),"")</f>
        <v>450063.83609398309</v>
      </c>
      <c r="L325" s="25">
        <f ca="1">IF(PaymentSchedule3[[#This Row],[Payment Number]]&lt;&gt;"",SUM(INDEX(PaymentSchedule3[Principal],1,1):PaymentSchedule3[[#This Row],[Principal]]),"")</f>
        <v>240120.97240490161</v>
      </c>
    </row>
    <row r="326" spans="2:12" x14ac:dyDescent="0.25">
      <c r="B326" s="23">
        <f ca="1">IF(LoanIsGood,IF(ROW()-ROW(PaymentSchedule3[[#Headers],[Payment Number]])&gt;ScheduledNumberOfPayments,"",ROW()-ROW(PaymentSchedule3[[#Headers],[Payment Number]])),"")</f>
        <v>313</v>
      </c>
      <c r="C326" s="24">
        <f ca="1">IF(PaymentSchedule3[[#This Row],[Payment Number]]&lt;&gt;"",EOMONTH(LoanStartDate,ROW(PaymentSchedule3[[#This Row],[Payment Number]])-ROW(PaymentSchedule3[[#Headers],[Payment Number]])-2)+DAY(LoanStartDate),"")</f>
        <v>54963</v>
      </c>
      <c r="D326" s="25">
        <f ca="1">IF(PaymentSchedule3[[#This Row],[Payment Number]]&lt;&gt;"",IF(ROW()-ROW(PaymentSchedule3[[#Headers],[Beginning
Balance]])=1,LoanAmount,INDEX(PaymentSchedule3[Ending
Balance],ROW()-ROW(PaymentSchedule3[[#Headers],[Beginning
Balance]])-1)),"")</f>
        <v>92379.027595098567</v>
      </c>
      <c r="E326" s="25">
        <f ca="1">IF(PaymentSchedule3[[#This Row],[Payment Number]]&lt;&gt;"",ScheduledPayment,"")</f>
        <v>2212.1307964707844</v>
      </c>
      <c r="F3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6" s="25">
        <f ca="1">IF(PaymentSchedule3[[#This Row],[Payment Number]]&lt;&gt;"",PaymentSchedule3[[#This Row],[Total
Payment]]-PaymentSchedule3[[#This Row],[Interest]],"")</f>
        <v>1673.2531354993762</v>
      </c>
      <c r="I326" s="25">
        <f ca="1">IF(PaymentSchedule3[[#This Row],[Payment Number]]&lt;&gt;"",PaymentSchedule3[[#This Row],[Beginning
Balance]]*(InterestRate/PaymentsPerYear),"")</f>
        <v>538.87766097140832</v>
      </c>
      <c r="J326" s="25">
        <f ca="1">IF(PaymentSchedule3[[#This Row],[Payment Number]]&lt;&gt;"",IF(PaymentSchedule3[[#This Row],[Scheduled Payment]]+PaymentSchedule3[[#This Row],[Extra
Payment]]&lt;=PaymentSchedule3[[#This Row],[Beginning
Balance]],PaymentSchedule3[[#This Row],[Beginning
Balance]]-PaymentSchedule3[[#This Row],[Principal]],0),"")</f>
        <v>90705.774459599197</v>
      </c>
      <c r="K326" s="25">
        <f ca="1">IF(PaymentSchedule3[[#This Row],[Payment Number]]&lt;&gt;"",SUM(INDEX(PaymentSchedule3[Interest],1,1):PaymentSchedule3[[#This Row],[Interest]]),"")</f>
        <v>450602.71375495452</v>
      </c>
      <c r="L326" s="25">
        <f ca="1">IF(PaymentSchedule3[[#This Row],[Payment Number]]&lt;&gt;"",SUM(INDEX(PaymentSchedule3[Principal],1,1):PaymentSchedule3[[#This Row],[Principal]]),"")</f>
        <v>241794.22554040098</v>
      </c>
    </row>
    <row r="327" spans="2:12" x14ac:dyDescent="0.25">
      <c r="B327" s="23">
        <f ca="1">IF(LoanIsGood,IF(ROW()-ROW(PaymentSchedule3[[#Headers],[Payment Number]])&gt;ScheduledNumberOfPayments,"",ROW()-ROW(PaymentSchedule3[[#Headers],[Payment Number]])),"")</f>
        <v>314</v>
      </c>
      <c r="C327" s="24">
        <f ca="1">IF(PaymentSchedule3[[#This Row],[Payment Number]]&lt;&gt;"",EOMONTH(LoanStartDate,ROW(PaymentSchedule3[[#This Row],[Payment Number]])-ROW(PaymentSchedule3[[#Headers],[Payment Number]])-2)+DAY(LoanStartDate),"")</f>
        <v>54993</v>
      </c>
      <c r="D327" s="25">
        <f ca="1">IF(PaymentSchedule3[[#This Row],[Payment Number]]&lt;&gt;"",IF(ROW()-ROW(PaymentSchedule3[[#Headers],[Beginning
Balance]])=1,LoanAmount,INDEX(PaymentSchedule3[Ending
Balance],ROW()-ROW(PaymentSchedule3[[#Headers],[Beginning
Balance]])-1)),"")</f>
        <v>90705.774459599197</v>
      </c>
      <c r="E327" s="25">
        <f ca="1">IF(PaymentSchedule3[[#This Row],[Payment Number]]&lt;&gt;"",ScheduledPayment,"")</f>
        <v>2212.1307964707844</v>
      </c>
      <c r="F3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7" s="25">
        <f ca="1">IF(PaymentSchedule3[[#This Row],[Payment Number]]&lt;&gt;"",PaymentSchedule3[[#This Row],[Total
Payment]]-PaymentSchedule3[[#This Row],[Interest]],"")</f>
        <v>1683.0137787897891</v>
      </c>
      <c r="I327" s="25">
        <f ca="1">IF(PaymentSchedule3[[#This Row],[Payment Number]]&lt;&gt;"",PaymentSchedule3[[#This Row],[Beginning
Balance]]*(InterestRate/PaymentsPerYear),"")</f>
        <v>529.11701768099533</v>
      </c>
      <c r="J327" s="25">
        <f ca="1">IF(PaymentSchedule3[[#This Row],[Payment Number]]&lt;&gt;"",IF(PaymentSchedule3[[#This Row],[Scheduled Payment]]+PaymentSchedule3[[#This Row],[Extra
Payment]]&lt;=PaymentSchedule3[[#This Row],[Beginning
Balance]],PaymentSchedule3[[#This Row],[Beginning
Balance]]-PaymentSchedule3[[#This Row],[Principal]],0),"")</f>
        <v>89022.760680809413</v>
      </c>
      <c r="K327" s="25">
        <f ca="1">IF(PaymentSchedule3[[#This Row],[Payment Number]]&lt;&gt;"",SUM(INDEX(PaymentSchedule3[Interest],1,1):PaymentSchedule3[[#This Row],[Interest]]),"")</f>
        <v>451131.83077263553</v>
      </c>
      <c r="L327" s="25">
        <f ca="1">IF(PaymentSchedule3[[#This Row],[Payment Number]]&lt;&gt;"",SUM(INDEX(PaymentSchedule3[Principal],1,1):PaymentSchedule3[[#This Row],[Principal]]),"")</f>
        <v>243477.23931919076</v>
      </c>
    </row>
    <row r="328" spans="2:12" x14ac:dyDescent="0.25">
      <c r="B328" s="23">
        <f ca="1">IF(LoanIsGood,IF(ROW()-ROW(PaymentSchedule3[[#Headers],[Payment Number]])&gt;ScheduledNumberOfPayments,"",ROW()-ROW(PaymentSchedule3[[#Headers],[Payment Number]])),"")</f>
        <v>315</v>
      </c>
      <c r="C328" s="24">
        <f ca="1">IF(PaymentSchedule3[[#This Row],[Payment Number]]&lt;&gt;"",EOMONTH(LoanStartDate,ROW(PaymentSchedule3[[#This Row],[Payment Number]])-ROW(PaymentSchedule3[[#Headers],[Payment Number]])-2)+DAY(LoanStartDate),"")</f>
        <v>55024</v>
      </c>
      <c r="D328" s="25">
        <f ca="1">IF(PaymentSchedule3[[#This Row],[Payment Number]]&lt;&gt;"",IF(ROW()-ROW(PaymentSchedule3[[#Headers],[Beginning
Balance]])=1,LoanAmount,INDEX(PaymentSchedule3[Ending
Balance],ROW()-ROW(PaymentSchedule3[[#Headers],[Beginning
Balance]])-1)),"")</f>
        <v>89022.760680809413</v>
      </c>
      <c r="E328" s="25">
        <f ca="1">IF(PaymentSchedule3[[#This Row],[Payment Number]]&lt;&gt;"",ScheduledPayment,"")</f>
        <v>2212.1307964707844</v>
      </c>
      <c r="F3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8" s="25">
        <f ca="1">IF(PaymentSchedule3[[#This Row],[Payment Number]]&lt;&gt;"",PaymentSchedule3[[#This Row],[Total
Payment]]-PaymentSchedule3[[#This Row],[Interest]],"")</f>
        <v>1692.8313591660628</v>
      </c>
      <c r="I328" s="25">
        <f ca="1">IF(PaymentSchedule3[[#This Row],[Payment Number]]&lt;&gt;"",PaymentSchedule3[[#This Row],[Beginning
Balance]]*(InterestRate/PaymentsPerYear),"")</f>
        <v>519.29943730472155</v>
      </c>
      <c r="J328" s="25">
        <f ca="1">IF(PaymentSchedule3[[#This Row],[Payment Number]]&lt;&gt;"",IF(PaymentSchedule3[[#This Row],[Scheduled Payment]]+PaymentSchedule3[[#This Row],[Extra
Payment]]&lt;=PaymentSchedule3[[#This Row],[Beginning
Balance]],PaymentSchedule3[[#This Row],[Beginning
Balance]]-PaymentSchedule3[[#This Row],[Principal]],0),"")</f>
        <v>87329.929321643343</v>
      </c>
      <c r="K328" s="25">
        <f ca="1">IF(PaymentSchedule3[[#This Row],[Payment Number]]&lt;&gt;"",SUM(INDEX(PaymentSchedule3[Interest],1,1):PaymentSchedule3[[#This Row],[Interest]]),"")</f>
        <v>451651.13020994025</v>
      </c>
      <c r="L328" s="25">
        <f ca="1">IF(PaymentSchedule3[[#This Row],[Payment Number]]&lt;&gt;"",SUM(INDEX(PaymentSchedule3[Principal],1,1):PaymentSchedule3[[#This Row],[Principal]]),"")</f>
        <v>245170.07067835683</v>
      </c>
    </row>
    <row r="329" spans="2:12" x14ac:dyDescent="0.25">
      <c r="B329" s="23">
        <f ca="1">IF(LoanIsGood,IF(ROW()-ROW(PaymentSchedule3[[#Headers],[Payment Number]])&gt;ScheduledNumberOfPayments,"",ROW()-ROW(PaymentSchedule3[[#Headers],[Payment Number]])),"")</f>
        <v>316</v>
      </c>
      <c r="C329" s="24">
        <f ca="1">IF(PaymentSchedule3[[#This Row],[Payment Number]]&lt;&gt;"",EOMONTH(LoanStartDate,ROW(PaymentSchedule3[[#This Row],[Payment Number]])-ROW(PaymentSchedule3[[#Headers],[Payment Number]])-2)+DAY(LoanStartDate),"")</f>
        <v>55055</v>
      </c>
      <c r="D329" s="25">
        <f ca="1">IF(PaymentSchedule3[[#This Row],[Payment Number]]&lt;&gt;"",IF(ROW()-ROW(PaymentSchedule3[[#Headers],[Beginning
Balance]])=1,LoanAmount,INDEX(PaymentSchedule3[Ending
Balance],ROW()-ROW(PaymentSchedule3[[#Headers],[Beginning
Balance]])-1)),"")</f>
        <v>87329.929321643343</v>
      </c>
      <c r="E329" s="25">
        <f ca="1">IF(PaymentSchedule3[[#This Row],[Payment Number]]&lt;&gt;"",ScheduledPayment,"")</f>
        <v>2212.1307964707844</v>
      </c>
      <c r="F3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29" s="25">
        <f ca="1">IF(PaymentSchedule3[[#This Row],[Payment Number]]&lt;&gt;"",PaymentSchedule3[[#This Row],[Total
Payment]]-PaymentSchedule3[[#This Row],[Interest]],"")</f>
        <v>1702.7062087611982</v>
      </c>
      <c r="I329" s="25">
        <f ca="1">IF(PaymentSchedule3[[#This Row],[Payment Number]]&lt;&gt;"",PaymentSchedule3[[#This Row],[Beginning
Balance]]*(InterestRate/PaymentsPerYear),"")</f>
        <v>509.42458770958621</v>
      </c>
      <c r="J329" s="25">
        <f ca="1">IF(PaymentSchedule3[[#This Row],[Payment Number]]&lt;&gt;"",IF(PaymentSchedule3[[#This Row],[Scheduled Payment]]+PaymentSchedule3[[#This Row],[Extra
Payment]]&lt;=PaymentSchedule3[[#This Row],[Beginning
Balance]],PaymentSchedule3[[#This Row],[Beginning
Balance]]-PaymentSchedule3[[#This Row],[Principal]],0),"")</f>
        <v>85627.223112882144</v>
      </c>
      <c r="K329" s="25">
        <f ca="1">IF(PaymentSchedule3[[#This Row],[Payment Number]]&lt;&gt;"",SUM(INDEX(PaymentSchedule3[Interest],1,1):PaymentSchedule3[[#This Row],[Interest]]),"")</f>
        <v>452160.55479764985</v>
      </c>
      <c r="L329" s="25">
        <f ca="1">IF(PaymentSchedule3[[#This Row],[Payment Number]]&lt;&gt;"",SUM(INDEX(PaymentSchedule3[Principal],1,1):PaymentSchedule3[[#This Row],[Principal]]),"")</f>
        <v>246872.77688711803</v>
      </c>
    </row>
    <row r="330" spans="2:12" x14ac:dyDescent="0.25">
      <c r="B330" s="23">
        <f ca="1">IF(LoanIsGood,IF(ROW()-ROW(PaymentSchedule3[[#Headers],[Payment Number]])&gt;ScheduledNumberOfPayments,"",ROW()-ROW(PaymentSchedule3[[#Headers],[Payment Number]])),"")</f>
        <v>317</v>
      </c>
      <c r="C330" s="24">
        <f ca="1">IF(PaymentSchedule3[[#This Row],[Payment Number]]&lt;&gt;"",EOMONTH(LoanStartDate,ROW(PaymentSchedule3[[#This Row],[Payment Number]])-ROW(PaymentSchedule3[[#Headers],[Payment Number]])-2)+DAY(LoanStartDate),"")</f>
        <v>55085</v>
      </c>
      <c r="D330" s="25">
        <f ca="1">IF(PaymentSchedule3[[#This Row],[Payment Number]]&lt;&gt;"",IF(ROW()-ROW(PaymentSchedule3[[#Headers],[Beginning
Balance]])=1,LoanAmount,INDEX(PaymentSchedule3[Ending
Balance],ROW()-ROW(PaymentSchedule3[[#Headers],[Beginning
Balance]])-1)),"")</f>
        <v>85627.223112882144</v>
      </c>
      <c r="E330" s="25">
        <f ca="1">IF(PaymentSchedule3[[#This Row],[Payment Number]]&lt;&gt;"",ScheduledPayment,"")</f>
        <v>2212.1307964707844</v>
      </c>
      <c r="F3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0" s="25">
        <f ca="1">IF(PaymentSchedule3[[#This Row],[Payment Number]]&lt;&gt;"",PaymentSchedule3[[#This Row],[Total
Payment]]-PaymentSchedule3[[#This Row],[Interest]],"")</f>
        <v>1712.6386616456384</v>
      </c>
      <c r="I330" s="25">
        <f ca="1">IF(PaymentSchedule3[[#This Row],[Payment Number]]&lt;&gt;"",PaymentSchedule3[[#This Row],[Beginning
Balance]]*(InterestRate/PaymentsPerYear),"")</f>
        <v>499.49213482514585</v>
      </c>
      <c r="J330" s="25">
        <f ca="1">IF(PaymentSchedule3[[#This Row],[Payment Number]]&lt;&gt;"",IF(PaymentSchedule3[[#This Row],[Scheduled Payment]]+PaymentSchedule3[[#This Row],[Extra
Payment]]&lt;=PaymentSchedule3[[#This Row],[Beginning
Balance]],PaymentSchedule3[[#This Row],[Beginning
Balance]]-PaymentSchedule3[[#This Row],[Principal]],0),"")</f>
        <v>83914.5844512365</v>
      </c>
      <c r="K330" s="25">
        <f ca="1">IF(PaymentSchedule3[[#This Row],[Payment Number]]&lt;&gt;"",SUM(INDEX(PaymentSchedule3[Interest],1,1):PaymentSchedule3[[#This Row],[Interest]]),"")</f>
        <v>452660.046932475</v>
      </c>
      <c r="L330" s="25">
        <f ca="1">IF(PaymentSchedule3[[#This Row],[Payment Number]]&lt;&gt;"",SUM(INDEX(PaymentSchedule3[Principal],1,1):PaymentSchedule3[[#This Row],[Principal]]),"")</f>
        <v>248585.41554876367</v>
      </c>
    </row>
    <row r="331" spans="2:12" x14ac:dyDescent="0.25">
      <c r="B331" s="23">
        <f ca="1">IF(LoanIsGood,IF(ROW()-ROW(PaymentSchedule3[[#Headers],[Payment Number]])&gt;ScheduledNumberOfPayments,"",ROW()-ROW(PaymentSchedule3[[#Headers],[Payment Number]])),"")</f>
        <v>318</v>
      </c>
      <c r="C331" s="24">
        <f ca="1">IF(PaymentSchedule3[[#This Row],[Payment Number]]&lt;&gt;"",EOMONTH(LoanStartDate,ROW(PaymentSchedule3[[#This Row],[Payment Number]])-ROW(PaymentSchedule3[[#Headers],[Payment Number]])-2)+DAY(LoanStartDate),"")</f>
        <v>55116</v>
      </c>
      <c r="D331" s="25">
        <f ca="1">IF(PaymentSchedule3[[#This Row],[Payment Number]]&lt;&gt;"",IF(ROW()-ROW(PaymentSchedule3[[#Headers],[Beginning
Balance]])=1,LoanAmount,INDEX(PaymentSchedule3[Ending
Balance],ROW()-ROW(PaymentSchedule3[[#Headers],[Beginning
Balance]])-1)),"")</f>
        <v>83914.5844512365</v>
      </c>
      <c r="E331" s="25">
        <f ca="1">IF(PaymentSchedule3[[#This Row],[Payment Number]]&lt;&gt;"",ScheduledPayment,"")</f>
        <v>2212.1307964707844</v>
      </c>
      <c r="F3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1" s="25">
        <f ca="1">IF(PaymentSchedule3[[#This Row],[Payment Number]]&lt;&gt;"",PaymentSchedule3[[#This Row],[Total
Payment]]-PaymentSchedule3[[#This Row],[Interest]],"")</f>
        <v>1722.6290538385715</v>
      </c>
      <c r="I331" s="25">
        <f ca="1">IF(PaymentSchedule3[[#This Row],[Payment Number]]&lt;&gt;"",PaymentSchedule3[[#This Row],[Beginning
Balance]]*(InterestRate/PaymentsPerYear),"")</f>
        <v>489.50174263221294</v>
      </c>
      <c r="J331" s="25">
        <f ca="1">IF(PaymentSchedule3[[#This Row],[Payment Number]]&lt;&gt;"",IF(PaymentSchedule3[[#This Row],[Scheduled Payment]]+PaymentSchedule3[[#This Row],[Extra
Payment]]&lt;=PaymentSchedule3[[#This Row],[Beginning
Balance]],PaymentSchedule3[[#This Row],[Beginning
Balance]]-PaymentSchedule3[[#This Row],[Principal]],0),"")</f>
        <v>82191.955397397935</v>
      </c>
      <c r="K331" s="25">
        <f ca="1">IF(PaymentSchedule3[[#This Row],[Payment Number]]&lt;&gt;"",SUM(INDEX(PaymentSchedule3[Interest],1,1):PaymentSchedule3[[#This Row],[Interest]]),"")</f>
        <v>453149.54867510719</v>
      </c>
      <c r="L331" s="25">
        <f ca="1">IF(PaymentSchedule3[[#This Row],[Payment Number]]&lt;&gt;"",SUM(INDEX(PaymentSchedule3[Principal],1,1):PaymentSchedule3[[#This Row],[Principal]]),"")</f>
        <v>250308.04460260225</v>
      </c>
    </row>
    <row r="332" spans="2:12" x14ac:dyDescent="0.25">
      <c r="B332" s="23">
        <f ca="1">IF(LoanIsGood,IF(ROW()-ROW(PaymentSchedule3[[#Headers],[Payment Number]])&gt;ScheduledNumberOfPayments,"",ROW()-ROW(PaymentSchedule3[[#Headers],[Payment Number]])),"")</f>
        <v>319</v>
      </c>
      <c r="C332" s="24">
        <f ca="1">IF(PaymentSchedule3[[#This Row],[Payment Number]]&lt;&gt;"",EOMONTH(LoanStartDate,ROW(PaymentSchedule3[[#This Row],[Payment Number]])-ROW(PaymentSchedule3[[#Headers],[Payment Number]])-2)+DAY(LoanStartDate),"")</f>
        <v>55146</v>
      </c>
      <c r="D332" s="25">
        <f ca="1">IF(PaymentSchedule3[[#This Row],[Payment Number]]&lt;&gt;"",IF(ROW()-ROW(PaymentSchedule3[[#Headers],[Beginning
Balance]])=1,LoanAmount,INDEX(PaymentSchedule3[Ending
Balance],ROW()-ROW(PaymentSchedule3[[#Headers],[Beginning
Balance]])-1)),"")</f>
        <v>82191.955397397935</v>
      </c>
      <c r="E332" s="25">
        <f ca="1">IF(PaymentSchedule3[[#This Row],[Payment Number]]&lt;&gt;"",ScheduledPayment,"")</f>
        <v>2212.1307964707844</v>
      </c>
      <c r="F3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2" s="25">
        <f ca="1">IF(PaymentSchedule3[[#This Row],[Payment Number]]&lt;&gt;"",PaymentSchedule3[[#This Row],[Total
Payment]]-PaymentSchedule3[[#This Row],[Interest]],"")</f>
        <v>1732.6777233192965</v>
      </c>
      <c r="I332" s="25">
        <f ca="1">IF(PaymentSchedule3[[#This Row],[Payment Number]]&lt;&gt;"",PaymentSchedule3[[#This Row],[Beginning
Balance]]*(InterestRate/PaymentsPerYear),"")</f>
        <v>479.45307315148796</v>
      </c>
      <c r="J332" s="25">
        <f ca="1">IF(PaymentSchedule3[[#This Row],[Payment Number]]&lt;&gt;"",IF(PaymentSchedule3[[#This Row],[Scheduled Payment]]+PaymentSchedule3[[#This Row],[Extra
Payment]]&lt;=PaymentSchedule3[[#This Row],[Beginning
Balance]],PaymentSchedule3[[#This Row],[Beginning
Balance]]-PaymentSchedule3[[#This Row],[Principal]],0),"")</f>
        <v>80459.277674078636</v>
      </c>
      <c r="K332" s="25">
        <f ca="1">IF(PaymentSchedule3[[#This Row],[Payment Number]]&lt;&gt;"",SUM(INDEX(PaymentSchedule3[Interest],1,1):PaymentSchedule3[[#This Row],[Interest]]),"")</f>
        <v>453629.00174825866</v>
      </c>
      <c r="L332" s="25">
        <f ca="1">IF(PaymentSchedule3[[#This Row],[Payment Number]]&lt;&gt;"",SUM(INDEX(PaymentSchedule3[Principal],1,1):PaymentSchedule3[[#This Row],[Principal]]),"")</f>
        <v>252040.72232592155</v>
      </c>
    </row>
    <row r="333" spans="2:12" x14ac:dyDescent="0.25">
      <c r="B333" s="23">
        <f ca="1">IF(LoanIsGood,IF(ROW()-ROW(PaymentSchedule3[[#Headers],[Payment Number]])&gt;ScheduledNumberOfPayments,"",ROW()-ROW(PaymentSchedule3[[#Headers],[Payment Number]])),"")</f>
        <v>320</v>
      </c>
      <c r="C333" s="24">
        <f ca="1">IF(PaymentSchedule3[[#This Row],[Payment Number]]&lt;&gt;"",EOMONTH(LoanStartDate,ROW(PaymentSchedule3[[#This Row],[Payment Number]])-ROW(PaymentSchedule3[[#Headers],[Payment Number]])-2)+DAY(LoanStartDate),"")</f>
        <v>55177</v>
      </c>
      <c r="D333" s="25">
        <f ca="1">IF(PaymentSchedule3[[#This Row],[Payment Number]]&lt;&gt;"",IF(ROW()-ROW(PaymentSchedule3[[#Headers],[Beginning
Balance]])=1,LoanAmount,INDEX(PaymentSchedule3[Ending
Balance],ROW()-ROW(PaymentSchedule3[[#Headers],[Beginning
Balance]])-1)),"")</f>
        <v>80459.277674078636</v>
      </c>
      <c r="E333" s="25">
        <f ca="1">IF(PaymentSchedule3[[#This Row],[Payment Number]]&lt;&gt;"",ScheduledPayment,"")</f>
        <v>2212.1307964707844</v>
      </c>
      <c r="F3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3" s="25">
        <f ca="1">IF(PaymentSchedule3[[#This Row],[Payment Number]]&lt;&gt;"",PaymentSchedule3[[#This Row],[Total
Payment]]-PaymentSchedule3[[#This Row],[Interest]],"")</f>
        <v>1742.785010038659</v>
      </c>
      <c r="I333" s="25">
        <f ca="1">IF(PaymentSchedule3[[#This Row],[Payment Number]]&lt;&gt;"",PaymentSchedule3[[#This Row],[Beginning
Balance]]*(InterestRate/PaymentsPerYear),"")</f>
        <v>469.34578643212541</v>
      </c>
      <c r="J333" s="25">
        <f ca="1">IF(PaymentSchedule3[[#This Row],[Payment Number]]&lt;&gt;"",IF(PaymentSchedule3[[#This Row],[Scheduled Payment]]+PaymentSchedule3[[#This Row],[Extra
Payment]]&lt;=PaymentSchedule3[[#This Row],[Beginning
Balance]],PaymentSchedule3[[#This Row],[Beginning
Balance]]-PaymentSchedule3[[#This Row],[Principal]],0),"")</f>
        <v>78716.492664039979</v>
      </c>
      <c r="K333" s="25">
        <f ca="1">IF(PaymentSchedule3[[#This Row],[Payment Number]]&lt;&gt;"",SUM(INDEX(PaymentSchedule3[Interest],1,1):PaymentSchedule3[[#This Row],[Interest]]),"")</f>
        <v>454098.34753469081</v>
      </c>
      <c r="L333" s="25">
        <f ca="1">IF(PaymentSchedule3[[#This Row],[Payment Number]]&lt;&gt;"",SUM(INDEX(PaymentSchedule3[Principal],1,1):PaymentSchedule3[[#This Row],[Principal]]),"")</f>
        <v>253783.50733596022</v>
      </c>
    </row>
    <row r="334" spans="2:12" x14ac:dyDescent="0.25">
      <c r="B334" s="23">
        <f ca="1">IF(LoanIsGood,IF(ROW()-ROW(PaymentSchedule3[[#Headers],[Payment Number]])&gt;ScheduledNumberOfPayments,"",ROW()-ROW(PaymentSchedule3[[#Headers],[Payment Number]])),"")</f>
        <v>321</v>
      </c>
      <c r="C334" s="24">
        <f ca="1">IF(PaymentSchedule3[[#This Row],[Payment Number]]&lt;&gt;"",EOMONTH(LoanStartDate,ROW(PaymentSchedule3[[#This Row],[Payment Number]])-ROW(PaymentSchedule3[[#Headers],[Payment Number]])-2)+DAY(LoanStartDate),"")</f>
        <v>55208</v>
      </c>
      <c r="D334" s="25">
        <f ca="1">IF(PaymentSchedule3[[#This Row],[Payment Number]]&lt;&gt;"",IF(ROW()-ROW(PaymentSchedule3[[#Headers],[Beginning
Balance]])=1,LoanAmount,INDEX(PaymentSchedule3[Ending
Balance],ROW()-ROW(PaymentSchedule3[[#Headers],[Beginning
Balance]])-1)),"")</f>
        <v>78716.492664039979</v>
      </c>
      <c r="E334" s="25">
        <f ca="1">IF(PaymentSchedule3[[#This Row],[Payment Number]]&lt;&gt;"",ScheduledPayment,"")</f>
        <v>2212.1307964707844</v>
      </c>
      <c r="F3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4" s="25">
        <f ca="1">IF(PaymentSchedule3[[#This Row],[Payment Number]]&lt;&gt;"",PaymentSchedule3[[#This Row],[Total
Payment]]-PaymentSchedule3[[#This Row],[Interest]],"")</f>
        <v>1752.9512559305513</v>
      </c>
      <c r="I334" s="25">
        <f ca="1">IF(PaymentSchedule3[[#This Row],[Payment Number]]&lt;&gt;"",PaymentSchedule3[[#This Row],[Beginning
Balance]]*(InterestRate/PaymentsPerYear),"")</f>
        <v>459.17954054023323</v>
      </c>
      <c r="J334" s="25">
        <f ca="1">IF(PaymentSchedule3[[#This Row],[Payment Number]]&lt;&gt;"",IF(PaymentSchedule3[[#This Row],[Scheduled Payment]]+PaymentSchedule3[[#This Row],[Extra
Payment]]&lt;=PaymentSchedule3[[#This Row],[Beginning
Balance]],PaymentSchedule3[[#This Row],[Beginning
Balance]]-PaymentSchedule3[[#This Row],[Principal]],0),"")</f>
        <v>76963.54140810942</v>
      </c>
      <c r="K334" s="25">
        <f ca="1">IF(PaymentSchedule3[[#This Row],[Payment Number]]&lt;&gt;"",SUM(INDEX(PaymentSchedule3[Interest],1,1):PaymentSchedule3[[#This Row],[Interest]]),"")</f>
        <v>454557.52707523102</v>
      </c>
      <c r="L334" s="25">
        <f ca="1">IF(PaymentSchedule3[[#This Row],[Payment Number]]&lt;&gt;"",SUM(INDEX(PaymentSchedule3[Principal],1,1):PaymentSchedule3[[#This Row],[Principal]]),"")</f>
        <v>255536.45859189078</v>
      </c>
    </row>
    <row r="335" spans="2:12" x14ac:dyDescent="0.25">
      <c r="B335" s="23">
        <f ca="1">IF(LoanIsGood,IF(ROW()-ROW(PaymentSchedule3[[#Headers],[Payment Number]])&gt;ScheduledNumberOfPayments,"",ROW()-ROW(PaymentSchedule3[[#Headers],[Payment Number]])),"")</f>
        <v>322</v>
      </c>
      <c r="C335" s="24">
        <f ca="1">IF(PaymentSchedule3[[#This Row],[Payment Number]]&lt;&gt;"",EOMONTH(LoanStartDate,ROW(PaymentSchedule3[[#This Row],[Payment Number]])-ROW(PaymentSchedule3[[#Headers],[Payment Number]])-2)+DAY(LoanStartDate),"")</f>
        <v>55236</v>
      </c>
      <c r="D335" s="25">
        <f ca="1">IF(PaymentSchedule3[[#This Row],[Payment Number]]&lt;&gt;"",IF(ROW()-ROW(PaymentSchedule3[[#Headers],[Beginning
Balance]])=1,LoanAmount,INDEX(PaymentSchedule3[Ending
Balance],ROW()-ROW(PaymentSchedule3[[#Headers],[Beginning
Balance]])-1)),"")</f>
        <v>76963.54140810942</v>
      </c>
      <c r="E335" s="25">
        <f ca="1">IF(PaymentSchedule3[[#This Row],[Payment Number]]&lt;&gt;"",ScheduledPayment,"")</f>
        <v>2212.1307964707844</v>
      </c>
      <c r="F3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5" s="25">
        <f ca="1">IF(PaymentSchedule3[[#This Row],[Payment Number]]&lt;&gt;"",PaymentSchedule3[[#This Row],[Total
Payment]]-PaymentSchedule3[[#This Row],[Interest]],"")</f>
        <v>1763.1768049234795</v>
      </c>
      <c r="I335" s="25">
        <f ca="1">IF(PaymentSchedule3[[#This Row],[Payment Number]]&lt;&gt;"",PaymentSchedule3[[#This Row],[Beginning
Balance]]*(InterestRate/PaymentsPerYear),"")</f>
        <v>448.95399154730495</v>
      </c>
      <c r="J335" s="25">
        <f ca="1">IF(PaymentSchedule3[[#This Row],[Payment Number]]&lt;&gt;"",IF(PaymentSchedule3[[#This Row],[Scheduled Payment]]+PaymentSchedule3[[#This Row],[Extra
Payment]]&lt;=PaymentSchedule3[[#This Row],[Beginning
Balance]],PaymentSchedule3[[#This Row],[Beginning
Balance]]-PaymentSchedule3[[#This Row],[Principal]],0),"")</f>
        <v>75200.364603185939</v>
      </c>
      <c r="K335" s="25">
        <f ca="1">IF(PaymentSchedule3[[#This Row],[Payment Number]]&lt;&gt;"",SUM(INDEX(PaymentSchedule3[Interest],1,1):PaymentSchedule3[[#This Row],[Interest]]),"")</f>
        <v>455006.4810667783</v>
      </c>
      <c r="L335" s="25">
        <f ca="1">IF(PaymentSchedule3[[#This Row],[Payment Number]]&lt;&gt;"",SUM(INDEX(PaymentSchedule3[Principal],1,1):PaymentSchedule3[[#This Row],[Principal]]),"")</f>
        <v>257299.63539681426</v>
      </c>
    </row>
    <row r="336" spans="2:12" x14ac:dyDescent="0.25">
      <c r="B336" s="23">
        <f ca="1">IF(LoanIsGood,IF(ROW()-ROW(PaymentSchedule3[[#Headers],[Payment Number]])&gt;ScheduledNumberOfPayments,"",ROW()-ROW(PaymentSchedule3[[#Headers],[Payment Number]])),"")</f>
        <v>323</v>
      </c>
      <c r="C336" s="24">
        <f ca="1">IF(PaymentSchedule3[[#This Row],[Payment Number]]&lt;&gt;"",EOMONTH(LoanStartDate,ROW(PaymentSchedule3[[#This Row],[Payment Number]])-ROW(PaymentSchedule3[[#Headers],[Payment Number]])-2)+DAY(LoanStartDate),"")</f>
        <v>55267</v>
      </c>
      <c r="D336" s="25">
        <f ca="1">IF(PaymentSchedule3[[#This Row],[Payment Number]]&lt;&gt;"",IF(ROW()-ROW(PaymentSchedule3[[#Headers],[Beginning
Balance]])=1,LoanAmount,INDEX(PaymentSchedule3[Ending
Balance],ROW()-ROW(PaymentSchedule3[[#Headers],[Beginning
Balance]])-1)),"")</f>
        <v>75200.364603185939</v>
      </c>
      <c r="E336" s="25">
        <f ca="1">IF(PaymentSchedule3[[#This Row],[Payment Number]]&lt;&gt;"",ScheduledPayment,"")</f>
        <v>2212.1307964707844</v>
      </c>
      <c r="F3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6" s="25">
        <f ca="1">IF(PaymentSchedule3[[#This Row],[Payment Number]]&lt;&gt;"",PaymentSchedule3[[#This Row],[Total
Payment]]-PaymentSchedule3[[#This Row],[Interest]],"")</f>
        <v>1773.4620029521998</v>
      </c>
      <c r="I336" s="25">
        <f ca="1">IF(PaymentSchedule3[[#This Row],[Payment Number]]&lt;&gt;"",PaymentSchedule3[[#This Row],[Beginning
Balance]]*(InterestRate/PaymentsPerYear),"")</f>
        <v>438.66879351858466</v>
      </c>
      <c r="J336" s="25">
        <f ca="1">IF(PaymentSchedule3[[#This Row],[Payment Number]]&lt;&gt;"",IF(PaymentSchedule3[[#This Row],[Scheduled Payment]]+PaymentSchedule3[[#This Row],[Extra
Payment]]&lt;=PaymentSchedule3[[#This Row],[Beginning
Balance]],PaymentSchedule3[[#This Row],[Beginning
Balance]]-PaymentSchedule3[[#This Row],[Principal]],0),"")</f>
        <v>73426.902600233734</v>
      </c>
      <c r="K336" s="25">
        <f ca="1">IF(PaymentSchedule3[[#This Row],[Payment Number]]&lt;&gt;"",SUM(INDEX(PaymentSchedule3[Interest],1,1):PaymentSchedule3[[#This Row],[Interest]]),"")</f>
        <v>455445.14986029686</v>
      </c>
      <c r="L336" s="25">
        <f ca="1">IF(PaymentSchedule3[[#This Row],[Payment Number]]&lt;&gt;"",SUM(INDEX(PaymentSchedule3[Principal],1,1):PaymentSchedule3[[#This Row],[Principal]]),"")</f>
        <v>259073.09739976647</v>
      </c>
    </row>
    <row r="337" spans="2:12" x14ac:dyDescent="0.25">
      <c r="B337" s="23">
        <f ca="1">IF(LoanIsGood,IF(ROW()-ROW(PaymentSchedule3[[#Headers],[Payment Number]])&gt;ScheduledNumberOfPayments,"",ROW()-ROW(PaymentSchedule3[[#Headers],[Payment Number]])),"")</f>
        <v>324</v>
      </c>
      <c r="C337" s="24">
        <f ca="1">IF(PaymentSchedule3[[#This Row],[Payment Number]]&lt;&gt;"",EOMONTH(LoanStartDate,ROW(PaymentSchedule3[[#This Row],[Payment Number]])-ROW(PaymentSchedule3[[#Headers],[Payment Number]])-2)+DAY(LoanStartDate),"")</f>
        <v>55297</v>
      </c>
      <c r="D337" s="25">
        <f ca="1">IF(PaymentSchedule3[[#This Row],[Payment Number]]&lt;&gt;"",IF(ROW()-ROW(PaymentSchedule3[[#Headers],[Beginning
Balance]])=1,LoanAmount,INDEX(PaymentSchedule3[Ending
Balance],ROW()-ROW(PaymentSchedule3[[#Headers],[Beginning
Balance]])-1)),"")</f>
        <v>73426.902600233734</v>
      </c>
      <c r="E337" s="25">
        <f ca="1">IF(PaymentSchedule3[[#This Row],[Payment Number]]&lt;&gt;"",ScheduledPayment,"")</f>
        <v>2212.1307964707844</v>
      </c>
      <c r="F3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7" s="25">
        <f ca="1">IF(PaymentSchedule3[[#This Row],[Payment Number]]&lt;&gt;"",PaymentSchedule3[[#This Row],[Total
Payment]]-PaymentSchedule3[[#This Row],[Interest]],"")</f>
        <v>1783.8071979694209</v>
      </c>
      <c r="I337" s="25">
        <f ca="1">IF(PaymentSchedule3[[#This Row],[Payment Number]]&lt;&gt;"",PaymentSchedule3[[#This Row],[Beginning
Balance]]*(InterestRate/PaymentsPerYear),"")</f>
        <v>428.32359850136345</v>
      </c>
      <c r="J337" s="25">
        <f ca="1">IF(PaymentSchedule3[[#This Row],[Payment Number]]&lt;&gt;"",IF(PaymentSchedule3[[#This Row],[Scheduled Payment]]+PaymentSchedule3[[#This Row],[Extra
Payment]]&lt;=PaymentSchedule3[[#This Row],[Beginning
Balance]],PaymentSchedule3[[#This Row],[Beginning
Balance]]-PaymentSchedule3[[#This Row],[Principal]],0),"")</f>
        <v>71643.095402264313</v>
      </c>
      <c r="K337" s="25">
        <f ca="1">IF(PaymentSchedule3[[#This Row],[Payment Number]]&lt;&gt;"",SUM(INDEX(PaymentSchedule3[Interest],1,1):PaymentSchedule3[[#This Row],[Interest]]),"")</f>
        <v>455873.47345879825</v>
      </c>
      <c r="L337" s="25">
        <f ca="1">IF(PaymentSchedule3[[#This Row],[Payment Number]]&lt;&gt;"",SUM(INDEX(PaymentSchedule3[Principal],1,1):PaymentSchedule3[[#This Row],[Principal]]),"")</f>
        <v>260856.90459773588</v>
      </c>
    </row>
    <row r="338" spans="2:12" x14ac:dyDescent="0.25">
      <c r="B338" s="23">
        <f ca="1">IF(LoanIsGood,IF(ROW()-ROW(PaymentSchedule3[[#Headers],[Payment Number]])&gt;ScheduledNumberOfPayments,"",ROW()-ROW(PaymentSchedule3[[#Headers],[Payment Number]])),"")</f>
        <v>325</v>
      </c>
      <c r="C338" s="24">
        <f ca="1">IF(PaymentSchedule3[[#This Row],[Payment Number]]&lt;&gt;"",EOMONTH(LoanStartDate,ROW(PaymentSchedule3[[#This Row],[Payment Number]])-ROW(PaymentSchedule3[[#Headers],[Payment Number]])-2)+DAY(LoanStartDate),"")</f>
        <v>55328</v>
      </c>
      <c r="D338" s="25">
        <f ca="1">IF(PaymentSchedule3[[#This Row],[Payment Number]]&lt;&gt;"",IF(ROW()-ROW(PaymentSchedule3[[#Headers],[Beginning
Balance]])=1,LoanAmount,INDEX(PaymentSchedule3[Ending
Balance],ROW()-ROW(PaymentSchedule3[[#Headers],[Beginning
Balance]])-1)),"")</f>
        <v>71643.095402264313</v>
      </c>
      <c r="E338" s="25">
        <f ca="1">IF(PaymentSchedule3[[#This Row],[Payment Number]]&lt;&gt;"",ScheduledPayment,"")</f>
        <v>2212.1307964707844</v>
      </c>
      <c r="F3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8" s="25">
        <f ca="1">IF(PaymentSchedule3[[#This Row],[Payment Number]]&lt;&gt;"",PaymentSchedule3[[#This Row],[Total
Payment]]-PaymentSchedule3[[#This Row],[Interest]],"")</f>
        <v>1794.2127399575759</v>
      </c>
      <c r="I338" s="25">
        <f ca="1">IF(PaymentSchedule3[[#This Row],[Payment Number]]&lt;&gt;"",PaymentSchedule3[[#This Row],[Beginning
Balance]]*(InterestRate/PaymentsPerYear),"")</f>
        <v>417.91805651320851</v>
      </c>
      <c r="J338" s="25">
        <f ca="1">IF(PaymentSchedule3[[#This Row],[Payment Number]]&lt;&gt;"",IF(PaymentSchedule3[[#This Row],[Scheduled Payment]]+PaymentSchedule3[[#This Row],[Extra
Payment]]&lt;=PaymentSchedule3[[#This Row],[Beginning
Balance]],PaymentSchedule3[[#This Row],[Beginning
Balance]]-PaymentSchedule3[[#This Row],[Principal]],0),"")</f>
        <v>69848.882662306743</v>
      </c>
      <c r="K338" s="25">
        <f ca="1">IF(PaymentSchedule3[[#This Row],[Payment Number]]&lt;&gt;"",SUM(INDEX(PaymentSchedule3[Interest],1,1):PaymentSchedule3[[#This Row],[Interest]]),"")</f>
        <v>456291.39151531144</v>
      </c>
      <c r="L338" s="25">
        <f ca="1">IF(PaymentSchedule3[[#This Row],[Payment Number]]&lt;&gt;"",SUM(INDEX(PaymentSchedule3[Principal],1,1):PaymentSchedule3[[#This Row],[Principal]]),"")</f>
        <v>262651.11733769346</v>
      </c>
    </row>
    <row r="339" spans="2:12" x14ac:dyDescent="0.25">
      <c r="B339" s="23">
        <f ca="1">IF(LoanIsGood,IF(ROW()-ROW(PaymentSchedule3[[#Headers],[Payment Number]])&gt;ScheduledNumberOfPayments,"",ROW()-ROW(PaymentSchedule3[[#Headers],[Payment Number]])),"")</f>
        <v>326</v>
      </c>
      <c r="C339" s="24">
        <f ca="1">IF(PaymentSchedule3[[#This Row],[Payment Number]]&lt;&gt;"",EOMONTH(LoanStartDate,ROW(PaymentSchedule3[[#This Row],[Payment Number]])-ROW(PaymentSchedule3[[#Headers],[Payment Number]])-2)+DAY(LoanStartDate),"")</f>
        <v>55358</v>
      </c>
      <c r="D339" s="25">
        <f ca="1">IF(PaymentSchedule3[[#This Row],[Payment Number]]&lt;&gt;"",IF(ROW()-ROW(PaymentSchedule3[[#Headers],[Beginning
Balance]])=1,LoanAmount,INDEX(PaymentSchedule3[Ending
Balance],ROW()-ROW(PaymentSchedule3[[#Headers],[Beginning
Balance]])-1)),"")</f>
        <v>69848.882662306743</v>
      </c>
      <c r="E339" s="25">
        <f ca="1">IF(PaymentSchedule3[[#This Row],[Payment Number]]&lt;&gt;"",ScheduledPayment,"")</f>
        <v>2212.1307964707844</v>
      </c>
      <c r="F3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39" s="25">
        <f ca="1">IF(PaymentSchedule3[[#This Row],[Payment Number]]&lt;&gt;"",PaymentSchedule3[[#This Row],[Total
Payment]]-PaymentSchedule3[[#This Row],[Interest]],"")</f>
        <v>1804.6789809406616</v>
      </c>
      <c r="I339" s="25">
        <f ca="1">IF(PaymentSchedule3[[#This Row],[Payment Number]]&lt;&gt;"",PaymentSchedule3[[#This Row],[Beginning
Balance]]*(InterestRate/PaymentsPerYear),"")</f>
        <v>407.4518155301227</v>
      </c>
      <c r="J339" s="25">
        <f ca="1">IF(PaymentSchedule3[[#This Row],[Payment Number]]&lt;&gt;"",IF(PaymentSchedule3[[#This Row],[Scheduled Payment]]+PaymentSchedule3[[#This Row],[Extra
Payment]]&lt;=PaymentSchedule3[[#This Row],[Beginning
Balance]],PaymentSchedule3[[#This Row],[Beginning
Balance]]-PaymentSchedule3[[#This Row],[Principal]],0),"")</f>
        <v>68044.203681366082</v>
      </c>
      <c r="K339" s="25">
        <f ca="1">IF(PaymentSchedule3[[#This Row],[Payment Number]]&lt;&gt;"",SUM(INDEX(PaymentSchedule3[Interest],1,1):PaymentSchedule3[[#This Row],[Interest]]),"")</f>
        <v>456698.84333084157</v>
      </c>
      <c r="L339" s="25">
        <f ca="1">IF(PaymentSchedule3[[#This Row],[Payment Number]]&lt;&gt;"",SUM(INDEX(PaymentSchedule3[Principal],1,1):PaymentSchedule3[[#This Row],[Principal]]),"")</f>
        <v>264455.79631863412</v>
      </c>
    </row>
    <row r="340" spans="2:12" x14ac:dyDescent="0.25">
      <c r="B340" s="23">
        <f ca="1">IF(LoanIsGood,IF(ROW()-ROW(PaymentSchedule3[[#Headers],[Payment Number]])&gt;ScheduledNumberOfPayments,"",ROW()-ROW(PaymentSchedule3[[#Headers],[Payment Number]])),"")</f>
        <v>327</v>
      </c>
      <c r="C340" s="24">
        <f ca="1">IF(PaymentSchedule3[[#This Row],[Payment Number]]&lt;&gt;"",EOMONTH(LoanStartDate,ROW(PaymentSchedule3[[#This Row],[Payment Number]])-ROW(PaymentSchedule3[[#Headers],[Payment Number]])-2)+DAY(LoanStartDate),"")</f>
        <v>55389</v>
      </c>
      <c r="D340" s="25">
        <f ca="1">IF(PaymentSchedule3[[#This Row],[Payment Number]]&lt;&gt;"",IF(ROW()-ROW(PaymentSchedule3[[#Headers],[Beginning
Balance]])=1,LoanAmount,INDEX(PaymentSchedule3[Ending
Balance],ROW()-ROW(PaymentSchedule3[[#Headers],[Beginning
Balance]])-1)),"")</f>
        <v>68044.203681366082</v>
      </c>
      <c r="E340" s="25">
        <f ca="1">IF(PaymentSchedule3[[#This Row],[Payment Number]]&lt;&gt;"",ScheduledPayment,"")</f>
        <v>2212.1307964707844</v>
      </c>
      <c r="F3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0" s="25">
        <f ca="1">IF(PaymentSchedule3[[#This Row],[Payment Number]]&lt;&gt;"",PaymentSchedule3[[#This Row],[Total
Payment]]-PaymentSchedule3[[#This Row],[Interest]],"")</f>
        <v>1815.206274996149</v>
      </c>
      <c r="I340" s="25">
        <f ca="1">IF(PaymentSchedule3[[#This Row],[Payment Number]]&lt;&gt;"",PaymentSchedule3[[#This Row],[Beginning
Balance]]*(InterestRate/PaymentsPerYear),"")</f>
        <v>396.92452147463547</v>
      </c>
      <c r="J340" s="25">
        <f ca="1">IF(PaymentSchedule3[[#This Row],[Payment Number]]&lt;&gt;"",IF(PaymentSchedule3[[#This Row],[Scheduled Payment]]+PaymentSchedule3[[#This Row],[Extra
Payment]]&lt;=PaymentSchedule3[[#This Row],[Beginning
Balance]],PaymentSchedule3[[#This Row],[Beginning
Balance]]-PaymentSchedule3[[#This Row],[Principal]],0),"")</f>
        <v>66228.997406369934</v>
      </c>
      <c r="K340" s="25">
        <f ca="1">IF(PaymentSchedule3[[#This Row],[Payment Number]]&lt;&gt;"",SUM(INDEX(PaymentSchedule3[Interest],1,1):PaymentSchedule3[[#This Row],[Interest]]),"")</f>
        <v>457095.7678523162</v>
      </c>
      <c r="L340" s="25">
        <f ca="1">IF(PaymentSchedule3[[#This Row],[Payment Number]]&lt;&gt;"",SUM(INDEX(PaymentSchedule3[Principal],1,1):PaymentSchedule3[[#This Row],[Principal]]),"")</f>
        <v>266271.00259363028</v>
      </c>
    </row>
    <row r="341" spans="2:12" x14ac:dyDescent="0.25">
      <c r="B341" s="23">
        <f ca="1">IF(LoanIsGood,IF(ROW()-ROW(PaymentSchedule3[[#Headers],[Payment Number]])&gt;ScheduledNumberOfPayments,"",ROW()-ROW(PaymentSchedule3[[#Headers],[Payment Number]])),"")</f>
        <v>328</v>
      </c>
      <c r="C341" s="24">
        <f ca="1">IF(PaymentSchedule3[[#This Row],[Payment Number]]&lt;&gt;"",EOMONTH(LoanStartDate,ROW(PaymentSchedule3[[#This Row],[Payment Number]])-ROW(PaymentSchedule3[[#Headers],[Payment Number]])-2)+DAY(LoanStartDate),"")</f>
        <v>55420</v>
      </c>
      <c r="D341" s="25">
        <f ca="1">IF(PaymentSchedule3[[#This Row],[Payment Number]]&lt;&gt;"",IF(ROW()-ROW(PaymentSchedule3[[#Headers],[Beginning
Balance]])=1,LoanAmount,INDEX(PaymentSchedule3[Ending
Balance],ROW()-ROW(PaymentSchedule3[[#Headers],[Beginning
Balance]])-1)),"")</f>
        <v>66228.997406369934</v>
      </c>
      <c r="E341" s="25">
        <f ca="1">IF(PaymentSchedule3[[#This Row],[Payment Number]]&lt;&gt;"",ScheduledPayment,"")</f>
        <v>2212.1307964707844</v>
      </c>
      <c r="F3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1" s="25">
        <f ca="1">IF(PaymentSchedule3[[#This Row],[Payment Number]]&lt;&gt;"",PaymentSchedule3[[#This Row],[Total
Payment]]-PaymentSchedule3[[#This Row],[Interest]],"")</f>
        <v>1825.7949782669598</v>
      </c>
      <c r="I341" s="25">
        <f ca="1">IF(PaymentSchedule3[[#This Row],[Payment Number]]&lt;&gt;"",PaymentSchedule3[[#This Row],[Beginning
Balance]]*(InterestRate/PaymentsPerYear),"")</f>
        <v>386.33581820382466</v>
      </c>
      <c r="J341" s="25">
        <f ca="1">IF(PaymentSchedule3[[#This Row],[Payment Number]]&lt;&gt;"",IF(PaymentSchedule3[[#This Row],[Scheduled Payment]]+PaymentSchedule3[[#This Row],[Extra
Payment]]&lt;=PaymentSchedule3[[#This Row],[Beginning
Balance]],PaymentSchedule3[[#This Row],[Beginning
Balance]]-PaymentSchedule3[[#This Row],[Principal]],0),"")</f>
        <v>64403.202428102973</v>
      </c>
      <c r="K341" s="25">
        <f ca="1">IF(PaymentSchedule3[[#This Row],[Payment Number]]&lt;&gt;"",SUM(INDEX(PaymentSchedule3[Interest],1,1):PaymentSchedule3[[#This Row],[Interest]]),"")</f>
        <v>457482.10367052001</v>
      </c>
      <c r="L341" s="25">
        <f ca="1">IF(PaymentSchedule3[[#This Row],[Payment Number]]&lt;&gt;"",SUM(INDEX(PaymentSchedule3[Principal],1,1):PaymentSchedule3[[#This Row],[Principal]]),"")</f>
        <v>268096.79757189722</v>
      </c>
    </row>
    <row r="342" spans="2:12" x14ac:dyDescent="0.25">
      <c r="B342" s="23">
        <f ca="1">IF(LoanIsGood,IF(ROW()-ROW(PaymentSchedule3[[#Headers],[Payment Number]])&gt;ScheduledNumberOfPayments,"",ROW()-ROW(PaymentSchedule3[[#Headers],[Payment Number]])),"")</f>
        <v>329</v>
      </c>
      <c r="C342" s="24">
        <f ca="1">IF(PaymentSchedule3[[#This Row],[Payment Number]]&lt;&gt;"",EOMONTH(LoanStartDate,ROW(PaymentSchedule3[[#This Row],[Payment Number]])-ROW(PaymentSchedule3[[#Headers],[Payment Number]])-2)+DAY(LoanStartDate),"")</f>
        <v>55450</v>
      </c>
      <c r="D342" s="25">
        <f ca="1">IF(PaymentSchedule3[[#This Row],[Payment Number]]&lt;&gt;"",IF(ROW()-ROW(PaymentSchedule3[[#Headers],[Beginning
Balance]])=1,LoanAmount,INDEX(PaymentSchedule3[Ending
Balance],ROW()-ROW(PaymentSchedule3[[#Headers],[Beginning
Balance]])-1)),"")</f>
        <v>64403.202428102973</v>
      </c>
      <c r="E342" s="25">
        <f ca="1">IF(PaymentSchedule3[[#This Row],[Payment Number]]&lt;&gt;"",ScheduledPayment,"")</f>
        <v>2212.1307964707844</v>
      </c>
      <c r="F3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2" s="25">
        <f ca="1">IF(PaymentSchedule3[[#This Row],[Payment Number]]&lt;&gt;"",PaymentSchedule3[[#This Row],[Total
Payment]]-PaymentSchedule3[[#This Row],[Interest]],"")</f>
        <v>1836.4454489735172</v>
      </c>
      <c r="I342" s="25">
        <f ca="1">IF(PaymentSchedule3[[#This Row],[Payment Number]]&lt;&gt;"",PaymentSchedule3[[#This Row],[Beginning
Balance]]*(InterestRate/PaymentsPerYear),"")</f>
        <v>375.68534749726734</v>
      </c>
      <c r="J342" s="25">
        <f ca="1">IF(PaymentSchedule3[[#This Row],[Payment Number]]&lt;&gt;"",IF(PaymentSchedule3[[#This Row],[Scheduled Payment]]+PaymentSchedule3[[#This Row],[Extra
Payment]]&lt;=PaymentSchedule3[[#This Row],[Beginning
Balance]],PaymentSchedule3[[#This Row],[Beginning
Balance]]-PaymentSchedule3[[#This Row],[Principal]],0),"")</f>
        <v>62566.756979129459</v>
      </c>
      <c r="K342" s="25">
        <f ca="1">IF(PaymentSchedule3[[#This Row],[Payment Number]]&lt;&gt;"",SUM(INDEX(PaymentSchedule3[Interest],1,1):PaymentSchedule3[[#This Row],[Interest]]),"")</f>
        <v>457857.7890180173</v>
      </c>
      <c r="L342" s="25">
        <f ca="1">IF(PaymentSchedule3[[#This Row],[Payment Number]]&lt;&gt;"",SUM(INDEX(PaymentSchedule3[Principal],1,1):PaymentSchedule3[[#This Row],[Principal]]),"")</f>
        <v>269933.24302087072</v>
      </c>
    </row>
    <row r="343" spans="2:12" x14ac:dyDescent="0.25">
      <c r="B343" s="23">
        <f ca="1">IF(LoanIsGood,IF(ROW()-ROW(PaymentSchedule3[[#Headers],[Payment Number]])&gt;ScheduledNumberOfPayments,"",ROW()-ROW(PaymentSchedule3[[#Headers],[Payment Number]])),"")</f>
        <v>330</v>
      </c>
      <c r="C343" s="24">
        <f ca="1">IF(PaymentSchedule3[[#This Row],[Payment Number]]&lt;&gt;"",EOMONTH(LoanStartDate,ROW(PaymentSchedule3[[#This Row],[Payment Number]])-ROW(PaymentSchedule3[[#Headers],[Payment Number]])-2)+DAY(LoanStartDate),"")</f>
        <v>55481</v>
      </c>
      <c r="D343" s="25">
        <f ca="1">IF(PaymentSchedule3[[#This Row],[Payment Number]]&lt;&gt;"",IF(ROW()-ROW(PaymentSchedule3[[#Headers],[Beginning
Balance]])=1,LoanAmount,INDEX(PaymentSchedule3[Ending
Balance],ROW()-ROW(PaymentSchedule3[[#Headers],[Beginning
Balance]])-1)),"")</f>
        <v>62566.756979129459</v>
      </c>
      <c r="E343" s="25">
        <f ca="1">IF(PaymentSchedule3[[#This Row],[Payment Number]]&lt;&gt;"",ScheduledPayment,"")</f>
        <v>2212.1307964707844</v>
      </c>
      <c r="F3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3" s="25">
        <f ca="1">IF(PaymentSchedule3[[#This Row],[Payment Number]]&lt;&gt;"",PaymentSchedule3[[#This Row],[Total
Payment]]-PaymentSchedule3[[#This Row],[Interest]],"")</f>
        <v>1847.1580474258626</v>
      </c>
      <c r="I343" s="25">
        <f ca="1">IF(PaymentSchedule3[[#This Row],[Payment Number]]&lt;&gt;"",PaymentSchedule3[[#This Row],[Beginning
Balance]]*(InterestRate/PaymentsPerYear),"")</f>
        <v>364.97274904492184</v>
      </c>
      <c r="J343" s="25">
        <f ca="1">IF(PaymentSchedule3[[#This Row],[Payment Number]]&lt;&gt;"",IF(PaymentSchedule3[[#This Row],[Scheduled Payment]]+PaymentSchedule3[[#This Row],[Extra
Payment]]&lt;=PaymentSchedule3[[#This Row],[Beginning
Balance]],PaymentSchedule3[[#This Row],[Beginning
Balance]]-PaymentSchedule3[[#This Row],[Principal]],0),"")</f>
        <v>60719.5989317036</v>
      </c>
      <c r="K343" s="25">
        <f ca="1">IF(PaymentSchedule3[[#This Row],[Payment Number]]&lt;&gt;"",SUM(INDEX(PaymentSchedule3[Interest],1,1):PaymentSchedule3[[#This Row],[Interest]]),"")</f>
        <v>458222.76176706224</v>
      </c>
      <c r="L343" s="25">
        <f ca="1">IF(PaymentSchedule3[[#This Row],[Payment Number]]&lt;&gt;"",SUM(INDEX(PaymentSchedule3[Principal],1,1):PaymentSchedule3[[#This Row],[Principal]]),"")</f>
        <v>271780.40106829657</v>
      </c>
    </row>
    <row r="344" spans="2:12" x14ac:dyDescent="0.25">
      <c r="B344" s="23">
        <f ca="1">IF(LoanIsGood,IF(ROW()-ROW(PaymentSchedule3[[#Headers],[Payment Number]])&gt;ScheduledNumberOfPayments,"",ROW()-ROW(PaymentSchedule3[[#Headers],[Payment Number]])),"")</f>
        <v>331</v>
      </c>
      <c r="C344" s="24">
        <f ca="1">IF(PaymentSchedule3[[#This Row],[Payment Number]]&lt;&gt;"",EOMONTH(LoanStartDate,ROW(PaymentSchedule3[[#This Row],[Payment Number]])-ROW(PaymentSchedule3[[#Headers],[Payment Number]])-2)+DAY(LoanStartDate),"")</f>
        <v>55511</v>
      </c>
      <c r="D344" s="25">
        <f ca="1">IF(PaymentSchedule3[[#This Row],[Payment Number]]&lt;&gt;"",IF(ROW()-ROW(PaymentSchedule3[[#Headers],[Beginning
Balance]])=1,LoanAmount,INDEX(PaymentSchedule3[Ending
Balance],ROW()-ROW(PaymentSchedule3[[#Headers],[Beginning
Balance]])-1)),"")</f>
        <v>60719.5989317036</v>
      </c>
      <c r="E344" s="25">
        <f ca="1">IF(PaymentSchedule3[[#This Row],[Payment Number]]&lt;&gt;"",ScheduledPayment,"")</f>
        <v>2212.1307964707844</v>
      </c>
      <c r="F3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4" s="25">
        <f ca="1">IF(PaymentSchedule3[[#This Row],[Payment Number]]&lt;&gt;"",PaymentSchedule3[[#This Row],[Total
Payment]]-PaymentSchedule3[[#This Row],[Interest]],"")</f>
        <v>1857.9331360358467</v>
      </c>
      <c r="I344" s="25">
        <f ca="1">IF(PaymentSchedule3[[#This Row],[Payment Number]]&lt;&gt;"",PaymentSchedule3[[#This Row],[Beginning
Balance]]*(InterestRate/PaymentsPerYear),"")</f>
        <v>354.19766043493769</v>
      </c>
      <c r="J344" s="25">
        <f ca="1">IF(PaymentSchedule3[[#This Row],[Payment Number]]&lt;&gt;"",IF(PaymentSchedule3[[#This Row],[Scheduled Payment]]+PaymentSchedule3[[#This Row],[Extra
Payment]]&lt;=PaymentSchedule3[[#This Row],[Beginning
Balance]],PaymentSchedule3[[#This Row],[Beginning
Balance]]-PaymentSchedule3[[#This Row],[Principal]],0),"")</f>
        <v>58861.665795667752</v>
      </c>
      <c r="K344" s="25">
        <f ca="1">IF(PaymentSchedule3[[#This Row],[Payment Number]]&lt;&gt;"",SUM(INDEX(PaymentSchedule3[Interest],1,1):PaymentSchedule3[[#This Row],[Interest]]),"")</f>
        <v>458576.95942749718</v>
      </c>
      <c r="L344" s="25">
        <f ca="1">IF(PaymentSchedule3[[#This Row],[Payment Number]]&lt;&gt;"",SUM(INDEX(PaymentSchedule3[Principal],1,1):PaymentSchedule3[[#This Row],[Principal]]),"")</f>
        <v>273638.33420433244</v>
      </c>
    </row>
    <row r="345" spans="2:12" x14ac:dyDescent="0.25">
      <c r="B345" s="23">
        <f ca="1">IF(LoanIsGood,IF(ROW()-ROW(PaymentSchedule3[[#Headers],[Payment Number]])&gt;ScheduledNumberOfPayments,"",ROW()-ROW(PaymentSchedule3[[#Headers],[Payment Number]])),"")</f>
        <v>332</v>
      </c>
      <c r="C345" s="24">
        <f ca="1">IF(PaymentSchedule3[[#This Row],[Payment Number]]&lt;&gt;"",EOMONTH(LoanStartDate,ROW(PaymentSchedule3[[#This Row],[Payment Number]])-ROW(PaymentSchedule3[[#Headers],[Payment Number]])-2)+DAY(LoanStartDate),"")</f>
        <v>55542</v>
      </c>
      <c r="D345" s="25">
        <f ca="1">IF(PaymentSchedule3[[#This Row],[Payment Number]]&lt;&gt;"",IF(ROW()-ROW(PaymentSchedule3[[#Headers],[Beginning
Balance]])=1,LoanAmount,INDEX(PaymentSchedule3[Ending
Balance],ROW()-ROW(PaymentSchedule3[[#Headers],[Beginning
Balance]])-1)),"")</f>
        <v>58861.665795667752</v>
      </c>
      <c r="E345" s="25">
        <f ca="1">IF(PaymentSchedule3[[#This Row],[Payment Number]]&lt;&gt;"",ScheduledPayment,"")</f>
        <v>2212.1307964707844</v>
      </c>
      <c r="F3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5" s="25">
        <f ca="1">IF(PaymentSchedule3[[#This Row],[Payment Number]]&lt;&gt;"",PaymentSchedule3[[#This Row],[Total
Payment]]-PaymentSchedule3[[#This Row],[Interest]],"")</f>
        <v>1868.7710793293891</v>
      </c>
      <c r="I345" s="25">
        <f ca="1">IF(PaymentSchedule3[[#This Row],[Payment Number]]&lt;&gt;"",PaymentSchedule3[[#This Row],[Beginning
Balance]]*(InterestRate/PaymentsPerYear),"")</f>
        <v>343.35971714139521</v>
      </c>
      <c r="J345" s="25">
        <f ca="1">IF(PaymentSchedule3[[#This Row],[Payment Number]]&lt;&gt;"",IF(PaymentSchedule3[[#This Row],[Scheduled Payment]]+PaymentSchedule3[[#This Row],[Extra
Payment]]&lt;=PaymentSchedule3[[#This Row],[Beginning
Balance]],PaymentSchedule3[[#This Row],[Beginning
Balance]]-PaymentSchedule3[[#This Row],[Principal]],0),"")</f>
        <v>56992.894716338364</v>
      </c>
      <c r="K345" s="25">
        <f ca="1">IF(PaymentSchedule3[[#This Row],[Payment Number]]&lt;&gt;"",SUM(INDEX(PaymentSchedule3[Interest],1,1):PaymentSchedule3[[#This Row],[Interest]]),"")</f>
        <v>458920.31914463855</v>
      </c>
      <c r="L345" s="25">
        <f ca="1">IF(PaymentSchedule3[[#This Row],[Payment Number]]&lt;&gt;"",SUM(INDEX(PaymentSchedule3[Principal],1,1):PaymentSchedule3[[#This Row],[Principal]]),"")</f>
        <v>275507.1052836618</v>
      </c>
    </row>
    <row r="346" spans="2:12" x14ac:dyDescent="0.25">
      <c r="B346" s="23">
        <f ca="1">IF(LoanIsGood,IF(ROW()-ROW(PaymentSchedule3[[#Headers],[Payment Number]])&gt;ScheduledNumberOfPayments,"",ROW()-ROW(PaymentSchedule3[[#Headers],[Payment Number]])),"")</f>
        <v>333</v>
      </c>
      <c r="C346" s="24">
        <f ca="1">IF(PaymentSchedule3[[#This Row],[Payment Number]]&lt;&gt;"",EOMONTH(LoanStartDate,ROW(PaymentSchedule3[[#This Row],[Payment Number]])-ROW(PaymentSchedule3[[#Headers],[Payment Number]])-2)+DAY(LoanStartDate),"")</f>
        <v>55573</v>
      </c>
      <c r="D346" s="25">
        <f ca="1">IF(PaymentSchedule3[[#This Row],[Payment Number]]&lt;&gt;"",IF(ROW()-ROW(PaymentSchedule3[[#Headers],[Beginning
Balance]])=1,LoanAmount,INDEX(PaymentSchedule3[Ending
Balance],ROW()-ROW(PaymentSchedule3[[#Headers],[Beginning
Balance]])-1)),"")</f>
        <v>56992.894716338364</v>
      </c>
      <c r="E346" s="25">
        <f ca="1">IF(PaymentSchedule3[[#This Row],[Payment Number]]&lt;&gt;"",ScheduledPayment,"")</f>
        <v>2212.1307964707844</v>
      </c>
      <c r="F3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6" s="25">
        <f ca="1">IF(PaymentSchedule3[[#This Row],[Payment Number]]&lt;&gt;"",PaymentSchedule3[[#This Row],[Total
Payment]]-PaymentSchedule3[[#This Row],[Interest]],"")</f>
        <v>1879.6722439588107</v>
      </c>
      <c r="I346" s="25">
        <f ca="1">IF(PaymentSchedule3[[#This Row],[Payment Number]]&lt;&gt;"",PaymentSchedule3[[#This Row],[Beginning
Balance]]*(InterestRate/PaymentsPerYear),"")</f>
        <v>332.45855251197378</v>
      </c>
      <c r="J346" s="25">
        <f ca="1">IF(PaymentSchedule3[[#This Row],[Payment Number]]&lt;&gt;"",IF(PaymentSchedule3[[#This Row],[Scheduled Payment]]+PaymentSchedule3[[#This Row],[Extra
Payment]]&lt;=PaymentSchedule3[[#This Row],[Beginning
Balance]],PaymentSchedule3[[#This Row],[Beginning
Balance]]-PaymentSchedule3[[#This Row],[Principal]],0),"")</f>
        <v>55113.222472379552</v>
      </c>
      <c r="K346" s="25">
        <f ca="1">IF(PaymentSchedule3[[#This Row],[Payment Number]]&lt;&gt;"",SUM(INDEX(PaymentSchedule3[Interest],1,1):PaymentSchedule3[[#This Row],[Interest]]),"")</f>
        <v>459252.77769715054</v>
      </c>
      <c r="L346" s="25">
        <f ca="1">IF(PaymentSchedule3[[#This Row],[Payment Number]]&lt;&gt;"",SUM(INDEX(PaymentSchedule3[Principal],1,1):PaymentSchedule3[[#This Row],[Principal]]),"")</f>
        <v>277386.77752762061</v>
      </c>
    </row>
    <row r="347" spans="2:12" x14ac:dyDescent="0.25">
      <c r="B347" s="23">
        <f ca="1">IF(LoanIsGood,IF(ROW()-ROW(PaymentSchedule3[[#Headers],[Payment Number]])&gt;ScheduledNumberOfPayments,"",ROW()-ROW(PaymentSchedule3[[#Headers],[Payment Number]])),"")</f>
        <v>334</v>
      </c>
      <c r="C347" s="24">
        <f ca="1">IF(PaymentSchedule3[[#This Row],[Payment Number]]&lt;&gt;"",EOMONTH(LoanStartDate,ROW(PaymentSchedule3[[#This Row],[Payment Number]])-ROW(PaymentSchedule3[[#Headers],[Payment Number]])-2)+DAY(LoanStartDate),"")</f>
        <v>55602</v>
      </c>
      <c r="D347" s="25">
        <f ca="1">IF(PaymentSchedule3[[#This Row],[Payment Number]]&lt;&gt;"",IF(ROW()-ROW(PaymentSchedule3[[#Headers],[Beginning
Balance]])=1,LoanAmount,INDEX(PaymentSchedule3[Ending
Balance],ROW()-ROW(PaymentSchedule3[[#Headers],[Beginning
Balance]])-1)),"")</f>
        <v>55113.222472379552</v>
      </c>
      <c r="E347" s="25">
        <f ca="1">IF(PaymentSchedule3[[#This Row],[Payment Number]]&lt;&gt;"",ScheduledPayment,"")</f>
        <v>2212.1307964707844</v>
      </c>
      <c r="F3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7" s="25">
        <f ca="1">IF(PaymentSchedule3[[#This Row],[Payment Number]]&lt;&gt;"",PaymentSchedule3[[#This Row],[Total
Payment]]-PaymentSchedule3[[#This Row],[Interest]],"")</f>
        <v>1890.636998715237</v>
      </c>
      <c r="I347" s="25">
        <f ca="1">IF(PaymentSchedule3[[#This Row],[Payment Number]]&lt;&gt;"",PaymentSchedule3[[#This Row],[Beginning
Balance]]*(InterestRate/PaymentsPerYear),"")</f>
        <v>321.4937977555474</v>
      </c>
      <c r="J347" s="25">
        <f ca="1">IF(PaymentSchedule3[[#This Row],[Payment Number]]&lt;&gt;"",IF(PaymentSchedule3[[#This Row],[Scheduled Payment]]+PaymentSchedule3[[#This Row],[Extra
Payment]]&lt;=PaymentSchedule3[[#This Row],[Beginning
Balance]],PaymentSchedule3[[#This Row],[Beginning
Balance]]-PaymentSchedule3[[#This Row],[Principal]],0),"")</f>
        <v>53222.585473664316</v>
      </c>
      <c r="K347" s="25">
        <f ca="1">IF(PaymentSchedule3[[#This Row],[Payment Number]]&lt;&gt;"",SUM(INDEX(PaymentSchedule3[Interest],1,1):PaymentSchedule3[[#This Row],[Interest]]),"")</f>
        <v>459574.2714949061</v>
      </c>
      <c r="L347" s="25">
        <f ca="1">IF(PaymentSchedule3[[#This Row],[Payment Number]]&lt;&gt;"",SUM(INDEX(PaymentSchedule3[Principal],1,1):PaymentSchedule3[[#This Row],[Principal]]),"")</f>
        <v>279277.41452633584</v>
      </c>
    </row>
    <row r="348" spans="2:12" x14ac:dyDescent="0.25">
      <c r="B348" s="23">
        <f ca="1">IF(LoanIsGood,IF(ROW()-ROW(PaymentSchedule3[[#Headers],[Payment Number]])&gt;ScheduledNumberOfPayments,"",ROW()-ROW(PaymentSchedule3[[#Headers],[Payment Number]])),"")</f>
        <v>335</v>
      </c>
      <c r="C348" s="24">
        <f ca="1">IF(PaymentSchedule3[[#This Row],[Payment Number]]&lt;&gt;"",EOMONTH(LoanStartDate,ROW(PaymentSchedule3[[#This Row],[Payment Number]])-ROW(PaymentSchedule3[[#Headers],[Payment Number]])-2)+DAY(LoanStartDate),"")</f>
        <v>55633</v>
      </c>
      <c r="D348" s="25">
        <f ca="1">IF(PaymentSchedule3[[#This Row],[Payment Number]]&lt;&gt;"",IF(ROW()-ROW(PaymentSchedule3[[#Headers],[Beginning
Balance]])=1,LoanAmount,INDEX(PaymentSchedule3[Ending
Balance],ROW()-ROW(PaymentSchedule3[[#Headers],[Beginning
Balance]])-1)),"")</f>
        <v>53222.585473664316</v>
      </c>
      <c r="E348" s="25">
        <f ca="1">IF(PaymentSchedule3[[#This Row],[Payment Number]]&lt;&gt;"",ScheduledPayment,"")</f>
        <v>2212.1307964707844</v>
      </c>
      <c r="F3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8" s="25">
        <f ca="1">IF(PaymentSchedule3[[#This Row],[Payment Number]]&lt;&gt;"",PaymentSchedule3[[#This Row],[Total
Payment]]-PaymentSchedule3[[#This Row],[Interest]],"")</f>
        <v>1901.6657145410759</v>
      </c>
      <c r="I348" s="25">
        <f ca="1">IF(PaymentSchedule3[[#This Row],[Payment Number]]&lt;&gt;"",PaymentSchedule3[[#This Row],[Beginning
Balance]]*(InterestRate/PaymentsPerYear),"")</f>
        <v>310.4650819297085</v>
      </c>
      <c r="J348" s="25">
        <f ca="1">IF(PaymentSchedule3[[#This Row],[Payment Number]]&lt;&gt;"",IF(PaymentSchedule3[[#This Row],[Scheduled Payment]]+PaymentSchedule3[[#This Row],[Extra
Payment]]&lt;=PaymentSchedule3[[#This Row],[Beginning
Balance]],PaymentSchedule3[[#This Row],[Beginning
Balance]]-PaymentSchedule3[[#This Row],[Principal]],0),"")</f>
        <v>51320.919759123237</v>
      </c>
      <c r="K348" s="25">
        <f ca="1">IF(PaymentSchedule3[[#This Row],[Payment Number]]&lt;&gt;"",SUM(INDEX(PaymentSchedule3[Interest],1,1):PaymentSchedule3[[#This Row],[Interest]]),"")</f>
        <v>459884.7365768358</v>
      </c>
      <c r="L348" s="25">
        <f ca="1">IF(PaymentSchedule3[[#This Row],[Payment Number]]&lt;&gt;"",SUM(INDEX(PaymentSchedule3[Principal],1,1):PaymentSchedule3[[#This Row],[Principal]]),"")</f>
        <v>281179.08024087694</v>
      </c>
    </row>
    <row r="349" spans="2:12" x14ac:dyDescent="0.25">
      <c r="B349" s="23">
        <f ca="1">IF(LoanIsGood,IF(ROW()-ROW(PaymentSchedule3[[#Headers],[Payment Number]])&gt;ScheduledNumberOfPayments,"",ROW()-ROW(PaymentSchedule3[[#Headers],[Payment Number]])),"")</f>
        <v>336</v>
      </c>
      <c r="C349" s="24">
        <f ca="1">IF(PaymentSchedule3[[#This Row],[Payment Number]]&lt;&gt;"",EOMONTH(LoanStartDate,ROW(PaymentSchedule3[[#This Row],[Payment Number]])-ROW(PaymentSchedule3[[#Headers],[Payment Number]])-2)+DAY(LoanStartDate),"")</f>
        <v>55663</v>
      </c>
      <c r="D349" s="25">
        <f ca="1">IF(PaymentSchedule3[[#This Row],[Payment Number]]&lt;&gt;"",IF(ROW()-ROW(PaymentSchedule3[[#Headers],[Beginning
Balance]])=1,LoanAmount,INDEX(PaymentSchedule3[Ending
Balance],ROW()-ROW(PaymentSchedule3[[#Headers],[Beginning
Balance]])-1)),"")</f>
        <v>51320.919759123237</v>
      </c>
      <c r="E349" s="25">
        <f ca="1">IF(PaymentSchedule3[[#This Row],[Payment Number]]&lt;&gt;"",ScheduledPayment,"")</f>
        <v>2212.1307964707844</v>
      </c>
      <c r="F3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49" s="25">
        <f ca="1">IF(PaymentSchedule3[[#This Row],[Payment Number]]&lt;&gt;"",PaymentSchedule3[[#This Row],[Total
Payment]]-PaymentSchedule3[[#This Row],[Interest]],"")</f>
        <v>1912.7587645425656</v>
      </c>
      <c r="I349" s="25">
        <f ca="1">IF(PaymentSchedule3[[#This Row],[Payment Number]]&lt;&gt;"",PaymentSchedule3[[#This Row],[Beginning
Balance]]*(InterestRate/PaymentsPerYear),"")</f>
        <v>299.37203192821892</v>
      </c>
      <c r="J349" s="25">
        <f ca="1">IF(PaymentSchedule3[[#This Row],[Payment Number]]&lt;&gt;"",IF(PaymentSchedule3[[#This Row],[Scheduled Payment]]+PaymentSchedule3[[#This Row],[Extra
Payment]]&lt;=PaymentSchedule3[[#This Row],[Beginning
Balance]],PaymentSchedule3[[#This Row],[Beginning
Balance]]-PaymentSchedule3[[#This Row],[Principal]],0),"")</f>
        <v>49408.16099458067</v>
      </c>
      <c r="K349" s="25">
        <f ca="1">IF(PaymentSchedule3[[#This Row],[Payment Number]]&lt;&gt;"",SUM(INDEX(PaymentSchedule3[Interest],1,1):PaymentSchedule3[[#This Row],[Interest]]),"")</f>
        <v>460184.10860876401</v>
      </c>
      <c r="L349" s="25">
        <f ca="1">IF(PaymentSchedule3[[#This Row],[Payment Number]]&lt;&gt;"",SUM(INDEX(PaymentSchedule3[Principal],1,1):PaymentSchedule3[[#This Row],[Principal]]),"")</f>
        <v>283091.83900541952</v>
      </c>
    </row>
    <row r="350" spans="2:12" x14ac:dyDescent="0.25">
      <c r="B350" s="23">
        <f ca="1">IF(LoanIsGood,IF(ROW()-ROW(PaymentSchedule3[[#Headers],[Payment Number]])&gt;ScheduledNumberOfPayments,"",ROW()-ROW(PaymentSchedule3[[#Headers],[Payment Number]])),"")</f>
        <v>337</v>
      </c>
      <c r="C350" s="24">
        <f ca="1">IF(PaymentSchedule3[[#This Row],[Payment Number]]&lt;&gt;"",EOMONTH(LoanStartDate,ROW(PaymentSchedule3[[#This Row],[Payment Number]])-ROW(PaymentSchedule3[[#Headers],[Payment Number]])-2)+DAY(LoanStartDate),"")</f>
        <v>55694</v>
      </c>
      <c r="D350" s="25">
        <f ca="1">IF(PaymentSchedule3[[#This Row],[Payment Number]]&lt;&gt;"",IF(ROW()-ROW(PaymentSchedule3[[#Headers],[Beginning
Balance]])=1,LoanAmount,INDEX(PaymentSchedule3[Ending
Balance],ROW()-ROW(PaymentSchedule3[[#Headers],[Beginning
Balance]])-1)),"")</f>
        <v>49408.16099458067</v>
      </c>
      <c r="E350" s="25">
        <f ca="1">IF(PaymentSchedule3[[#This Row],[Payment Number]]&lt;&gt;"",ScheduledPayment,"")</f>
        <v>2212.1307964707844</v>
      </c>
      <c r="F3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0" s="25">
        <f ca="1">IF(PaymentSchedule3[[#This Row],[Payment Number]]&lt;&gt;"",PaymentSchedule3[[#This Row],[Total
Payment]]-PaymentSchedule3[[#This Row],[Interest]],"")</f>
        <v>1923.9165240023972</v>
      </c>
      <c r="I350" s="25">
        <f ca="1">IF(PaymentSchedule3[[#This Row],[Payment Number]]&lt;&gt;"",PaymentSchedule3[[#This Row],[Beginning
Balance]]*(InterestRate/PaymentsPerYear),"")</f>
        <v>288.21427246838726</v>
      </c>
      <c r="J350" s="25">
        <f ca="1">IF(PaymentSchedule3[[#This Row],[Payment Number]]&lt;&gt;"",IF(PaymentSchedule3[[#This Row],[Scheduled Payment]]+PaymentSchedule3[[#This Row],[Extra
Payment]]&lt;=PaymentSchedule3[[#This Row],[Beginning
Balance]],PaymentSchedule3[[#This Row],[Beginning
Balance]]-PaymentSchedule3[[#This Row],[Principal]],0),"")</f>
        <v>47484.244470578276</v>
      </c>
      <c r="K350" s="25">
        <f ca="1">IF(PaymentSchedule3[[#This Row],[Payment Number]]&lt;&gt;"",SUM(INDEX(PaymentSchedule3[Interest],1,1):PaymentSchedule3[[#This Row],[Interest]]),"")</f>
        <v>460472.32288123242</v>
      </c>
      <c r="L350" s="25">
        <f ca="1">IF(PaymentSchedule3[[#This Row],[Payment Number]]&lt;&gt;"",SUM(INDEX(PaymentSchedule3[Principal],1,1):PaymentSchedule3[[#This Row],[Principal]]),"")</f>
        <v>285015.75552942191</v>
      </c>
    </row>
    <row r="351" spans="2:12" x14ac:dyDescent="0.25">
      <c r="B351" s="23">
        <f ca="1">IF(LoanIsGood,IF(ROW()-ROW(PaymentSchedule3[[#Headers],[Payment Number]])&gt;ScheduledNumberOfPayments,"",ROW()-ROW(PaymentSchedule3[[#Headers],[Payment Number]])),"")</f>
        <v>338</v>
      </c>
      <c r="C351" s="24">
        <f ca="1">IF(PaymentSchedule3[[#This Row],[Payment Number]]&lt;&gt;"",EOMONTH(LoanStartDate,ROW(PaymentSchedule3[[#This Row],[Payment Number]])-ROW(PaymentSchedule3[[#Headers],[Payment Number]])-2)+DAY(LoanStartDate),"")</f>
        <v>55724</v>
      </c>
      <c r="D351" s="25">
        <f ca="1">IF(PaymentSchedule3[[#This Row],[Payment Number]]&lt;&gt;"",IF(ROW()-ROW(PaymentSchedule3[[#Headers],[Beginning
Balance]])=1,LoanAmount,INDEX(PaymentSchedule3[Ending
Balance],ROW()-ROW(PaymentSchedule3[[#Headers],[Beginning
Balance]])-1)),"")</f>
        <v>47484.244470578276</v>
      </c>
      <c r="E351" s="25">
        <f ca="1">IF(PaymentSchedule3[[#This Row],[Payment Number]]&lt;&gt;"",ScheduledPayment,"")</f>
        <v>2212.1307964707844</v>
      </c>
      <c r="F3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1" s="25">
        <f ca="1">IF(PaymentSchedule3[[#This Row],[Payment Number]]&lt;&gt;"",PaymentSchedule3[[#This Row],[Total
Payment]]-PaymentSchedule3[[#This Row],[Interest]],"")</f>
        <v>1935.1393703924111</v>
      </c>
      <c r="I351" s="25">
        <f ca="1">IF(PaymentSchedule3[[#This Row],[Payment Number]]&lt;&gt;"",PaymentSchedule3[[#This Row],[Beginning
Balance]]*(InterestRate/PaymentsPerYear),"")</f>
        <v>276.99142607837331</v>
      </c>
      <c r="J351" s="25">
        <f ca="1">IF(PaymentSchedule3[[#This Row],[Payment Number]]&lt;&gt;"",IF(PaymentSchedule3[[#This Row],[Scheduled Payment]]+PaymentSchedule3[[#This Row],[Extra
Payment]]&lt;=PaymentSchedule3[[#This Row],[Beginning
Balance]],PaymentSchedule3[[#This Row],[Beginning
Balance]]-PaymentSchedule3[[#This Row],[Principal]],0),"")</f>
        <v>45549.105100185865</v>
      </c>
      <c r="K351" s="25">
        <f ca="1">IF(PaymentSchedule3[[#This Row],[Payment Number]]&lt;&gt;"",SUM(INDEX(PaymentSchedule3[Interest],1,1):PaymentSchedule3[[#This Row],[Interest]]),"")</f>
        <v>460749.31430731079</v>
      </c>
      <c r="L351" s="25">
        <f ca="1">IF(PaymentSchedule3[[#This Row],[Payment Number]]&lt;&gt;"",SUM(INDEX(PaymentSchedule3[Principal],1,1):PaymentSchedule3[[#This Row],[Principal]]),"")</f>
        <v>286950.89489981433</v>
      </c>
    </row>
    <row r="352" spans="2:12" x14ac:dyDescent="0.25">
      <c r="B352" s="23">
        <f ca="1">IF(LoanIsGood,IF(ROW()-ROW(PaymentSchedule3[[#Headers],[Payment Number]])&gt;ScheduledNumberOfPayments,"",ROW()-ROW(PaymentSchedule3[[#Headers],[Payment Number]])),"")</f>
        <v>339</v>
      </c>
      <c r="C352" s="24">
        <f ca="1">IF(PaymentSchedule3[[#This Row],[Payment Number]]&lt;&gt;"",EOMONTH(LoanStartDate,ROW(PaymentSchedule3[[#This Row],[Payment Number]])-ROW(PaymentSchedule3[[#Headers],[Payment Number]])-2)+DAY(LoanStartDate),"")</f>
        <v>55755</v>
      </c>
      <c r="D352" s="25">
        <f ca="1">IF(PaymentSchedule3[[#This Row],[Payment Number]]&lt;&gt;"",IF(ROW()-ROW(PaymentSchedule3[[#Headers],[Beginning
Balance]])=1,LoanAmount,INDEX(PaymentSchedule3[Ending
Balance],ROW()-ROW(PaymentSchedule3[[#Headers],[Beginning
Balance]])-1)),"")</f>
        <v>45549.105100185865</v>
      </c>
      <c r="E352" s="25">
        <f ca="1">IF(PaymentSchedule3[[#This Row],[Payment Number]]&lt;&gt;"",ScheduledPayment,"")</f>
        <v>2212.1307964707844</v>
      </c>
      <c r="F3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2" s="25">
        <f ca="1">IF(PaymentSchedule3[[#This Row],[Payment Number]]&lt;&gt;"",PaymentSchedule3[[#This Row],[Total
Payment]]-PaymentSchedule3[[#This Row],[Interest]],"")</f>
        <v>1946.4276833863669</v>
      </c>
      <c r="I352" s="25">
        <f ca="1">IF(PaymentSchedule3[[#This Row],[Payment Number]]&lt;&gt;"",PaymentSchedule3[[#This Row],[Beginning
Balance]]*(InterestRate/PaymentsPerYear),"")</f>
        <v>265.70311308441757</v>
      </c>
      <c r="J352" s="25">
        <f ca="1">IF(PaymentSchedule3[[#This Row],[Payment Number]]&lt;&gt;"",IF(PaymentSchedule3[[#This Row],[Scheduled Payment]]+PaymentSchedule3[[#This Row],[Extra
Payment]]&lt;=PaymentSchedule3[[#This Row],[Beginning
Balance]],PaymentSchedule3[[#This Row],[Beginning
Balance]]-PaymentSchedule3[[#This Row],[Principal]],0),"")</f>
        <v>43602.677416799495</v>
      </c>
      <c r="K352" s="25">
        <f ca="1">IF(PaymentSchedule3[[#This Row],[Payment Number]]&lt;&gt;"",SUM(INDEX(PaymentSchedule3[Interest],1,1):PaymentSchedule3[[#This Row],[Interest]]),"")</f>
        <v>461015.01742039522</v>
      </c>
      <c r="L352" s="25">
        <f ca="1">IF(PaymentSchedule3[[#This Row],[Payment Number]]&lt;&gt;"",SUM(INDEX(PaymentSchedule3[Principal],1,1):PaymentSchedule3[[#This Row],[Principal]]),"")</f>
        <v>288897.3225832007</v>
      </c>
    </row>
    <row r="353" spans="2:12" x14ac:dyDescent="0.25">
      <c r="B353" s="23">
        <f ca="1">IF(LoanIsGood,IF(ROW()-ROW(PaymentSchedule3[[#Headers],[Payment Number]])&gt;ScheduledNumberOfPayments,"",ROW()-ROW(PaymentSchedule3[[#Headers],[Payment Number]])),"")</f>
        <v>340</v>
      </c>
      <c r="C353" s="24">
        <f ca="1">IF(PaymentSchedule3[[#This Row],[Payment Number]]&lt;&gt;"",EOMONTH(LoanStartDate,ROW(PaymentSchedule3[[#This Row],[Payment Number]])-ROW(PaymentSchedule3[[#Headers],[Payment Number]])-2)+DAY(LoanStartDate),"")</f>
        <v>55786</v>
      </c>
      <c r="D353" s="25">
        <f ca="1">IF(PaymentSchedule3[[#This Row],[Payment Number]]&lt;&gt;"",IF(ROW()-ROW(PaymentSchedule3[[#Headers],[Beginning
Balance]])=1,LoanAmount,INDEX(PaymentSchedule3[Ending
Balance],ROW()-ROW(PaymentSchedule3[[#Headers],[Beginning
Balance]])-1)),"")</f>
        <v>43602.677416799495</v>
      </c>
      <c r="E353" s="25">
        <f ca="1">IF(PaymentSchedule3[[#This Row],[Payment Number]]&lt;&gt;"",ScheduledPayment,"")</f>
        <v>2212.1307964707844</v>
      </c>
      <c r="F3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3" s="25">
        <f ca="1">IF(PaymentSchedule3[[#This Row],[Payment Number]]&lt;&gt;"",PaymentSchedule3[[#This Row],[Total
Payment]]-PaymentSchedule3[[#This Row],[Interest]],"")</f>
        <v>1957.7818448727874</v>
      </c>
      <c r="I353" s="25">
        <f ca="1">IF(PaymentSchedule3[[#This Row],[Payment Number]]&lt;&gt;"",PaymentSchedule3[[#This Row],[Beginning
Balance]]*(InterestRate/PaymentsPerYear),"")</f>
        <v>254.34895159799706</v>
      </c>
      <c r="J353" s="25">
        <f ca="1">IF(PaymentSchedule3[[#This Row],[Payment Number]]&lt;&gt;"",IF(PaymentSchedule3[[#This Row],[Scheduled Payment]]+PaymentSchedule3[[#This Row],[Extra
Payment]]&lt;=PaymentSchedule3[[#This Row],[Beginning
Balance]],PaymentSchedule3[[#This Row],[Beginning
Balance]]-PaymentSchedule3[[#This Row],[Principal]],0),"")</f>
        <v>41644.895571926711</v>
      </c>
      <c r="K353" s="25">
        <f ca="1">IF(PaymentSchedule3[[#This Row],[Payment Number]]&lt;&gt;"",SUM(INDEX(PaymentSchedule3[Interest],1,1):PaymentSchedule3[[#This Row],[Interest]]),"")</f>
        <v>461269.36637199321</v>
      </c>
      <c r="L353" s="25">
        <f ca="1">IF(PaymentSchedule3[[#This Row],[Payment Number]]&lt;&gt;"",SUM(INDEX(PaymentSchedule3[Principal],1,1):PaymentSchedule3[[#This Row],[Principal]]),"")</f>
        <v>290855.10442807351</v>
      </c>
    </row>
    <row r="354" spans="2:12" x14ac:dyDescent="0.25">
      <c r="B354" s="23">
        <f ca="1">IF(LoanIsGood,IF(ROW()-ROW(PaymentSchedule3[[#Headers],[Payment Number]])&gt;ScheduledNumberOfPayments,"",ROW()-ROW(PaymentSchedule3[[#Headers],[Payment Number]])),"")</f>
        <v>341</v>
      </c>
      <c r="C354" s="24">
        <f ca="1">IF(PaymentSchedule3[[#This Row],[Payment Number]]&lt;&gt;"",EOMONTH(LoanStartDate,ROW(PaymentSchedule3[[#This Row],[Payment Number]])-ROW(PaymentSchedule3[[#Headers],[Payment Number]])-2)+DAY(LoanStartDate),"")</f>
        <v>55816</v>
      </c>
      <c r="D354" s="25">
        <f ca="1">IF(PaymentSchedule3[[#This Row],[Payment Number]]&lt;&gt;"",IF(ROW()-ROW(PaymentSchedule3[[#Headers],[Beginning
Balance]])=1,LoanAmount,INDEX(PaymentSchedule3[Ending
Balance],ROW()-ROW(PaymentSchedule3[[#Headers],[Beginning
Balance]])-1)),"")</f>
        <v>41644.895571926711</v>
      </c>
      <c r="E354" s="25">
        <f ca="1">IF(PaymentSchedule3[[#This Row],[Payment Number]]&lt;&gt;"",ScheduledPayment,"")</f>
        <v>2212.1307964707844</v>
      </c>
      <c r="F3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4" s="25">
        <f ca="1">IF(PaymentSchedule3[[#This Row],[Payment Number]]&lt;&gt;"",PaymentSchedule3[[#This Row],[Total
Payment]]-PaymentSchedule3[[#This Row],[Interest]],"")</f>
        <v>1969.2022389678787</v>
      </c>
      <c r="I354" s="25">
        <f ca="1">IF(PaymentSchedule3[[#This Row],[Payment Number]]&lt;&gt;"",PaymentSchedule3[[#This Row],[Beginning
Balance]]*(InterestRate/PaymentsPerYear),"")</f>
        <v>242.92855750290582</v>
      </c>
      <c r="J354" s="25">
        <f ca="1">IF(PaymentSchedule3[[#This Row],[Payment Number]]&lt;&gt;"",IF(PaymentSchedule3[[#This Row],[Scheduled Payment]]+PaymentSchedule3[[#This Row],[Extra
Payment]]&lt;=PaymentSchedule3[[#This Row],[Beginning
Balance]],PaymentSchedule3[[#This Row],[Beginning
Balance]]-PaymentSchedule3[[#This Row],[Principal]],0),"")</f>
        <v>39675.693332958836</v>
      </c>
      <c r="K354" s="25">
        <f ca="1">IF(PaymentSchedule3[[#This Row],[Payment Number]]&lt;&gt;"",SUM(INDEX(PaymentSchedule3[Interest],1,1):PaymentSchedule3[[#This Row],[Interest]]),"")</f>
        <v>461512.29492949613</v>
      </c>
      <c r="L354" s="25">
        <f ca="1">IF(PaymentSchedule3[[#This Row],[Payment Number]]&lt;&gt;"",SUM(INDEX(PaymentSchedule3[Principal],1,1):PaymentSchedule3[[#This Row],[Principal]]),"")</f>
        <v>292824.30666704138</v>
      </c>
    </row>
    <row r="355" spans="2:12" x14ac:dyDescent="0.25">
      <c r="B355" s="23">
        <f ca="1">IF(LoanIsGood,IF(ROW()-ROW(PaymentSchedule3[[#Headers],[Payment Number]])&gt;ScheduledNumberOfPayments,"",ROW()-ROW(PaymentSchedule3[[#Headers],[Payment Number]])),"")</f>
        <v>342</v>
      </c>
      <c r="C355" s="24">
        <f ca="1">IF(PaymentSchedule3[[#This Row],[Payment Number]]&lt;&gt;"",EOMONTH(LoanStartDate,ROW(PaymentSchedule3[[#This Row],[Payment Number]])-ROW(PaymentSchedule3[[#Headers],[Payment Number]])-2)+DAY(LoanStartDate),"")</f>
        <v>55847</v>
      </c>
      <c r="D355" s="25">
        <f ca="1">IF(PaymentSchedule3[[#This Row],[Payment Number]]&lt;&gt;"",IF(ROW()-ROW(PaymentSchedule3[[#Headers],[Beginning
Balance]])=1,LoanAmount,INDEX(PaymentSchedule3[Ending
Balance],ROW()-ROW(PaymentSchedule3[[#Headers],[Beginning
Balance]])-1)),"")</f>
        <v>39675.693332958836</v>
      </c>
      <c r="E355" s="25">
        <f ca="1">IF(PaymentSchedule3[[#This Row],[Payment Number]]&lt;&gt;"",ScheduledPayment,"")</f>
        <v>2212.1307964707844</v>
      </c>
      <c r="F3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5" s="25">
        <f ca="1">IF(PaymentSchedule3[[#This Row],[Payment Number]]&lt;&gt;"",PaymentSchedule3[[#This Row],[Total
Payment]]-PaymentSchedule3[[#This Row],[Interest]],"")</f>
        <v>1980.6892520285246</v>
      </c>
      <c r="I355" s="25">
        <f ca="1">IF(PaymentSchedule3[[#This Row],[Payment Number]]&lt;&gt;"",PaymentSchedule3[[#This Row],[Beginning
Balance]]*(InterestRate/PaymentsPerYear),"")</f>
        <v>231.4415444422599</v>
      </c>
      <c r="J355" s="25">
        <f ca="1">IF(PaymentSchedule3[[#This Row],[Payment Number]]&lt;&gt;"",IF(PaymentSchedule3[[#This Row],[Scheduled Payment]]+PaymentSchedule3[[#This Row],[Extra
Payment]]&lt;=PaymentSchedule3[[#This Row],[Beginning
Balance]],PaymentSchedule3[[#This Row],[Beginning
Balance]]-PaymentSchedule3[[#This Row],[Principal]],0),"")</f>
        <v>37695.00408093031</v>
      </c>
      <c r="K355" s="25">
        <f ca="1">IF(PaymentSchedule3[[#This Row],[Payment Number]]&lt;&gt;"",SUM(INDEX(PaymentSchedule3[Interest],1,1):PaymentSchedule3[[#This Row],[Interest]]),"")</f>
        <v>461743.73647393839</v>
      </c>
      <c r="L355" s="25">
        <f ca="1">IF(PaymentSchedule3[[#This Row],[Payment Number]]&lt;&gt;"",SUM(INDEX(PaymentSchedule3[Principal],1,1):PaymentSchedule3[[#This Row],[Principal]]),"")</f>
        <v>294804.99591906992</v>
      </c>
    </row>
    <row r="356" spans="2:12" x14ac:dyDescent="0.25">
      <c r="B356" s="23">
        <f ca="1">IF(LoanIsGood,IF(ROW()-ROW(PaymentSchedule3[[#Headers],[Payment Number]])&gt;ScheduledNumberOfPayments,"",ROW()-ROW(PaymentSchedule3[[#Headers],[Payment Number]])),"")</f>
        <v>343</v>
      </c>
      <c r="C356" s="24">
        <f ca="1">IF(PaymentSchedule3[[#This Row],[Payment Number]]&lt;&gt;"",EOMONTH(LoanStartDate,ROW(PaymentSchedule3[[#This Row],[Payment Number]])-ROW(PaymentSchedule3[[#Headers],[Payment Number]])-2)+DAY(LoanStartDate),"")</f>
        <v>55877</v>
      </c>
      <c r="D356" s="25">
        <f ca="1">IF(PaymentSchedule3[[#This Row],[Payment Number]]&lt;&gt;"",IF(ROW()-ROW(PaymentSchedule3[[#Headers],[Beginning
Balance]])=1,LoanAmount,INDEX(PaymentSchedule3[Ending
Balance],ROW()-ROW(PaymentSchedule3[[#Headers],[Beginning
Balance]])-1)),"")</f>
        <v>37695.00408093031</v>
      </c>
      <c r="E356" s="25">
        <f ca="1">IF(PaymentSchedule3[[#This Row],[Payment Number]]&lt;&gt;"",ScheduledPayment,"")</f>
        <v>2212.1307964707844</v>
      </c>
      <c r="F3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6" s="25">
        <f ca="1">IF(PaymentSchedule3[[#This Row],[Payment Number]]&lt;&gt;"",PaymentSchedule3[[#This Row],[Total
Payment]]-PaymentSchedule3[[#This Row],[Interest]],"")</f>
        <v>1992.2432726653576</v>
      </c>
      <c r="I356" s="25">
        <f ca="1">IF(PaymentSchedule3[[#This Row],[Payment Number]]&lt;&gt;"",PaymentSchedule3[[#This Row],[Beginning
Balance]]*(InterestRate/PaymentsPerYear),"")</f>
        <v>219.88752380542681</v>
      </c>
      <c r="J356" s="25">
        <f ca="1">IF(PaymentSchedule3[[#This Row],[Payment Number]]&lt;&gt;"",IF(PaymentSchedule3[[#This Row],[Scheduled Payment]]+PaymentSchedule3[[#This Row],[Extra
Payment]]&lt;=PaymentSchedule3[[#This Row],[Beginning
Balance]],PaymentSchedule3[[#This Row],[Beginning
Balance]]-PaymentSchedule3[[#This Row],[Principal]],0),"")</f>
        <v>35702.760808264953</v>
      </c>
      <c r="K356" s="25">
        <f ca="1">IF(PaymentSchedule3[[#This Row],[Payment Number]]&lt;&gt;"",SUM(INDEX(PaymentSchedule3[Interest],1,1):PaymentSchedule3[[#This Row],[Interest]]),"")</f>
        <v>461963.62399774382</v>
      </c>
      <c r="L356" s="25">
        <f ca="1">IF(PaymentSchedule3[[#This Row],[Payment Number]]&lt;&gt;"",SUM(INDEX(PaymentSchedule3[Principal],1,1):PaymentSchedule3[[#This Row],[Principal]]),"")</f>
        <v>296797.23919173528</v>
      </c>
    </row>
    <row r="357" spans="2:12" x14ac:dyDescent="0.25">
      <c r="B357" s="23">
        <f ca="1">IF(LoanIsGood,IF(ROW()-ROW(PaymentSchedule3[[#Headers],[Payment Number]])&gt;ScheduledNumberOfPayments,"",ROW()-ROW(PaymentSchedule3[[#Headers],[Payment Number]])),"")</f>
        <v>344</v>
      </c>
      <c r="C357" s="24">
        <f ca="1">IF(PaymentSchedule3[[#This Row],[Payment Number]]&lt;&gt;"",EOMONTH(LoanStartDate,ROW(PaymentSchedule3[[#This Row],[Payment Number]])-ROW(PaymentSchedule3[[#Headers],[Payment Number]])-2)+DAY(LoanStartDate),"")</f>
        <v>55908</v>
      </c>
      <c r="D357" s="25">
        <f ca="1">IF(PaymentSchedule3[[#This Row],[Payment Number]]&lt;&gt;"",IF(ROW()-ROW(PaymentSchedule3[[#Headers],[Beginning
Balance]])=1,LoanAmount,INDEX(PaymentSchedule3[Ending
Balance],ROW()-ROW(PaymentSchedule3[[#Headers],[Beginning
Balance]])-1)),"")</f>
        <v>35702.760808264953</v>
      </c>
      <c r="E357" s="25">
        <f ca="1">IF(PaymentSchedule3[[#This Row],[Payment Number]]&lt;&gt;"",ScheduledPayment,"")</f>
        <v>2212.1307964707844</v>
      </c>
      <c r="F3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7" s="25">
        <f ca="1">IF(PaymentSchedule3[[#This Row],[Payment Number]]&lt;&gt;"",PaymentSchedule3[[#This Row],[Total
Payment]]-PaymentSchedule3[[#This Row],[Interest]],"")</f>
        <v>2003.8646917559054</v>
      </c>
      <c r="I357" s="25">
        <f ca="1">IF(PaymentSchedule3[[#This Row],[Payment Number]]&lt;&gt;"",PaymentSchedule3[[#This Row],[Beginning
Balance]]*(InterestRate/PaymentsPerYear),"")</f>
        <v>208.26610471487891</v>
      </c>
      <c r="J357" s="25">
        <f ca="1">IF(PaymentSchedule3[[#This Row],[Payment Number]]&lt;&gt;"",IF(PaymentSchedule3[[#This Row],[Scheduled Payment]]+PaymentSchedule3[[#This Row],[Extra
Payment]]&lt;=PaymentSchedule3[[#This Row],[Beginning
Balance]],PaymentSchedule3[[#This Row],[Beginning
Balance]]-PaymentSchedule3[[#This Row],[Principal]],0),"")</f>
        <v>33698.896116509044</v>
      </c>
      <c r="K357" s="25">
        <f ca="1">IF(PaymentSchedule3[[#This Row],[Payment Number]]&lt;&gt;"",SUM(INDEX(PaymentSchedule3[Interest],1,1):PaymentSchedule3[[#This Row],[Interest]]),"")</f>
        <v>462171.89010245871</v>
      </c>
      <c r="L357" s="25">
        <f ca="1">IF(PaymentSchedule3[[#This Row],[Payment Number]]&lt;&gt;"",SUM(INDEX(PaymentSchedule3[Principal],1,1):PaymentSchedule3[[#This Row],[Principal]]),"")</f>
        <v>298801.10388349119</v>
      </c>
    </row>
    <row r="358" spans="2:12" x14ac:dyDescent="0.25">
      <c r="B358" s="23">
        <f ca="1">IF(LoanIsGood,IF(ROW()-ROW(PaymentSchedule3[[#Headers],[Payment Number]])&gt;ScheduledNumberOfPayments,"",ROW()-ROW(PaymentSchedule3[[#Headers],[Payment Number]])),"")</f>
        <v>345</v>
      </c>
      <c r="C358" s="24">
        <f ca="1">IF(PaymentSchedule3[[#This Row],[Payment Number]]&lt;&gt;"",EOMONTH(LoanStartDate,ROW(PaymentSchedule3[[#This Row],[Payment Number]])-ROW(PaymentSchedule3[[#Headers],[Payment Number]])-2)+DAY(LoanStartDate),"")</f>
        <v>55939</v>
      </c>
      <c r="D358" s="25">
        <f ca="1">IF(PaymentSchedule3[[#This Row],[Payment Number]]&lt;&gt;"",IF(ROW()-ROW(PaymentSchedule3[[#Headers],[Beginning
Balance]])=1,LoanAmount,INDEX(PaymentSchedule3[Ending
Balance],ROW()-ROW(PaymentSchedule3[[#Headers],[Beginning
Balance]])-1)),"")</f>
        <v>33698.896116509044</v>
      </c>
      <c r="E358" s="25">
        <f ca="1">IF(PaymentSchedule3[[#This Row],[Payment Number]]&lt;&gt;"",ScheduledPayment,"")</f>
        <v>2212.1307964707844</v>
      </c>
      <c r="F3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8" s="25">
        <f ca="1">IF(PaymentSchedule3[[#This Row],[Payment Number]]&lt;&gt;"",PaymentSchedule3[[#This Row],[Total
Payment]]-PaymentSchedule3[[#This Row],[Interest]],"")</f>
        <v>2015.553902457815</v>
      </c>
      <c r="I358" s="25">
        <f ca="1">IF(PaymentSchedule3[[#This Row],[Payment Number]]&lt;&gt;"",PaymentSchedule3[[#This Row],[Beginning
Balance]]*(InterestRate/PaymentsPerYear),"")</f>
        <v>196.57689401296943</v>
      </c>
      <c r="J358" s="25">
        <f ca="1">IF(PaymentSchedule3[[#This Row],[Payment Number]]&lt;&gt;"",IF(PaymentSchedule3[[#This Row],[Scheduled Payment]]+PaymentSchedule3[[#This Row],[Extra
Payment]]&lt;=PaymentSchedule3[[#This Row],[Beginning
Balance]],PaymentSchedule3[[#This Row],[Beginning
Balance]]-PaymentSchedule3[[#This Row],[Principal]],0),"")</f>
        <v>31683.34221405123</v>
      </c>
      <c r="K358" s="25">
        <f ca="1">IF(PaymentSchedule3[[#This Row],[Payment Number]]&lt;&gt;"",SUM(INDEX(PaymentSchedule3[Interest],1,1):PaymentSchedule3[[#This Row],[Interest]]),"")</f>
        <v>462368.46699647169</v>
      </c>
      <c r="L358" s="25">
        <f ca="1">IF(PaymentSchedule3[[#This Row],[Payment Number]]&lt;&gt;"",SUM(INDEX(PaymentSchedule3[Principal],1,1):PaymentSchedule3[[#This Row],[Principal]]),"")</f>
        <v>300816.65778594901</v>
      </c>
    </row>
    <row r="359" spans="2:12" x14ac:dyDescent="0.25">
      <c r="B359" s="23">
        <f ca="1">IF(LoanIsGood,IF(ROW()-ROW(PaymentSchedule3[[#Headers],[Payment Number]])&gt;ScheduledNumberOfPayments,"",ROW()-ROW(PaymentSchedule3[[#Headers],[Payment Number]])),"")</f>
        <v>346</v>
      </c>
      <c r="C359" s="24">
        <f ca="1">IF(PaymentSchedule3[[#This Row],[Payment Number]]&lt;&gt;"",EOMONTH(LoanStartDate,ROW(PaymentSchedule3[[#This Row],[Payment Number]])-ROW(PaymentSchedule3[[#Headers],[Payment Number]])-2)+DAY(LoanStartDate),"")</f>
        <v>55967</v>
      </c>
      <c r="D359" s="25">
        <f ca="1">IF(PaymentSchedule3[[#This Row],[Payment Number]]&lt;&gt;"",IF(ROW()-ROW(PaymentSchedule3[[#Headers],[Beginning
Balance]])=1,LoanAmount,INDEX(PaymentSchedule3[Ending
Balance],ROW()-ROW(PaymentSchedule3[[#Headers],[Beginning
Balance]])-1)),"")</f>
        <v>31683.34221405123</v>
      </c>
      <c r="E359" s="25">
        <f ca="1">IF(PaymentSchedule3[[#This Row],[Payment Number]]&lt;&gt;"",ScheduledPayment,"")</f>
        <v>2212.1307964707844</v>
      </c>
      <c r="F3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59" s="25">
        <f ca="1">IF(PaymentSchedule3[[#This Row],[Payment Number]]&lt;&gt;"",PaymentSchedule3[[#This Row],[Total
Payment]]-PaymentSchedule3[[#This Row],[Interest]],"")</f>
        <v>2027.3113002221521</v>
      </c>
      <c r="I359" s="25">
        <f ca="1">IF(PaymentSchedule3[[#This Row],[Payment Number]]&lt;&gt;"",PaymentSchedule3[[#This Row],[Beginning
Balance]]*(InterestRate/PaymentsPerYear),"")</f>
        <v>184.81949624863219</v>
      </c>
      <c r="J359" s="25">
        <f ca="1">IF(PaymentSchedule3[[#This Row],[Payment Number]]&lt;&gt;"",IF(PaymentSchedule3[[#This Row],[Scheduled Payment]]+PaymentSchedule3[[#This Row],[Extra
Payment]]&lt;=PaymentSchedule3[[#This Row],[Beginning
Balance]],PaymentSchedule3[[#This Row],[Beginning
Balance]]-PaymentSchedule3[[#This Row],[Principal]],0),"")</f>
        <v>29656.03091382908</v>
      </c>
      <c r="K359" s="25">
        <f ca="1">IF(PaymentSchedule3[[#This Row],[Payment Number]]&lt;&gt;"",SUM(INDEX(PaymentSchedule3[Interest],1,1):PaymentSchedule3[[#This Row],[Interest]]),"")</f>
        <v>462553.2864927203</v>
      </c>
      <c r="L359" s="25">
        <f ca="1">IF(PaymentSchedule3[[#This Row],[Payment Number]]&lt;&gt;"",SUM(INDEX(PaymentSchedule3[Principal],1,1):PaymentSchedule3[[#This Row],[Principal]]),"")</f>
        <v>302843.96908617119</v>
      </c>
    </row>
    <row r="360" spans="2:12" x14ac:dyDescent="0.25">
      <c r="B360" s="23">
        <f ca="1">IF(LoanIsGood,IF(ROW()-ROW(PaymentSchedule3[[#Headers],[Payment Number]])&gt;ScheduledNumberOfPayments,"",ROW()-ROW(PaymentSchedule3[[#Headers],[Payment Number]])),"")</f>
        <v>347</v>
      </c>
      <c r="C360" s="24">
        <f ca="1">IF(PaymentSchedule3[[#This Row],[Payment Number]]&lt;&gt;"",EOMONTH(LoanStartDate,ROW(PaymentSchedule3[[#This Row],[Payment Number]])-ROW(PaymentSchedule3[[#Headers],[Payment Number]])-2)+DAY(LoanStartDate),"")</f>
        <v>55998</v>
      </c>
      <c r="D360" s="25">
        <f ca="1">IF(PaymentSchedule3[[#This Row],[Payment Number]]&lt;&gt;"",IF(ROW()-ROW(PaymentSchedule3[[#Headers],[Beginning
Balance]])=1,LoanAmount,INDEX(PaymentSchedule3[Ending
Balance],ROW()-ROW(PaymentSchedule3[[#Headers],[Beginning
Balance]])-1)),"")</f>
        <v>29656.03091382908</v>
      </c>
      <c r="E360" s="25">
        <f ca="1">IF(PaymentSchedule3[[#This Row],[Payment Number]]&lt;&gt;"",ScheduledPayment,"")</f>
        <v>2212.1307964707844</v>
      </c>
      <c r="F3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0" s="25">
        <f ca="1">IF(PaymentSchedule3[[#This Row],[Payment Number]]&lt;&gt;"",PaymentSchedule3[[#This Row],[Total
Payment]]-PaymentSchedule3[[#This Row],[Interest]],"")</f>
        <v>2039.1372828067815</v>
      </c>
      <c r="I360" s="25">
        <f ca="1">IF(PaymentSchedule3[[#This Row],[Payment Number]]&lt;&gt;"",PaymentSchedule3[[#This Row],[Beginning
Balance]]*(InterestRate/PaymentsPerYear),"")</f>
        <v>172.99351366400296</v>
      </c>
      <c r="J360" s="25">
        <f ca="1">IF(PaymentSchedule3[[#This Row],[Payment Number]]&lt;&gt;"",IF(PaymentSchedule3[[#This Row],[Scheduled Payment]]+PaymentSchedule3[[#This Row],[Extra
Payment]]&lt;=PaymentSchedule3[[#This Row],[Beginning
Balance]],PaymentSchedule3[[#This Row],[Beginning
Balance]]-PaymentSchedule3[[#This Row],[Principal]],0),"")</f>
        <v>27616.8936310223</v>
      </c>
      <c r="K360" s="25">
        <f ca="1">IF(PaymentSchedule3[[#This Row],[Payment Number]]&lt;&gt;"",SUM(INDEX(PaymentSchedule3[Interest],1,1):PaymentSchedule3[[#This Row],[Interest]]),"")</f>
        <v>462726.2800063843</v>
      </c>
      <c r="L360" s="25">
        <f ca="1">IF(PaymentSchedule3[[#This Row],[Payment Number]]&lt;&gt;"",SUM(INDEX(PaymentSchedule3[Principal],1,1):PaymentSchedule3[[#This Row],[Principal]]),"")</f>
        <v>304883.10636897798</v>
      </c>
    </row>
    <row r="361" spans="2:12" x14ac:dyDescent="0.25">
      <c r="B361" s="23">
        <f ca="1">IF(LoanIsGood,IF(ROW()-ROW(PaymentSchedule3[[#Headers],[Payment Number]])&gt;ScheduledNumberOfPayments,"",ROW()-ROW(PaymentSchedule3[[#Headers],[Payment Number]])),"")</f>
        <v>348</v>
      </c>
      <c r="C361" s="24">
        <f ca="1">IF(PaymentSchedule3[[#This Row],[Payment Number]]&lt;&gt;"",EOMONTH(LoanStartDate,ROW(PaymentSchedule3[[#This Row],[Payment Number]])-ROW(PaymentSchedule3[[#Headers],[Payment Number]])-2)+DAY(LoanStartDate),"")</f>
        <v>56028</v>
      </c>
      <c r="D361" s="25">
        <f ca="1">IF(PaymentSchedule3[[#This Row],[Payment Number]]&lt;&gt;"",IF(ROW()-ROW(PaymentSchedule3[[#Headers],[Beginning
Balance]])=1,LoanAmount,INDEX(PaymentSchedule3[Ending
Balance],ROW()-ROW(PaymentSchedule3[[#Headers],[Beginning
Balance]])-1)),"")</f>
        <v>27616.8936310223</v>
      </c>
      <c r="E361" s="25">
        <f ca="1">IF(PaymentSchedule3[[#This Row],[Payment Number]]&lt;&gt;"",ScheduledPayment,"")</f>
        <v>2212.1307964707844</v>
      </c>
      <c r="F3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1" s="25">
        <f ca="1">IF(PaymentSchedule3[[#This Row],[Payment Number]]&lt;&gt;"",PaymentSchedule3[[#This Row],[Total
Payment]]-PaymentSchedule3[[#This Row],[Interest]],"")</f>
        <v>2051.0322502898211</v>
      </c>
      <c r="I361" s="25">
        <f ca="1">IF(PaymentSchedule3[[#This Row],[Payment Number]]&lt;&gt;"",PaymentSchedule3[[#This Row],[Beginning
Balance]]*(InterestRate/PaymentsPerYear),"")</f>
        <v>161.09854618096341</v>
      </c>
      <c r="J361" s="25">
        <f ca="1">IF(PaymentSchedule3[[#This Row],[Payment Number]]&lt;&gt;"",IF(PaymentSchedule3[[#This Row],[Scheduled Payment]]+PaymentSchedule3[[#This Row],[Extra
Payment]]&lt;=PaymentSchedule3[[#This Row],[Beginning
Balance]],PaymentSchedule3[[#This Row],[Beginning
Balance]]-PaymentSchedule3[[#This Row],[Principal]],0),"")</f>
        <v>25565.86138073248</v>
      </c>
      <c r="K361" s="25">
        <f ca="1">IF(PaymentSchedule3[[#This Row],[Payment Number]]&lt;&gt;"",SUM(INDEX(PaymentSchedule3[Interest],1,1):PaymentSchedule3[[#This Row],[Interest]]),"")</f>
        <v>462887.37855256529</v>
      </c>
      <c r="L361" s="25">
        <f ca="1">IF(PaymentSchedule3[[#This Row],[Payment Number]]&lt;&gt;"",SUM(INDEX(PaymentSchedule3[Principal],1,1):PaymentSchedule3[[#This Row],[Principal]]),"")</f>
        <v>306934.13861926779</v>
      </c>
    </row>
    <row r="362" spans="2:12" x14ac:dyDescent="0.25">
      <c r="B362" s="23">
        <f ca="1">IF(LoanIsGood,IF(ROW()-ROW(PaymentSchedule3[[#Headers],[Payment Number]])&gt;ScheduledNumberOfPayments,"",ROW()-ROW(PaymentSchedule3[[#Headers],[Payment Number]])),"")</f>
        <v>349</v>
      </c>
      <c r="C362" s="24">
        <f ca="1">IF(PaymentSchedule3[[#This Row],[Payment Number]]&lt;&gt;"",EOMONTH(LoanStartDate,ROW(PaymentSchedule3[[#This Row],[Payment Number]])-ROW(PaymentSchedule3[[#Headers],[Payment Number]])-2)+DAY(LoanStartDate),"")</f>
        <v>56059</v>
      </c>
      <c r="D362" s="25">
        <f ca="1">IF(PaymentSchedule3[[#This Row],[Payment Number]]&lt;&gt;"",IF(ROW()-ROW(PaymentSchedule3[[#Headers],[Beginning
Balance]])=1,LoanAmount,INDEX(PaymentSchedule3[Ending
Balance],ROW()-ROW(PaymentSchedule3[[#Headers],[Beginning
Balance]])-1)),"")</f>
        <v>25565.86138073248</v>
      </c>
      <c r="E362" s="25">
        <f ca="1">IF(PaymentSchedule3[[#This Row],[Payment Number]]&lt;&gt;"",ScheduledPayment,"")</f>
        <v>2212.1307964707844</v>
      </c>
      <c r="F3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2" s="25">
        <f ca="1">IF(PaymentSchedule3[[#This Row],[Payment Number]]&lt;&gt;"",PaymentSchedule3[[#This Row],[Total
Payment]]-PaymentSchedule3[[#This Row],[Interest]],"")</f>
        <v>2062.9966050831781</v>
      </c>
      <c r="I362" s="25">
        <f ca="1">IF(PaymentSchedule3[[#This Row],[Payment Number]]&lt;&gt;"",PaymentSchedule3[[#This Row],[Beginning
Balance]]*(InterestRate/PaymentsPerYear),"")</f>
        <v>149.13419138760614</v>
      </c>
      <c r="J362" s="25">
        <f ca="1">IF(PaymentSchedule3[[#This Row],[Payment Number]]&lt;&gt;"",IF(PaymentSchedule3[[#This Row],[Scheduled Payment]]+PaymentSchedule3[[#This Row],[Extra
Payment]]&lt;=PaymentSchedule3[[#This Row],[Beginning
Balance]],PaymentSchedule3[[#This Row],[Beginning
Balance]]-PaymentSchedule3[[#This Row],[Principal]],0),"")</f>
        <v>23502.864775649301</v>
      </c>
      <c r="K362" s="25">
        <f ca="1">IF(PaymentSchedule3[[#This Row],[Payment Number]]&lt;&gt;"",SUM(INDEX(PaymentSchedule3[Interest],1,1):PaymentSchedule3[[#This Row],[Interest]]),"")</f>
        <v>463036.51274395292</v>
      </c>
      <c r="L362" s="25">
        <f ca="1">IF(PaymentSchedule3[[#This Row],[Payment Number]]&lt;&gt;"",SUM(INDEX(PaymentSchedule3[Principal],1,1):PaymentSchedule3[[#This Row],[Principal]]),"")</f>
        <v>308997.13522435096</v>
      </c>
    </row>
    <row r="363" spans="2:12" x14ac:dyDescent="0.25">
      <c r="B363" s="23">
        <f ca="1">IF(LoanIsGood,IF(ROW()-ROW(PaymentSchedule3[[#Headers],[Payment Number]])&gt;ScheduledNumberOfPayments,"",ROW()-ROW(PaymentSchedule3[[#Headers],[Payment Number]])),"")</f>
        <v>350</v>
      </c>
      <c r="C363" s="24">
        <f ca="1">IF(PaymentSchedule3[[#This Row],[Payment Number]]&lt;&gt;"",EOMONTH(LoanStartDate,ROW(PaymentSchedule3[[#This Row],[Payment Number]])-ROW(PaymentSchedule3[[#Headers],[Payment Number]])-2)+DAY(LoanStartDate),"")</f>
        <v>56089</v>
      </c>
      <c r="D363" s="25">
        <f ca="1">IF(PaymentSchedule3[[#This Row],[Payment Number]]&lt;&gt;"",IF(ROW()-ROW(PaymentSchedule3[[#Headers],[Beginning
Balance]])=1,LoanAmount,INDEX(PaymentSchedule3[Ending
Balance],ROW()-ROW(PaymentSchedule3[[#Headers],[Beginning
Balance]])-1)),"")</f>
        <v>23502.864775649301</v>
      </c>
      <c r="E363" s="25">
        <f ca="1">IF(PaymentSchedule3[[#This Row],[Payment Number]]&lt;&gt;"",ScheduledPayment,"")</f>
        <v>2212.1307964707844</v>
      </c>
      <c r="F3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3" s="25">
        <f ca="1">IF(PaymentSchedule3[[#This Row],[Payment Number]]&lt;&gt;"",PaymentSchedule3[[#This Row],[Total
Payment]]-PaymentSchedule3[[#This Row],[Interest]],"")</f>
        <v>2075.0307519461635</v>
      </c>
      <c r="I363" s="25">
        <f ca="1">IF(PaymentSchedule3[[#This Row],[Payment Number]]&lt;&gt;"",PaymentSchedule3[[#This Row],[Beginning
Balance]]*(InterestRate/PaymentsPerYear),"")</f>
        <v>137.10004452462093</v>
      </c>
      <c r="J363" s="25">
        <f ca="1">IF(PaymentSchedule3[[#This Row],[Payment Number]]&lt;&gt;"",IF(PaymentSchedule3[[#This Row],[Scheduled Payment]]+PaymentSchedule3[[#This Row],[Extra
Payment]]&lt;=PaymentSchedule3[[#This Row],[Beginning
Balance]],PaymentSchedule3[[#This Row],[Beginning
Balance]]-PaymentSchedule3[[#This Row],[Principal]],0),"")</f>
        <v>21427.834023703137</v>
      </c>
      <c r="K363" s="25">
        <f ca="1">IF(PaymentSchedule3[[#This Row],[Payment Number]]&lt;&gt;"",SUM(INDEX(PaymentSchedule3[Interest],1,1):PaymentSchedule3[[#This Row],[Interest]]),"")</f>
        <v>463173.61278847756</v>
      </c>
      <c r="L363" s="25">
        <f ca="1">IF(PaymentSchedule3[[#This Row],[Payment Number]]&lt;&gt;"",SUM(INDEX(PaymentSchedule3[Principal],1,1):PaymentSchedule3[[#This Row],[Principal]]),"")</f>
        <v>311072.16597629711</v>
      </c>
    </row>
    <row r="364" spans="2:12" x14ac:dyDescent="0.25">
      <c r="B364" s="23">
        <f ca="1">IF(LoanIsGood,IF(ROW()-ROW(PaymentSchedule3[[#Headers],[Payment Number]])&gt;ScheduledNumberOfPayments,"",ROW()-ROW(PaymentSchedule3[[#Headers],[Payment Number]])),"")</f>
        <v>351</v>
      </c>
      <c r="C364" s="24">
        <f ca="1">IF(PaymentSchedule3[[#This Row],[Payment Number]]&lt;&gt;"",EOMONTH(LoanStartDate,ROW(PaymentSchedule3[[#This Row],[Payment Number]])-ROW(PaymentSchedule3[[#Headers],[Payment Number]])-2)+DAY(LoanStartDate),"")</f>
        <v>56120</v>
      </c>
      <c r="D364" s="25">
        <f ca="1">IF(PaymentSchedule3[[#This Row],[Payment Number]]&lt;&gt;"",IF(ROW()-ROW(PaymentSchedule3[[#Headers],[Beginning
Balance]])=1,LoanAmount,INDEX(PaymentSchedule3[Ending
Balance],ROW()-ROW(PaymentSchedule3[[#Headers],[Beginning
Balance]])-1)),"")</f>
        <v>21427.834023703137</v>
      </c>
      <c r="E364" s="25">
        <f ca="1">IF(PaymentSchedule3[[#This Row],[Payment Number]]&lt;&gt;"",ScheduledPayment,"")</f>
        <v>2212.1307964707844</v>
      </c>
      <c r="F3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4" s="25">
        <f ca="1">IF(PaymentSchedule3[[#This Row],[Payment Number]]&lt;&gt;"",PaymentSchedule3[[#This Row],[Total
Payment]]-PaymentSchedule3[[#This Row],[Interest]],"")</f>
        <v>2087.1350979991826</v>
      </c>
      <c r="I364" s="25">
        <f ca="1">IF(PaymentSchedule3[[#This Row],[Payment Number]]&lt;&gt;"",PaymentSchedule3[[#This Row],[Beginning
Balance]]*(InterestRate/PaymentsPerYear),"")</f>
        <v>124.99569847160164</v>
      </c>
      <c r="J364" s="25">
        <f ca="1">IF(PaymentSchedule3[[#This Row],[Payment Number]]&lt;&gt;"",IF(PaymentSchedule3[[#This Row],[Scheduled Payment]]+PaymentSchedule3[[#This Row],[Extra
Payment]]&lt;=PaymentSchedule3[[#This Row],[Beginning
Balance]],PaymentSchedule3[[#This Row],[Beginning
Balance]]-PaymentSchedule3[[#This Row],[Principal]],0),"")</f>
        <v>19340.698925703953</v>
      </c>
      <c r="K364" s="25">
        <f ca="1">IF(PaymentSchedule3[[#This Row],[Payment Number]]&lt;&gt;"",SUM(INDEX(PaymentSchedule3[Interest],1,1):PaymentSchedule3[[#This Row],[Interest]]),"")</f>
        <v>463298.60848694918</v>
      </c>
      <c r="L364" s="25">
        <f ca="1">IF(PaymentSchedule3[[#This Row],[Payment Number]]&lt;&gt;"",SUM(INDEX(PaymentSchedule3[Principal],1,1):PaymentSchedule3[[#This Row],[Principal]]),"")</f>
        <v>313159.30107429629</v>
      </c>
    </row>
    <row r="365" spans="2:12" x14ac:dyDescent="0.25">
      <c r="B365" s="23">
        <f ca="1">IF(LoanIsGood,IF(ROW()-ROW(PaymentSchedule3[[#Headers],[Payment Number]])&gt;ScheduledNumberOfPayments,"",ROW()-ROW(PaymentSchedule3[[#Headers],[Payment Number]])),"")</f>
        <v>352</v>
      </c>
      <c r="C365" s="24">
        <f ca="1">IF(PaymentSchedule3[[#This Row],[Payment Number]]&lt;&gt;"",EOMONTH(LoanStartDate,ROW(PaymentSchedule3[[#This Row],[Payment Number]])-ROW(PaymentSchedule3[[#Headers],[Payment Number]])-2)+DAY(LoanStartDate),"")</f>
        <v>56151</v>
      </c>
      <c r="D365" s="25">
        <f ca="1">IF(PaymentSchedule3[[#This Row],[Payment Number]]&lt;&gt;"",IF(ROW()-ROW(PaymentSchedule3[[#Headers],[Beginning
Balance]])=1,LoanAmount,INDEX(PaymentSchedule3[Ending
Balance],ROW()-ROW(PaymentSchedule3[[#Headers],[Beginning
Balance]])-1)),"")</f>
        <v>19340.698925703953</v>
      </c>
      <c r="E365" s="25">
        <f ca="1">IF(PaymentSchedule3[[#This Row],[Payment Number]]&lt;&gt;"",ScheduledPayment,"")</f>
        <v>2212.1307964707844</v>
      </c>
      <c r="F3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5" s="25">
        <f ca="1">IF(PaymentSchedule3[[#This Row],[Payment Number]]&lt;&gt;"",PaymentSchedule3[[#This Row],[Total
Payment]]-PaymentSchedule3[[#This Row],[Interest]],"")</f>
        <v>2099.3100527375113</v>
      </c>
      <c r="I365" s="25">
        <f ca="1">IF(PaymentSchedule3[[#This Row],[Payment Number]]&lt;&gt;"",PaymentSchedule3[[#This Row],[Beginning
Balance]]*(InterestRate/PaymentsPerYear),"")</f>
        <v>112.82074373327306</v>
      </c>
      <c r="J365" s="25">
        <f ca="1">IF(PaymentSchedule3[[#This Row],[Payment Number]]&lt;&gt;"",IF(PaymentSchedule3[[#This Row],[Scheduled Payment]]+PaymentSchedule3[[#This Row],[Extra
Payment]]&lt;=PaymentSchedule3[[#This Row],[Beginning
Balance]],PaymentSchedule3[[#This Row],[Beginning
Balance]]-PaymentSchedule3[[#This Row],[Principal]],0),"")</f>
        <v>17241.388872966443</v>
      </c>
      <c r="K365" s="25">
        <f ca="1">IF(PaymentSchedule3[[#This Row],[Payment Number]]&lt;&gt;"",SUM(INDEX(PaymentSchedule3[Interest],1,1):PaymentSchedule3[[#This Row],[Interest]]),"")</f>
        <v>463411.42923068244</v>
      </c>
      <c r="L365" s="25">
        <f ca="1">IF(PaymentSchedule3[[#This Row],[Payment Number]]&lt;&gt;"",SUM(INDEX(PaymentSchedule3[Principal],1,1):PaymentSchedule3[[#This Row],[Principal]]),"")</f>
        <v>315258.61112703383</v>
      </c>
    </row>
    <row r="366" spans="2:12" x14ac:dyDescent="0.25">
      <c r="B366" s="23">
        <f ca="1">IF(LoanIsGood,IF(ROW()-ROW(PaymentSchedule3[[#Headers],[Payment Number]])&gt;ScheduledNumberOfPayments,"",ROW()-ROW(PaymentSchedule3[[#Headers],[Payment Number]])),"")</f>
        <v>353</v>
      </c>
      <c r="C366" s="24">
        <f ca="1">IF(PaymentSchedule3[[#This Row],[Payment Number]]&lt;&gt;"",EOMONTH(LoanStartDate,ROW(PaymentSchedule3[[#This Row],[Payment Number]])-ROW(PaymentSchedule3[[#Headers],[Payment Number]])-2)+DAY(LoanStartDate),"")</f>
        <v>56181</v>
      </c>
      <c r="D366" s="25">
        <f ca="1">IF(PaymentSchedule3[[#This Row],[Payment Number]]&lt;&gt;"",IF(ROW()-ROW(PaymentSchedule3[[#Headers],[Beginning
Balance]])=1,LoanAmount,INDEX(PaymentSchedule3[Ending
Balance],ROW()-ROW(PaymentSchedule3[[#Headers],[Beginning
Balance]])-1)),"")</f>
        <v>17241.388872966443</v>
      </c>
      <c r="E366" s="25">
        <f ca="1">IF(PaymentSchedule3[[#This Row],[Payment Number]]&lt;&gt;"",ScheduledPayment,"")</f>
        <v>2212.1307964707844</v>
      </c>
      <c r="F3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6" s="25">
        <f ca="1">IF(PaymentSchedule3[[#This Row],[Payment Number]]&lt;&gt;"",PaymentSchedule3[[#This Row],[Total
Payment]]-PaymentSchedule3[[#This Row],[Interest]],"")</f>
        <v>2111.5560280451468</v>
      </c>
      <c r="I366" s="25">
        <f ca="1">IF(PaymentSchedule3[[#This Row],[Payment Number]]&lt;&gt;"",PaymentSchedule3[[#This Row],[Beginning
Balance]]*(InterestRate/PaymentsPerYear),"")</f>
        <v>100.57476842563759</v>
      </c>
      <c r="J366" s="25">
        <f ca="1">IF(PaymentSchedule3[[#This Row],[Payment Number]]&lt;&gt;"",IF(PaymentSchedule3[[#This Row],[Scheduled Payment]]+PaymentSchedule3[[#This Row],[Extra
Payment]]&lt;=PaymentSchedule3[[#This Row],[Beginning
Balance]],PaymentSchedule3[[#This Row],[Beginning
Balance]]-PaymentSchedule3[[#This Row],[Principal]],0),"")</f>
        <v>15129.832844921297</v>
      </c>
      <c r="K366" s="25">
        <f ca="1">IF(PaymentSchedule3[[#This Row],[Payment Number]]&lt;&gt;"",SUM(INDEX(PaymentSchedule3[Interest],1,1):PaymentSchedule3[[#This Row],[Interest]]),"")</f>
        <v>463512.0039991081</v>
      </c>
      <c r="L366" s="25">
        <f ca="1">IF(PaymentSchedule3[[#This Row],[Payment Number]]&lt;&gt;"",SUM(INDEX(PaymentSchedule3[Principal],1,1):PaymentSchedule3[[#This Row],[Principal]]),"")</f>
        <v>317370.16715507896</v>
      </c>
    </row>
    <row r="367" spans="2:12" x14ac:dyDescent="0.25">
      <c r="B367" s="23">
        <f ca="1">IF(LoanIsGood,IF(ROW()-ROW(PaymentSchedule3[[#Headers],[Payment Number]])&gt;ScheduledNumberOfPayments,"",ROW()-ROW(PaymentSchedule3[[#Headers],[Payment Number]])),"")</f>
        <v>354</v>
      </c>
      <c r="C367" s="24">
        <f ca="1">IF(PaymentSchedule3[[#This Row],[Payment Number]]&lt;&gt;"",EOMONTH(LoanStartDate,ROW(PaymentSchedule3[[#This Row],[Payment Number]])-ROW(PaymentSchedule3[[#Headers],[Payment Number]])-2)+DAY(LoanStartDate),"")</f>
        <v>56212</v>
      </c>
      <c r="D367" s="25">
        <f ca="1">IF(PaymentSchedule3[[#This Row],[Payment Number]]&lt;&gt;"",IF(ROW()-ROW(PaymentSchedule3[[#Headers],[Beginning
Balance]])=1,LoanAmount,INDEX(PaymentSchedule3[Ending
Balance],ROW()-ROW(PaymentSchedule3[[#Headers],[Beginning
Balance]])-1)),"")</f>
        <v>15129.832844921297</v>
      </c>
      <c r="E367" s="25">
        <f ca="1">IF(PaymentSchedule3[[#This Row],[Payment Number]]&lt;&gt;"",ScheduledPayment,"")</f>
        <v>2212.1307964707844</v>
      </c>
      <c r="F3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7" s="25">
        <f ca="1">IF(PaymentSchedule3[[#This Row],[Payment Number]]&lt;&gt;"",PaymentSchedule3[[#This Row],[Total
Payment]]-PaymentSchedule3[[#This Row],[Interest]],"")</f>
        <v>2123.8734382087437</v>
      </c>
      <c r="I367" s="25">
        <f ca="1">IF(PaymentSchedule3[[#This Row],[Payment Number]]&lt;&gt;"",PaymentSchedule3[[#This Row],[Beginning
Balance]]*(InterestRate/PaymentsPerYear),"")</f>
        <v>88.257358262040896</v>
      </c>
      <c r="J367" s="25">
        <f ca="1">IF(PaymentSchedule3[[#This Row],[Payment Number]]&lt;&gt;"",IF(PaymentSchedule3[[#This Row],[Scheduled Payment]]+PaymentSchedule3[[#This Row],[Extra
Payment]]&lt;=PaymentSchedule3[[#This Row],[Beginning
Balance]],PaymentSchedule3[[#This Row],[Beginning
Balance]]-PaymentSchedule3[[#This Row],[Principal]],0),"")</f>
        <v>13005.959406712553</v>
      </c>
      <c r="K367" s="25">
        <f ca="1">IF(PaymentSchedule3[[#This Row],[Payment Number]]&lt;&gt;"",SUM(INDEX(PaymentSchedule3[Interest],1,1):PaymentSchedule3[[#This Row],[Interest]]),"")</f>
        <v>463600.26135737012</v>
      </c>
      <c r="L367" s="25">
        <f ca="1">IF(PaymentSchedule3[[#This Row],[Payment Number]]&lt;&gt;"",SUM(INDEX(PaymentSchedule3[Principal],1,1):PaymentSchedule3[[#This Row],[Principal]]),"")</f>
        <v>319494.04059328773</v>
      </c>
    </row>
    <row r="368" spans="2:12" x14ac:dyDescent="0.25">
      <c r="B368" s="23">
        <f ca="1">IF(LoanIsGood,IF(ROW()-ROW(PaymentSchedule3[[#Headers],[Payment Number]])&gt;ScheduledNumberOfPayments,"",ROW()-ROW(PaymentSchedule3[[#Headers],[Payment Number]])),"")</f>
        <v>355</v>
      </c>
      <c r="C368" s="24">
        <f ca="1">IF(PaymentSchedule3[[#This Row],[Payment Number]]&lt;&gt;"",EOMONTH(LoanStartDate,ROW(PaymentSchedule3[[#This Row],[Payment Number]])-ROW(PaymentSchedule3[[#Headers],[Payment Number]])-2)+DAY(LoanStartDate),"")</f>
        <v>56242</v>
      </c>
      <c r="D368" s="25">
        <f ca="1">IF(PaymentSchedule3[[#This Row],[Payment Number]]&lt;&gt;"",IF(ROW()-ROW(PaymentSchedule3[[#Headers],[Beginning
Balance]])=1,LoanAmount,INDEX(PaymentSchedule3[Ending
Balance],ROW()-ROW(PaymentSchedule3[[#Headers],[Beginning
Balance]])-1)),"")</f>
        <v>13005.959406712553</v>
      </c>
      <c r="E368" s="25">
        <f ca="1">IF(PaymentSchedule3[[#This Row],[Payment Number]]&lt;&gt;"",ScheduledPayment,"")</f>
        <v>2212.1307964707844</v>
      </c>
      <c r="F3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8" s="25">
        <f ca="1">IF(PaymentSchedule3[[#This Row],[Payment Number]]&lt;&gt;"",PaymentSchedule3[[#This Row],[Total
Payment]]-PaymentSchedule3[[#This Row],[Interest]],"")</f>
        <v>2136.262699931628</v>
      </c>
      <c r="I368" s="25">
        <f ca="1">IF(PaymentSchedule3[[#This Row],[Payment Number]]&lt;&gt;"",PaymentSchedule3[[#This Row],[Beginning
Balance]]*(InterestRate/PaymentsPerYear),"")</f>
        <v>75.868096539156554</v>
      </c>
      <c r="J368" s="25">
        <f ca="1">IF(PaymentSchedule3[[#This Row],[Payment Number]]&lt;&gt;"",IF(PaymentSchedule3[[#This Row],[Scheduled Payment]]+PaymentSchedule3[[#This Row],[Extra
Payment]]&lt;=PaymentSchedule3[[#This Row],[Beginning
Balance]],PaymentSchedule3[[#This Row],[Beginning
Balance]]-PaymentSchedule3[[#This Row],[Principal]],0),"")</f>
        <v>10869.696706780924</v>
      </c>
      <c r="K368" s="25">
        <f ca="1">IF(PaymentSchedule3[[#This Row],[Payment Number]]&lt;&gt;"",SUM(INDEX(PaymentSchedule3[Interest],1,1):PaymentSchedule3[[#This Row],[Interest]]),"")</f>
        <v>463676.12945390929</v>
      </c>
      <c r="L368" s="25">
        <f ca="1">IF(PaymentSchedule3[[#This Row],[Payment Number]]&lt;&gt;"",SUM(INDEX(PaymentSchedule3[Principal],1,1):PaymentSchedule3[[#This Row],[Principal]]),"")</f>
        <v>321630.30329321936</v>
      </c>
    </row>
    <row r="369" spans="2:12" x14ac:dyDescent="0.25">
      <c r="B369" s="23">
        <f ca="1">IF(LoanIsGood,IF(ROW()-ROW(PaymentSchedule3[[#Headers],[Payment Number]])&gt;ScheduledNumberOfPayments,"",ROW()-ROW(PaymentSchedule3[[#Headers],[Payment Number]])),"")</f>
        <v>356</v>
      </c>
      <c r="C369" s="24">
        <f ca="1">IF(PaymentSchedule3[[#This Row],[Payment Number]]&lt;&gt;"",EOMONTH(LoanStartDate,ROW(PaymentSchedule3[[#This Row],[Payment Number]])-ROW(PaymentSchedule3[[#Headers],[Payment Number]])-2)+DAY(LoanStartDate),"")</f>
        <v>56273</v>
      </c>
      <c r="D369" s="25">
        <f ca="1">IF(PaymentSchedule3[[#This Row],[Payment Number]]&lt;&gt;"",IF(ROW()-ROW(PaymentSchedule3[[#Headers],[Beginning
Balance]])=1,LoanAmount,INDEX(PaymentSchedule3[Ending
Balance],ROW()-ROW(PaymentSchedule3[[#Headers],[Beginning
Balance]])-1)),"")</f>
        <v>10869.696706780924</v>
      </c>
      <c r="E369" s="25">
        <f ca="1">IF(PaymentSchedule3[[#This Row],[Payment Number]]&lt;&gt;"",ScheduledPayment,"")</f>
        <v>2212.1307964707844</v>
      </c>
      <c r="F3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69" s="25">
        <f ca="1">IF(PaymentSchedule3[[#This Row],[Payment Number]]&lt;&gt;"",PaymentSchedule3[[#This Row],[Total
Payment]]-PaymentSchedule3[[#This Row],[Interest]],"")</f>
        <v>2148.7242323478958</v>
      </c>
      <c r="I369" s="25">
        <f ca="1">IF(PaymentSchedule3[[#This Row],[Payment Number]]&lt;&gt;"",PaymentSchedule3[[#This Row],[Beginning
Balance]]*(InterestRate/PaymentsPerYear),"")</f>
        <v>63.406564122888724</v>
      </c>
      <c r="J369" s="25">
        <f ca="1">IF(PaymentSchedule3[[#This Row],[Payment Number]]&lt;&gt;"",IF(PaymentSchedule3[[#This Row],[Scheduled Payment]]+PaymentSchedule3[[#This Row],[Extra
Payment]]&lt;=PaymentSchedule3[[#This Row],[Beginning
Balance]],PaymentSchedule3[[#This Row],[Beginning
Balance]]-PaymentSchedule3[[#This Row],[Principal]],0),"")</f>
        <v>8720.9724744330269</v>
      </c>
      <c r="K369" s="25">
        <f ca="1">IF(PaymentSchedule3[[#This Row],[Payment Number]]&lt;&gt;"",SUM(INDEX(PaymentSchedule3[Interest],1,1):PaymentSchedule3[[#This Row],[Interest]]),"")</f>
        <v>463739.53601803217</v>
      </c>
      <c r="L369" s="25">
        <f ca="1">IF(PaymentSchedule3[[#This Row],[Payment Number]]&lt;&gt;"",SUM(INDEX(PaymentSchedule3[Principal],1,1):PaymentSchedule3[[#This Row],[Principal]]),"")</f>
        <v>323779.02752556728</v>
      </c>
    </row>
    <row r="370" spans="2:12" x14ac:dyDescent="0.25">
      <c r="B370" s="23">
        <f ca="1">IF(LoanIsGood,IF(ROW()-ROW(PaymentSchedule3[[#Headers],[Payment Number]])&gt;ScheduledNumberOfPayments,"",ROW()-ROW(PaymentSchedule3[[#Headers],[Payment Number]])),"")</f>
        <v>357</v>
      </c>
      <c r="C370" s="24">
        <f ca="1">IF(PaymentSchedule3[[#This Row],[Payment Number]]&lt;&gt;"",EOMONTH(LoanStartDate,ROW(PaymentSchedule3[[#This Row],[Payment Number]])-ROW(PaymentSchedule3[[#Headers],[Payment Number]])-2)+DAY(LoanStartDate),"")</f>
        <v>56304</v>
      </c>
      <c r="D370" s="25">
        <f ca="1">IF(PaymentSchedule3[[#This Row],[Payment Number]]&lt;&gt;"",IF(ROW()-ROW(PaymentSchedule3[[#Headers],[Beginning
Balance]])=1,LoanAmount,INDEX(PaymentSchedule3[Ending
Balance],ROW()-ROW(PaymentSchedule3[[#Headers],[Beginning
Balance]])-1)),"")</f>
        <v>8720.9724744330269</v>
      </c>
      <c r="E370" s="25">
        <f ca="1">IF(PaymentSchedule3[[#This Row],[Payment Number]]&lt;&gt;"",ScheduledPayment,"")</f>
        <v>2212.1307964707844</v>
      </c>
      <c r="F3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70" s="25">
        <f ca="1">IF(PaymentSchedule3[[#This Row],[Payment Number]]&lt;&gt;"",PaymentSchedule3[[#This Row],[Total
Payment]]-PaymentSchedule3[[#This Row],[Interest]],"")</f>
        <v>2161.2584570365916</v>
      </c>
      <c r="I370" s="25">
        <f ca="1">IF(PaymentSchedule3[[#This Row],[Payment Number]]&lt;&gt;"",PaymentSchedule3[[#This Row],[Beginning
Balance]]*(InterestRate/PaymentsPerYear),"")</f>
        <v>50.872339434192661</v>
      </c>
      <c r="J370" s="25">
        <f ca="1">IF(PaymentSchedule3[[#This Row],[Payment Number]]&lt;&gt;"",IF(PaymentSchedule3[[#This Row],[Scheduled Payment]]+PaymentSchedule3[[#This Row],[Extra
Payment]]&lt;=PaymentSchedule3[[#This Row],[Beginning
Balance]],PaymentSchedule3[[#This Row],[Beginning
Balance]]-PaymentSchedule3[[#This Row],[Principal]],0),"")</f>
        <v>6559.7140173964353</v>
      </c>
      <c r="K370" s="25">
        <f ca="1">IF(PaymentSchedule3[[#This Row],[Payment Number]]&lt;&gt;"",SUM(INDEX(PaymentSchedule3[Interest],1,1):PaymentSchedule3[[#This Row],[Interest]]),"")</f>
        <v>463790.40835746634</v>
      </c>
      <c r="L370" s="25">
        <f ca="1">IF(PaymentSchedule3[[#This Row],[Payment Number]]&lt;&gt;"",SUM(INDEX(PaymentSchedule3[Principal],1,1):PaymentSchedule3[[#This Row],[Principal]]),"")</f>
        <v>325940.28598260385</v>
      </c>
    </row>
    <row r="371" spans="2:12" x14ac:dyDescent="0.25">
      <c r="B371" s="23">
        <f ca="1">IF(LoanIsGood,IF(ROW()-ROW(PaymentSchedule3[[#Headers],[Payment Number]])&gt;ScheduledNumberOfPayments,"",ROW()-ROW(PaymentSchedule3[[#Headers],[Payment Number]])),"")</f>
        <v>358</v>
      </c>
      <c r="C371" s="24">
        <f ca="1">IF(PaymentSchedule3[[#This Row],[Payment Number]]&lt;&gt;"",EOMONTH(LoanStartDate,ROW(PaymentSchedule3[[#This Row],[Payment Number]])-ROW(PaymentSchedule3[[#Headers],[Payment Number]])-2)+DAY(LoanStartDate),"")</f>
        <v>56332</v>
      </c>
      <c r="D371" s="25">
        <f ca="1">IF(PaymentSchedule3[[#This Row],[Payment Number]]&lt;&gt;"",IF(ROW()-ROW(PaymentSchedule3[[#Headers],[Beginning
Balance]])=1,LoanAmount,INDEX(PaymentSchedule3[Ending
Balance],ROW()-ROW(PaymentSchedule3[[#Headers],[Beginning
Balance]])-1)),"")</f>
        <v>6559.7140173964353</v>
      </c>
      <c r="E371" s="25">
        <f ca="1">IF(PaymentSchedule3[[#This Row],[Payment Number]]&lt;&gt;"",ScheduledPayment,"")</f>
        <v>2212.1307964707844</v>
      </c>
      <c r="F3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71" s="25">
        <f ca="1">IF(PaymentSchedule3[[#This Row],[Payment Number]]&lt;&gt;"",PaymentSchedule3[[#This Row],[Total
Payment]]-PaymentSchedule3[[#This Row],[Interest]],"")</f>
        <v>2173.8657980359717</v>
      </c>
      <c r="I371" s="25">
        <f ca="1">IF(PaymentSchedule3[[#This Row],[Payment Number]]&lt;&gt;"",PaymentSchedule3[[#This Row],[Beginning
Balance]]*(InterestRate/PaymentsPerYear),"")</f>
        <v>38.26499843481254</v>
      </c>
      <c r="J371" s="25">
        <f ca="1">IF(PaymentSchedule3[[#This Row],[Payment Number]]&lt;&gt;"",IF(PaymentSchedule3[[#This Row],[Scheduled Payment]]+PaymentSchedule3[[#This Row],[Extra
Payment]]&lt;=PaymentSchedule3[[#This Row],[Beginning
Balance]],PaymentSchedule3[[#This Row],[Beginning
Balance]]-PaymentSchedule3[[#This Row],[Principal]],0),"")</f>
        <v>4385.8482193604632</v>
      </c>
      <c r="K371" s="25">
        <f ca="1">IF(PaymentSchedule3[[#This Row],[Payment Number]]&lt;&gt;"",SUM(INDEX(PaymentSchedule3[Interest],1,1):PaymentSchedule3[[#This Row],[Interest]]),"")</f>
        <v>463828.67335590115</v>
      </c>
      <c r="L371" s="25">
        <f ca="1">IF(PaymentSchedule3[[#This Row],[Payment Number]]&lt;&gt;"",SUM(INDEX(PaymentSchedule3[Principal],1,1):PaymentSchedule3[[#This Row],[Principal]]),"")</f>
        <v>328114.15178063983</v>
      </c>
    </row>
    <row r="372" spans="2:12" x14ac:dyDescent="0.25">
      <c r="B372" s="23">
        <f ca="1">IF(LoanIsGood,IF(ROW()-ROW(PaymentSchedule3[[#Headers],[Payment Number]])&gt;ScheduledNumberOfPayments,"",ROW()-ROW(PaymentSchedule3[[#Headers],[Payment Number]])),"")</f>
        <v>359</v>
      </c>
      <c r="C372" s="24">
        <f ca="1">IF(PaymentSchedule3[[#This Row],[Payment Number]]&lt;&gt;"",EOMONTH(LoanStartDate,ROW(PaymentSchedule3[[#This Row],[Payment Number]])-ROW(PaymentSchedule3[[#Headers],[Payment Number]])-2)+DAY(LoanStartDate),"")</f>
        <v>56363</v>
      </c>
      <c r="D372" s="25">
        <f ca="1">IF(PaymentSchedule3[[#This Row],[Payment Number]]&lt;&gt;"",IF(ROW()-ROW(PaymentSchedule3[[#Headers],[Beginning
Balance]])=1,LoanAmount,INDEX(PaymentSchedule3[Ending
Balance],ROW()-ROW(PaymentSchedule3[[#Headers],[Beginning
Balance]])-1)),"")</f>
        <v>4385.8482193604632</v>
      </c>
      <c r="E372" s="25">
        <f ca="1">IF(PaymentSchedule3[[#This Row],[Payment Number]]&lt;&gt;"",ScheduledPayment,"")</f>
        <v>2212.1307964707844</v>
      </c>
      <c r="F3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2212.1307964707844</v>
      </c>
      <c r="H372" s="25">
        <f ca="1">IF(PaymentSchedule3[[#This Row],[Payment Number]]&lt;&gt;"",PaymentSchedule3[[#This Row],[Total
Payment]]-PaymentSchedule3[[#This Row],[Interest]],"")</f>
        <v>2186.5466818578484</v>
      </c>
      <c r="I372" s="25">
        <f ca="1">IF(PaymentSchedule3[[#This Row],[Payment Number]]&lt;&gt;"",PaymentSchedule3[[#This Row],[Beginning
Balance]]*(InterestRate/PaymentsPerYear),"")</f>
        <v>25.584114612936038</v>
      </c>
      <c r="J372" s="25">
        <f ca="1">IF(PaymentSchedule3[[#This Row],[Payment Number]]&lt;&gt;"",IF(PaymentSchedule3[[#This Row],[Scheduled Payment]]+PaymentSchedule3[[#This Row],[Extra
Payment]]&lt;=PaymentSchedule3[[#This Row],[Beginning
Balance]],PaymentSchedule3[[#This Row],[Beginning
Balance]]-PaymentSchedule3[[#This Row],[Principal]],0),"")</f>
        <v>2199.3015375026148</v>
      </c>
      <c r="K372" s="25">
        <f ca="1">IF(PaymentSchedule3[[#This Row],[Payment Number]]&lt;&gt;"",SUM(INDEX(PaymentSchedule3[Interest],1,1):PaymentSchedule3[[#This Row],[Interest]]),"")</f>
        <v>463854.2574705141</v>
      </c>
      <c r="L372" s="25">
        <f ca="1">IF(PaymentSchedule3[[#This Row],[Payment Number]]&lt;&gt;"",SUM(INDEX(PaymentSchedule3[Principal],1,1):PaymentSchedule3[[#This Row],[Principal]]),"")</f>
        <v>330300.69846249768</v>
      </c>
    </row>
    <row r="373" spans="2:12" x14ac:dyDescent="0.25">
      <c r="B373" s="23">
        <f ca="1">IF(LoanIsGood,IF(ROW()-ROW(PaymentSchedule3[[#Headers],[Payment Number]])&gt;ScheduledNumberOfPayments,"",ROW()-ROW(PaymentSchedule3[[#Headers],[Payment Number]])),"")</f>
        <v>360</v>
      </c>
      <c r="C373" s="24">
        <f ca="1">IF(PaymentSchedule3[[#This Row],[Payment Number]]&lt;&gt;"",EOMONTH(LoanStartDate,ROW(PaymentSchedule3[[#This Row],[Payment Number]])-ROW(PaymentSchedule3[[#Headers],[Payment Number]])-2)+DAY(LoanStartDate),"")</f>
        <v>56393</v>
      </c>
      <c r="D373" s="25">
        <f ca="1">IF(PaymentSchedule3[[#This Row],[Payment Number]]&lt;&gt;"",IF(ROW()-ROW(PaymentSchedule3[[#Headers],[Beginning
Balance]])=1,LoanAmount,INDEX(PaymentSchedule3[Ending
Balance],ROW()-ROW(PaymentSchedule3[[#Headers],[Beginning
Balance]])-1)),"")</f>
        <v>2199.3015375026148</v>
      </c>
      <c r="E373" s="25">
        <f ca="1">IF(PaymentSchedule3[[#This Row],[Payment Number]]&lt;&gt;"",ScheduledPayment,"")</f>
        <v>2212.1307964707844</v>
      </c>
      <c r="F3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2199.3015375026148</v>
      </c>
      <c r="H373" s="25">
        <f ca="1">IF(PaymentSchedule3[[#This Row],[Payment Number]]&lt;&gt;"",PaymentSchedule3[[#This Row],[Total
Payment]]-PaymentSchedule3[[#This Row],[Interest]],"")</f>
        <v>2186.4722785338495</v>
      </c>
      <c r="I373" s="25">
        <f ca="1">IF(PaymentSchedule3[[#This Row],[Payment Number]]&lt;&gt;"",PaymentSchedule3[[#This Row],[Beginning
Balance]]*(InterestRate/PaymentsPerYear),"")</f>
        <v>12.829258968765254</v>
      </c>
      <c r="J373" s="25">
        <f ca="1">IF(PaymentSchedule3[[#This Row],[Payment Number]]&lt;&gt;"",IF(PaymentSchedule3[[#This Row],[Scheduled Payment]]+PaymentSchedule3[[#This Row],[Extra
Payment]]&lt;=PaymentSchedule3[[#This Row],[Beginning
Balance]],PaymentSchedule3[[#This Row],[Beginning
Balance]]-PaymentSchedule3[[#This Row],[Principal]],0),"")</f>
        <v>0</v>
      </c>
      <c r="K373" s="25">
        <f ca="1">IF(PaymentSchedule3[[#This Row],[Payment Number]]&lt;&gt;"",SUM(INDEX(PaymentSchedule3[Interest],1,1):PaymentSchedule3[[#This Row],[Interest]]),"")</f>
        <v>463867.08672948286</v>
      </c>
      <c r="L373" s="25">
        <f ca="1">IF(PaymentSchedule3[[#This Row],[Payment Number]]&lt;&gt;"",SUM(INDEX(PaymentSchedule3[Principal],1,1):PaymentSchedule3[[#This Row],[Principal]]),"")</f>
        <v>332487.17074103153</v>
      </c>
    </row>
    <row r="374" spans="2:12" x14ac:dyDescent="0.25">
      <c r="B374" s="23" t="str">
        <f ca="1">IF(LoanIsGood,IF(ROW()-ROW(PaymentSchedule3[[#Headers],[Payment Number]])&gt;ScheduledNumberOfPayments,"",ROW()-ROW(PaymentSchedule3[[#Headers],[Payment Number]])),"")</f>
        <v/>
      </c>
      <c r="C374" s="24" t="str">
        <f ca="1">IF(PaymentSchedule3[[#This Row],[Payment Number]]&lt;&gt;"",EOMONTH(LoanStartDate,ROW(PaymentSchedule3[[#This Row],[Payment Number]])-ROW(PaymentSchedule3[[#Headers],[Payment Number]])-2)+DAY(LoanStartDate),"")</f>
        <v/>
      </c>
      <c r="D374" s="25" t="str">
        <f ca="1">IF(PaymentSchedule3[[#This Row],[Payment Number]]&lt;&gt;"",IF(ROW()-ROW(PaymentSchedule3[[#Headers],[Beginning
Balance]])=1,LoanAmount,INDEX(PaymentSchedule3[Ending
Balance],ROW()-ROW(PaymentSchedule3[[#Headers],[Beginning
Balance]])-1)),"")</f>
        <v/>
      </c>
      <c r="E374" s="25" t="str">
        <f ca="1">IF(PaymentSchedule3[[#This Row],[Payment Number]]&lt;&gt;"",ScheduledPayment,"")</f>
        <v/>
      </c>
      <c r="F374" s="25"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4" s="25"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4" s="25" t="str">
        <f ca="1">IF(PaymentSchedule3[[#This Row],[Payment Number]]&lt;&gt;"",PaymentSchedule3[[#This Row],[Total
Payment]]-PaymentSchedule3[[#This Row],[Interest]],"")</f>
        <v/>
      </c>
      <c r="I374" s="25" t="str">
        <f ca="1">IF(PaymentSchedule3[[#This Row],[Payment Number]]&lt;&gt;"",PaymentSchedule3[[#This Row],[Beginning
Balance]]*(InterestRate/PaymentsPerYear),"")</f>
        <v/>
      </c>
      <c r="J374" s="25" t="str">
        <f ca="1">IF(PaymentSchedule3[[#This Row],[Payment Number]]&lt;&gt;"",IF(PaymentSchedule3[[#This Row],[Scheduled Payment]]+PaymentSchedule3[[#This Row],[Extra
Payment]]&lt;=PaymentSchedule3[[#This Row],[Beginning
Balance]],PaymentSchedule3[[#This Row],[Beginning
Balance]]-PaymentSchedule3[[#This Row],[Principal]],0),"")</f>
        <v/>
      </c>
      <c r="K374" s="25" t="str">
        <f ca="1">IF(PaymentSchedule3[[#This Row],[Payment Number]]&lt;&gt;"",SUM(INDEX(PaymentSchedule3[Interest],1,1):PaymentSchedule3[[#This Row],[Interest]]),"")</f>
        <v/>
      </c>
      <c r="L374" s="25" t="str">
        <f ca="1">IF(PaymentSchedule3[[#This Row],[Payment Number]]&lt;&gt;"",SUM(INDEX(PaymentSchedule3[Principal],1,1):PaymentSchedule3[[#This Row],[Principal]]),"")</f>
        <v/>
      </c>
    </row>
    <row r="375" spans="2:12" x14ac:dyDescent="0.25">
      <c r="B375" s="23" t="str">
        <f ca="1">IF(LoanIsGood,IF(ROW()-ROW(PaymentSchedule3[[#Headers],[Payment Number]])&gt;ScheduledNumberOfPayments,"",ROW()-ROW(PaymentSchedule3[[#Headers],[Payment Number]])),"")</f>
        <v/>
      </c>
      <c r="C375" s="24" t="str">
        <f ca="1">IF(PaymentSchedule3[[#This Row],[Payment Number]]&lt;&gt;"",EOMONTH(LoanStartDate,ROW(PaymentSchedule3[[#This Row],[Payment Number]])-ROW(PaymentSchedule3[[#Headers],[Payment Number]])-2)+DAY(LoanStartDate),"")</f>
        <v/>
      </c>
      <c r="D375" s="25" t="str">
        <f ca="1">IF(PaymentSchedule3[[#This Row],[Payment Number]]&lt;&gt;"",IF(ROW()-ROW(PaymentSchedule3[[#Headers],[Beginning
Balance]])=1,LoanAmount,INDEX(PaymentSchedule3[Ending
Balance],ROW()-ROW(PaymentSchedule3[[#Headers],[Beginning
Balance]])-1)),"")</f>
        <v/>
      </c>
      <c r="E375" s="25" t="str">
        <f ca="1">IF(PaymentSchedule3[[#This Row],[Payment Number]]&lt;&gt;"",ScheduledPayment,"")</f>
        <v/>
      </c>
      <c r="F375" s="25"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5" s="25"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5" s="25" t="str">
        <f ca="1">IF(PaymentSchedule3[[#This Row],[Payment Number]]&lt;&gt;"",PaymentSchedule3[[#This Row],[Total
Payment]]-PaymentSchedule3[[#This Row],[Interest]],"")</f>
        <v/>
      </c>
      <c r="I375" s="25" t="str">
        <f ca="1">IF(PaymentSchedule3[[#This Row],[Payment Number]]&lt;&gt;"",PaymentSchedule3[[#This Row],[Beginning
Balance]]*(InterestRate/PaymentsPerYear),"")</f>
        <v/>
      </c>
      <c r="J375" s="25" t="str">
        <f ca="1">IF(PaymentSchedule3[[#This Row],[Payment Number]]&lt;&gt;"",IF(PaymentSchedule3[[#This Row],[Scheduled Payment]]+PaymentSchedule3[[#This Row],[Extra
Payment]]&lt;=PaymentSchedule3[[#This Row],[Beginning
Balance]],PaymentSchedule3[[#This Row],[Beginning
Balance]]-PaymentSchedule3[[#This Row],[Principal]],0),"")</f>
        <v/>
      </c>
      <c r="K375" s="25" t="str">
        <f ca="1">IF(PaymentSchedule3[[#This Row],[Payment Number]]&lt;&gt;"",SUM(INDEX(PaymentSchedule3[Interest],1,1):PaymentSchedule3[[#This Row],[Interest]]),"")</f>
        <v/>
      </c>
      <c r="L375" s="25" t="str">
        <f ca="1">IF(PaymentSchedule3[[#This Row],[Payment Number]]&lt;&gt;"",SUM(INDEX(PaymentSchedule3[Principal],1,1):PaymentSchedule3[[#This Row],[Principal]]),"")</f>
        <v/>
      </c>
    </row>
  </sheetData>
  <sheetProtection algorithmName="SHA-512" hashValue="ZImDFdl/fwEgUXpnWF0z5tPi/O8WmaK4dgh1l9ri770y7FcxoeLJknEIX+mjC0qdHVmOAaqcgPAx0jlkBOGzkw==" saltValue="qWxVv4NUae/ChxzVUFagKw==" spinCount="100000" sheet="1" objects="1" scenarios="1"/>
  <mergeCells count="20">
    <mergeCell ref="G5:H5"/>
    <mergeCell ref="I5:K5"/>
    <mergeCell ref="G6:H6"/>
    <mergeCell ref="I6:K6"/>
    <mergeCell ref="C2:K2"/>
    <mergeCell ref="B5:D5"/>
    <mergeCell ref="B6:D6"/>
    <mergeCell ref="B7:D7"/>
    <mergeCell ref="G7:H7"/>
    <mergeCell ref="I7:K7"/>
    <mergeCell ref="G8:H8"/>
    <mergeCell ref="I8:K8"/>
    <mergeCell ref="B8:D8"/>
    <mergeCell ref="B9:C9"/>
    <mergeCell ref="B11:D11"/>
    <mergeCell ref="G9:H9"/>
    <mergeCell ref="I9:K9"/>
    <mergeCell ref="I10:K10"/>
    <mergeCell ref="G11:H11"/>
    <mergeCell ref="I11:K11"/>
  </mergeCells>
  <conditionalFormatting sqref="B14:K375">
    <cfRule type="expression" dxfId="30" priority="1">
      <formula>($B14="")+(($D14=0)*($F14=0))</formula>
    </cfRule>
  </conditionalFormatting>
  <dataValidations count="25">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E66544D4-4148-4B97-A686-62F3E8BA6D42}"/>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3A360FA2-AC80-4D4C-A182-5949DE831937}"/>
    <dataValidation allowBlank="1" showInputMessage="1" showErrorMessage="1" prompt="Enter Loan Amount in this cell" sqref="E5" xr:uid="{A8FD2C6B-0619-4385-9C1B-BB9E89167B95}"/>
    <dataValidation allowBlank="1" showInputMessage="1" showErrorMessage="1" prompt="Enter interest rate to be paid annually in this cell" sqref="E6" xr:uid="{D4A44E56-2418-495E-9BCA-5BCFE5E96E74}"/>
    <dataValidation allowBlank="1" showInputMessage="1" showErrorMessage="1" prompt="Enter loan period in years in this cell" sqref="E7" xr:uid="{0397BDA9-9E78-4890-A6B2-28C2D9B7E9A3}"/>
    <dataValidation allowBlank="1" showInputMessage="1" showErrorMessage="1" prompt="Enter the number of payments to be made in a year in this cell" sqref="E8" xr:uid="{6080DD76-3A8E-4C1B-8CE2-553DA61F4240}"/>
    <dataValidation allowBlank="1" showInputMessage="1" showErrorMessage="1" prompt="Enter the start date of loan in this cell" sqref="E9" xr:uid="{FC353A50-0E99-4F96-BF86-15FD00A62E5B}"/>
    <dataValidation allowBlank="1" showInputMessage="1" showErrorMessage="1" prompt="Enter the amount of extra payment in this cell" sqref="E11" xr:uid="{E7BD987D-D7CA-4DBA-99CC-298791804D75}"/>
    <dataValidation allowBlank="1" showInputMessage="1" showErrorMessage="1" prompt="Automatically calculated total interest" sqref="I9" xr:uid="{B6A179D9-4B93-4C7C-810A-F12B7FC8EE4B}"/>
    <dataValidation allowBlank="1" showInputMessage="1" showErrorMessage="1" prompt="Automatically updated scheduled payment amount" sqref="I5" xr:uid="{F2DD4887-845B-455E-BAEB-57AC02B59F2F}"/>
    <dataValidation allowBlank="1" showInputMessage="1" showErrorMessage="1" prompt="Automatically updated scheduled number of payments" sqref="I6" xr:uid="{9388C63A-AFBA-4C17-AB2F-0D309F8CB992}"/>
    <dataValidation allowBlank="1" showInputMessage="1" showErrorMessage="1" prompt="Automatically updated actual number of payments" sqref="I7" xr:uid="{600C4CB5-0E5A-4CEE-BC4A-375DABB3F52A}"/>
    <dataValidation allowBlank="1" showInputMessage="1" showErrorMessage="1" prompt="Automatically updated total early payments" sqref="I8" xr:uid="{3883319A-5381-4298-8BB5-27FAE8093B26}"/>
    <dataValidation allowBlank="1" showInputMessage="1" showErrorMessage="1" prompt="Payment number is automatically updated in this column" sqref="B13" xr:uid="{7CD0DAF3-B8F5-4728-9D9A-857ACB918E70}"/>
    <dataValidation allowBlank="1" showInputMessage="1" showErrorMessage="1" prompt="Payment date is automatically updated in this column" sqref="C13" xr:uid="{325B9C27-C801-4377-A9FF-2E51A0980179}"/>
    <dataValidation allowBlank="1" showInputMessage="1" showErrorMessage="1" prompt="Beginning balance is automatically updated in this column" sqref="D13" xr:uid="{2E0465BF-3149-4770-AEF5-578C39256318}"/>
    <dataValidation allowBlank="1" showInputMessage="1" showErrorMessage="1" prompt="Scheduled payment is automatically updated in this column" sqref="E13" xr:uid="{AC827F85-C60C-4034-B766-81C176B18CAB}"/>
    <dataValidation allowBlank="1" showInputMessage="1" showErrorMessage="1" prompt="Extra payment is automatically updated in this column" sqref="F13" xr:uid="{9319C4EA-8B01-41B2-8CEC-4840852D26BD}"/>
    <dataValidation allowBlank="1" showInputMessage="1" showErrorMessage="1" prompt="Total payment is automatically updated in this column" sqref="G13" xr:uid="{879F7196-49CB-4D6D-AF3E-A97252EA5D0E}"/>
    <dataValidation allowBlank="1" showInputMessage="1" showErrorMessage="1" prompt="Principal is automatically updated in this column" sqref="H13" xr:uid="{06FC0B54-F6BE-4962-88AF-58C6CF8BFA28}"/>
    <dataValidation allowBlank="1" showInputMessage="1" showErrorMessage="1" prompt="Interest is automatically updated in this column" sqref="I13" xr:uid="{46B3C13B-2AD3-488F-B3D3-CDE3BD29EE21}"/>
    <dataValidation allowBlank="1" showInputMessage="1" showErrorMessage="1" prompt="Ending balance is automatically updated in this column" sqref="J13" xr:uid="{9E9FE9EC-8AAF-4F4C-8DD9-0DD4E618C907}"/>
    <dataValidation allowBlank="1" showInputMessage="1" showErrorMessage="1" prompt="Cumulative interest is automatically updated in this column" sqref="K13" xr:uid="{39FCF65A-8BF2-4A41-956A-9264E8590921}"/>
  </dataValidations>
  <printOptions horizontalCentered="1"/>
  <pageMargins left="0.4" right="0.4" top="0.4" bottom="0.5" header="0.3" footer="0.3"/>
  <pageSetup scale="7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2E6F-06A3-47B9-B0FE-9D083F3BCE11}">
  <sheetPr codeName="Sheet4">
    <tabColor theme="4" tint="-0.499984740745262"/>
    <pageSetUpPr autoPageBreaks="0" fitToPage="1"/>
  </sheetPr>
  <dimension ref="B1:O375"/>
  <sheetViews>
    <sheetView showGridLines="0" topLeftCell="A5" zoomScaleNormal="100" workbookViewId="0">
      <selection activeCell="E7" sqref="E7"/>
    </sheetView>
  </sheetViews>
  <sheetFormatPr defaultColWidth="8.85546875" defaultRowHeight="15" x14ac:dyDescent="0.25"/>
  <cols>
    <col min="1" max="1" width="3.5703125" style="6" customWidth="1"/>
    <col min="2" max="2" width="12.85546875" style="6" customWidth="1"/>
    <col min="3" max="3" width="14.7109375" style="6" customWidth="1"/>
    <col min="4" max="4" width="16.7109375" style="6" customWidth="1"/>
    <col min="5" max="10" width="15.7109375" style="6" customWidth="1"/>
    <col min="11" max="12" width="17.7109375" style="6" customWidth="1"/>
    <col min="13" max="14" width="24.85546875" style="6" customWidth="1"/>
    <col min="15" max="15" width="25.42578125" style="6" customWidth="1"/>
    <col min="16" max="16384" width="8.85546875" style="6"/>
  </cols>
  <sheetData>
    <row r="1" spans="2:15" ht="21" customHeight="1" x14ac:dyDescent="0.25">
      <c r="B1" s="5"/>
      <c r="C1" s="5"/>
      <c r="D1" s="5"/>
      <c r="E1" s="5"/>
      <c r="F1" s="5"/>
      <c r="G1" s="5"/>
      <c r="H1" s="5"/>
      <c r="I1" s="5"/>
      <c r="J1" s="5"/>
      <c r="K1" s="5"/>
      <c r="L1" s="5"/>
    </row>
    <row r="2" spans="2:15" ht="67.900000000000006" customHeight="1" x14ac:dyDescent="0.25">
      <c r="B2" s="5"/>
      <c r="C2" s="115" t="s">
        <v>40</v>
      </c>
      <c r="D2" s="115"/>
      <c r="E2" s="115"/>
      <c r="F2" s="115"/>
      <c r="G2" s="115"/>
      <c r="H2" s="115"/>
      <c r="I2" s="115"/>
      <c r="J2" s="115"/>
      <c r="K2" s="115"/>
      <c r="L2" s="44"/>
    </row>
    <row r="3" spans="2:15" ht="24" customHeight="1" x14ac:dyDescent="0.25">
      <c r="B3" s="5"/>
      <c r="C3" s="5"/>
      <c r="D3" s="5"/>
      <c r="E3" s="5"/>
      <c r="F3" s="5"/>
      <c r="G3" s="5"/>
      <c r="H3" s="5"/>
      <c r="I3" s="5"/>
      <c r="J3" s="5"/>
      <c r="K3" s="5"/>
      <c r="L3" s="5"/>
    </row>
    <row r="4" spans="2:15" ht="37.9" customHeight="1" x14ac:dyDescent="0.25">
      <c r="B4" s="7" t="s">
        <v>26</v>
      </c>
      <c r="C4" s="7"/>
      <c r="D4" s="8"/>
      <c r="E4" s="9"/>
      <c r="G4" s="10" t="s">
        <v>25</v>
      </c>
      <c r="H4" s="9"/>
      <c r="I4" s="9"/>
      <c r="J4" s="11"/>
    </row>
    <row r="5" spans="2:15" ht="24" customHeight="1" x14ac:dyDescent="0.25">
      <c r="B5" s="99" t="s">
        <v>24</v>
      </c>
      <c r="C5" s="99"/>
      <c r="D5" s="107"/>
      <c r="E5" s="12">
        <f>InitLoanAmt</f>
        <v>332500</v>
      </c>
      <c r="G5" s="112" t="s">
        <v>23</v>
      </c>
      <c r="H5" s="113"/>
      <c r="I5" s="114">
        <f ca="1">IF(LoanIsGood,-PMT(InterestRate/PaymentsPerYear,ScheduledNumberOfPayments,LoanAmount),"")</f>
        <v>1784.9318965153623</v>
      </c>
      <c r="J5" s="114"/>
      <c r="K5" s="114"/>
      <c r="L5" s="71"/>
    </row>
    <row r="6" spans="2:15" ht="24" customHeight="1" x14ac:dyDescent="0.25">
      <c r="B6" s="99" t="s">
        <v>22</v>
      </c>
      <c r="C6" s="99"/>
      <c r="D6" s="107"/>
      <c r="E6" s="13">
        <f>LoMtgRate</f>
        <v>0.05</v>
      </c>
      <c r="G6" s="108" t="s">
        <v>21</v>
      </c>
      <c r="H6" s="109"/>
      <c r="I6" s="110">
        <f ca="1">IF(LoanIsGood,LoanPeriod*PaymentsPerYear,"")</f>
        <v>360</v>
      </c>
      <c r="J6" s="110"/>
      <c r="K6" s="110"/>
      <c r="L6" s="72"/>
    </row>
    <row r="7" spans="2:15" ht="24" customHeight="1" x14ac:dyDescent="0.25">
      <c r="B7" s="99" t="s">
        <v>20</v>
      </c>
      <c r="C7" s="99"/>
      <c r="D7" s="107"/>
      <c r="E7" s="14">
        <f>InitLoanTerm</f>
        <v>30</v>
      </c>
      <c r="G7" s="108" t="s">
        <v>19</v>
      </c>
      <c r="H7" s="109"/>
      <c r="I7" s="110" t="str">
        <f>ActualNumberOfPayments</f>
        <v/>
      </c>
      <c r="J7" s="110"/>
      <c r="K7" s="110"/>
      <c r="L7" s="72"/>
    </row>
    <row r="8" spans="2:15" ht="24" customHeight="1" x14ac:dyDescent="0.25">
      <c r="B8" s="99" t="s">
        <v>18</v>
      </c>
      <c r="C8" s="99"/>
      <c r="D8" s="107"/>
      <c r="E8" s="14">
        <v>12</v>
      </c>
      <c r="G8" s="108" t="s">
        <v>17</v>
      </c>
      <c r="H8" s="109"/>
      <c r="I8" s="111">
        <f ca="1">TotalEarlyPayments</f>
        <v>0</v>
      </c>
      <c r="J8" s="111"/>
      <c r="K8" s="111"/>
      <c r="L8" s="71"/>
    </row>
    <row r="9" spans="2:15" ht="24" customHeight="1" x14ac:dyDescent="0.25">
      <c r="B9" s="99" t="s">
        <v>16</v>
      </c>
      <c r="C9" s="99"/>
      <c r="D9" s="15"/>
      <c r="E9" s="16">
        <f ca="1">TODAY()</f>
        <v>45467</v>
      </c>
      <c r="G9" s="101" t="s">
        <v>15</v>
      </c>
      <c r="H9" s="102"/>
      <c r="I9" s="103">
        <f ca="1">TotalInterest</f>
        <v>310075.48274552997</v>
      </c>
      <c r="J9" s="103"/>
      <c r="K9" s="103"/>
      <c r="L9" s="71"/>
    </row>
    <row r="10" spans="2:15" ht="12.4" customHeight="1" x14ac:dyDescent="0.25">
      <c r="C10" s="17"/>
      <c r="D10" s="17"/>
      <c r="E10" s="18"/>
      <c r="G10" s="17"/>
      <c r="H10" s="17"/>
      <c r="I10" s="104"/>
      <c r="J10" s="104"/>
      <c r="K10" s="104"/>
      <c r="L10" s="42"/>
    </row>
    <row r="11" spans="2:15" ht="20.65" customHeight="1" x14ac:dyDescent="0.25">
      <c r="B11" s="100" t="s">
        <v>14</v>
      </c>
      <c r="C11" s="100"/>
      <c r="D11" s="100"/>
      <c r="E11" s="19">
        <v>0</v>
      </c>
      <c r="F11" s="20"/>
      <c r="G11" s="105"/>
      <c r="H11" s="105"/>
      <c r="I11" s="106"/>
      <c r="J11" s="106"/>
      <c r="K11" s="106"/>
      <c r="L11" s="43"/>
    </row>
    <row r="12" spans="2:15" ht="31.9" customHeight="1" x14ac:dyDescent="0.25">
      <c r="B12" s="21"/>
    </row>
    <row r="13" spans="2:15" s="22" customFormat="1" ht="48" customHeight="1" x14ac:dyDescent="0.25">
      <c r="B13" s="30" t="s">
        <v>13</v>
      </c>
      <c r="C13" s="30" t="s">
        <v>12</v>
      </c>
      <c r="D13" s="30" t="s">
        <v>11</v>
      </c>
      <c r="E13" s="30" t="s">
        <v>10</v>
      </c>
      <c r="F13" s="30" t="s">
        <v>9</v>
      </c>
      <c r="G13" s="30" t="s">
        <v>8</v>
      </c>
      <c r="H13" s="30" t="s">
        <v>7</v>
      </c>
      <c r="I13" s="30" t="s">
        <v>6</v>
      </c>
      <c r="J13" s="30" t="s">
        <v>5</v>
      </c>
      <c r="K13" s="30" t="s">
        <v>4</v>
      </c>
      <c r="L13" s="30" t="s">
        <v>47</v>
      </c>
      <c r="M13" s="30" t="s">
        <v>37</v>
      </c>
      <c r="N13" s="30" t="s">
        <v>38</v>
      </c>
      <c r="O13" s="30" t="s">
        <v>39</v>
      </c>
    </row>
    <row r="14" spans="2:15" x14ac:dyDescent="0.25">
      <c r="B14" s="23">
        <f ca="1">IF(LoanIsGood,IF(ROW()-ROW(PaymentSchedule33[[#Headers],[Payment Number]])&gt;ScheduledNumberOfPayments,"",ROW()-ROW(PaymentSchedule33[[#Headers],[Payment Number]])),"")</f>
        <v>1</v>
      </c>
      <c r="C14" s="24">
        <f ca="1">IF(PaymentSchedule33[[#This Row],[Payment Number]]&lt;&gt;"",EOMONTH(LoanStartDate,ROW(PaymentSchedule33[[#This Row],[Payment Number]])-ROW(PaymentSchedule33[[#Headers],[Payment Number]])-2)+DAY(LoanStartDate),"")</f>
        <v>45467</v>
      </c>
      <c r="D14" s="25">
        <f ca="1">IF(PaymentSchedule33[[#This Row],[Payment Number]]&lt;&gt;"",IF(ROW()-ROW(PaymentSchedule33[[#Headers],[Beginning
Balance]])=1,LoanAmount,INDEX(PaymentSchedule33[Ending
Balance],ROW()-ROW(PaymentSchedule33[[#Headers],[Beginning
Balance]])-1)),"")</f>
        <v>332500</v>
      </c>
      <c r="E14" s="25">
        <f ca="1">IF(PaymentSchedule33[[#This Row],[Payment Number]]&lt;&gt;"",ScheduledPayment,"")</f>
        <v>1784.9318965153623</v>
      </c>
      <c r="F1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 s="25">
        <f ca="1">IF(PaymentSchedule33[[#This Row],[Payment Number]]&lt;&gt;"",PaymentSchedule33[[#This Row],[Total
Payment]]-PaymentSchedule33[[#This Row],[Interest]],"")</f>
        <v>399.51522984869553</v>
      </c>
      <c r="I14" s="25">
        <f ca="1">IF(PaymentSchedule33[[#This Row],[Payment Number]]&lt;&gt;"",PaymentSchedule33[[#This Row],[Beginning
Balance]]*(InterestRate/PaymentsPerYear),"")</f>
        <v>1385.4166666666667</v>
      </c>
      <c r="J14" s="25">
        <f ca="1">IF(PaymentSchedule33[[#This Row],[Payment Number]]&lt;&gt;"",IF(PaymentSchedule33[[#This Row],[Scheduled Payment]]+PaymentSchedule33[[#This Row],[Extra
Payment]]&lt;=PaymentSchedule33[[#This Row],[Beginning
Balance]],PaymentSchedule33[[#This Row],[Beginning
Balance]]-PaymentSchedule33[[#This Row],[Principal]],0),"")</f>
        <v>332100.48477015132</v>
      </c>
      <c r="K14" s="25">
        <f ca="1">IF(PaymentSchedule33[[#This Row],[Payment Number]]&lt;&gt;"",SUM(INDEX(PaymentSchedule33[Interest],1,1):PaymentSchedule33[[#This Row],[Interest]]),"")</f>
        <v>1385.4166666666667</v>
      </c>
      <c r="L14" s="25">
        <f ca="1">IF(PaymentSchedule33[[#This Row],[Payment Number]]&lt;&gt;"",SUM(INDEX(PaymentSchedule33[Principal],1,1):PaymentSchedule33[[#This Row],[Principal]]),"")</f>
        <v>399.51522984869553</v>
      </c>
      <c r="M14" s="25">
        <f ca="1">PaymentSchedule3[[#This Row],[Total
Payment]]-PaymentSchedule33[[#This Row],[Total
Payment]]</f>
        <v>427.19889995542212</v>
      </c>
      <c r="N14" s="25">
        <f ca="1">PaymentSchedule3[[#This Row],[Interest]]-PaymentSchedule33[[#This Row],[Interest]]</f>
        <v>554.16666666666674</v>
      </c>
      <c r="O14" s="25">
        <f ca="1">PaymentSchedule3[[#This Row],[Cumulative
Interest]]-PaymentSchedule33[[#This Row],[Cumulative
Interest]]</f>
        <v>554.16666666666674</v>
      </c>
    </row>
    <row r="15" spans="2:15" x14ac:dyDescent="0.25">
      <c r="B15" s="23">
        <f ca="1">IF(LoanIsGood,IF(ROW()-ROW(PaymentSchedule33[[#Headers],[Payment Number]])&gt;ScheduledNumberOfPayments,"",ROW()-ROW(PaymentSchedule33[[#Headers],[Payment Number]])),"")</f>
        <v>2</v>
      </c>
      <c r="C15" s="24">
        <f ca="1">IF(PaymentSchedule33[[#This Row],[Payment Number]]&lt;&gt;"",EOMONTH(LoanStartDate,ROW(PaymentSchedule33[[#This Row],[Payment Number]])-ROW(PaymentSchedule33[[#Headers],[Payment Number]])-2)+DAY(LoanStartDate),"")</f>
        <v>45497</v>
      </c>
      <c r="D15" s="25">
        <f ca="1">IF(PaymentSchedule33[[#This Row],[Payment Number]]&lt;&gt;"",IF(ROW()-ROW(PaymentSchedule33[[#Headers],[Beginning
Balance]])=1,LoanAmount,INDEX(PaymentSchedule33[Ending
Balance],ROW()-ROW(PaymentSchedule33[[#Headers],[Beginning
Balance]])-1)),"")</f>
        <v>332100.48477015132</v>
      </c>
      <c r="E15" s="25">
        <f ca="1">IF(PaymentSchedule33[[#This Row],[Payment Number]]&lt;&gt;"",ScheduledPayment,"")</f>
        <v>1784.9318965153623</v>
      </c>
      <c r="F1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 s="25">
        <f ca="1">IF(PaymentSchedule33[[#This Row],[Payment Number]]&lt;&gt;"",PaymentSchedule33[[#This Row],[Total
Payment]]-PaymentSchedule33[[#This Row],[Interest]],"")</f>
        <v>401.17987663973167</v>
      </c>
      <c r="I15" s="25">
        <f ca="1">IF(PaymentSchedule33[[#This Row],[Payment Number]]&lt;&gt;"",PaymentSchedule33[[#This Row],[Beginning
Balance]]*(InterestRate/PaymentsPerYear),"")</f>
        <v>1383.7520198756306</v>
      </c>
      <c r="J15" s="25">
        <f ca="1">IF(PaymentSchedule33[[#This Row],[Payment Number]]&lt;&gt;"",IF(PaymentSchedule33[[#This Row],[Scheduled Payment]]+PaymentSchedule33[[#This Row],[Extra
Payment]]&lt;=PaymentSchedule33[[#This Row],[Beginning
Balance]],PaymentSchedule33[[#This Row],[Beginning
Balance]]-PaymentSchedule33[[#This Row],[Principal]],0),"")</f>
        <v>331699.30489351158</v>
      </c>
      <c r="K15" s="25">
        <f ca="1">IF(PaymentSchedule33[[#This Row],[Payment Number]]&lt;&gt;"",SUM(INDEX(PaymentSchedule33[Interest],1,1):PaymentSchedule33[[#This Row],[Interest]]),"")</f>
        <v>2769.1686865422971</v>
      </c>
      <c r="L15" s="25">
        <f ca="1">IF(PaymentSchedule33[[#This Row],[Payment Number]]&lt;&gt;"",SUM(INDEX(PaymentSchedule33[Principal],1,1):PaymentSchedule33[[#This Row],[Principal]]),"")</f>
        <v>800.6951064884272</v>
      </c>
      <c r="M15" s="25">
        <f ca="1">PaymentSchedule3[[#This Row],[Total
Payment]]-PaymentSchedule33[[#This Row],[Total
Payment]]</f>
        <v>427.19889995542212</v>
      </c>
      <c r="N15" s="25">
        <f ca="1">PaymentSchedule3[[#This Row],[Interest]]-PaymentSchedule33[[#This Row],[Interest]]</f>
        <v>554.24145325606787</v>
      </c>
      <c r="O15" s="25">
        <f ca="1">PaymentSchedule3[[#This Row],[Cumulative
Interest]]-PaymentSchedule33[[#This Row],[Cumulative
Interest]]</f>
        <v>1108.4081199227348</v>
      </c>
    </row>
    <row r="16" spans="2:15" x14ac:dyDescent="0.25">
      <c r="B16" s="23">
        <f ca="1">IF(LoanIsGood,IF(ROW()-ROW(PaymentSchedule33[[#Headers],[Payment Number]])&gt;ScheduledNumberOfPayments,"",ROW()-ROW(PaymentSchedule33[[#Headers],[Payment Number]])),"")</f>
        <v>3</v>
      </c>
      <c r="C16" s="24">
        <f ca="1">IF(PaymentSchedule33[[#This Row],[Payment Number]]&lt;&gt;"",EOMONTH(LoanStartDate,ROW(PaymentSchedule33[[#This Row],[Payment Number]])-ROW(PaymentSchedule33[[#Headers],[Payment Number]])-2)+DAY(LoanStartDate),"")</f>
        <v>45528</v>
      </c>
      <c r="D16" s="25">
        <f ca="1">IF(PaymentSchedule33[[#This Row],[Payment Number]]&lt;&gt;"",IF(ROW()-ROW(PaymentSchedule33[[#Headers],[Beginning
Balance]])=1,LoanAmount,INDEX(PaymentSchedule33[Ending
Balance],ROW()-ROW(PaymentSchedule33[[#Headers],[Beginning
Balance]])-1)),"")</f>
        <v>331699.30489351158</v>
      </c>
      <c r="E16" s="25">
        <f ca="1">IF(PaymentSchedule33[[#This Row],[Payment Number]]&lt;&gt;"",ScheduledPayment,"")</f>
        <v>1784.9318965153623</v>
      </c>
      <c r="F1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 s="25">
        <f ca="1">IF(PaymentSchedule33[[#This Row],[Payment Number]]&lt;&gt;"",PaymentSchedule33[[#This Row],[Total
Payment]]-PaymentSchedule33[[#This Row],[Interest]],"")</f>
        <v>402.85145945906402</v>
      </c>
      <c r="I16" s="25">
        <f ca="1">IF(PaymentSchedule33[[#This Row],[Payment Number]]&lt;&gt;"",PaymentSchedule33[[#This Row],[Beginning
Balance]]*(InterestRate/PaymentsPerYear),"")</f>
        <v>1382.0804370562983</v>
      </c>
      <c r="J16" s="25">
        <f ca="1">IF(PaymentSchedule33[[#This Row],[Payment Number]]&lt;&gt;"",IF(PaymentSchedule33[[#This Row],[Scheduled Payment]]+PaymentSchedule33[[#This Row],[Extra
Payment]]&lt;=PaymentSchedule33[[#This Row],[Beginning
Balance]],PaymentSchedule33[[#This Row],[Beginning
Balance]]-PaymentSchedule33[[#This Row],[Principal]],0),"")</f>
        <v>331296.45343405253</v>
      </c>
      <c r="K16" s="25">
        <f ca="1">IF(PaymentSchedule33[[#This Row],[Payment Number]]&lt;&gt;"",SUM(INDEX(PaymentSchedule33[Interest],1,1):PaymentSchedule33[[#This Row],[Interest]]),"")</f>
        <v>4151.2491235985954</v>
      </c>
      <c r="L16" s="25">
        <f ca="1">IF(PaymentSchedule33[[#This Row],[Payment Number]]&lt;&gt;"",SUM(INDEX(PaymentSchedule33[Principal],1,1):PaymentSchedule33[[#This Row],[Principal]]),"")</f>
        <v>1203.5465659474912</v>
      </c>
      <c r="M16" s="25">
        <f ca="1">PaymentSchedule3[[#This Row],[Total
Payment]]-PaymentSchedule33[[#This Row],[Total
Payment]]</f>
        <v>427.19889995542212</v>
      </c>
      <c r="N16" s="25">
        <f ca="1">PaymentSchedule3[[#This Row],[Interest]]-PaymentSchedule33[[#This Row],[Interest]]</f>
        <v>554.31390168925577</v>
      </c>
      <c r="O16" s="25">
        <f ca="1">PaymentSchedule3[[#This Row],[Cumulative
Interest]]-PaymentSchedule33[[#This Row],[Cumulative
Interest]]</f>
        <v>1662.7220216119904</v>
      </c>
    </row>
    <row r="17" spans="2:15" x14ac:dyDescent="0.25">
      <c r="B17" s="23">
        <f ca="1">IF(LoanIsGood,IF(ROW()-ROW(PaymentSchedule33[[#Headers],[Payment Number]])&gt;ScheduledNumberOfPayments,"",ROW()-ROW(PaymentSchedule33[[#Headers],[Payment Number]])),"")</f>
        <v>4</v>
      </c>
      <c r="C17" s="24">
        <f ca="1">IF(PaymentSchedule33[[#This Row],[Payment Number]]&lt;&gt;"",EOMONTH(LoanStartDate,ROW(PaymentSchedule33[[#This Row],[Payment Number]])-ROW(PaymentSchedule33[[#Headers],[Payment Number]])-2)+DAY(LoanStartDate),"")</f>
        <v>45559</v>
      </c>
      <c r="D17" s="25">
        <f ca="1">IF(PaymentSchedule33[[#This Row],[Payment Number]]&lt;&gt;"",IF(ROW()-ROW(PaymentSchedule33[[#Headers],[Beginning
Balance]])=1,LoanAmount,INDEX(PaymentSchedule33[Ending
Balance],ROW()-ROW(PaymentSchedule33[[#Headers],[Beginning
Balance]])-1)),"")</f>
        <v>331296.45343405253</v>
      </c>
      <c r="E17" s="25">
        <f ca="1">IF(PaymentSchedule33[[#This Row],[Payment Number]]&lt;&gt;"",ScheduledPayment,"")</f>
        <v>1784.9318965153623</v>
      </c>
      <c r="F1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 s="25">
        <f ca="1">IF(PaymentSchedule33[[#This Row],[Payment Number]]&lt;&gt;"",PaymentSchedule33[[#This Row],[Total
Payment]]-PaymentSchedule33[[#This Row],[Interest]],"")</f>
        <v>404.53000720681007</v>
      </c>
      <c r="I17" s="25">
        <f ca="1">IF(PaymentSchedule33[[#This Row],[Payment Number]]&lt;&gt;"",PaymentSchedule33[[#This Row],[Beginning
Balance]]*(InterestRate/PaymentsPerYear),"")</f>
        <v>1380.4018893085522</v>
      </c>
      <c r="J17" s="25">
        <f ca="1">IF(PaymentSchedule33[[#This Row],[Payment Number]]&lt;&gt;"",IF(PaymentSchedule33[[#This Row],[Scheduled Payment]]+PaymentSchedule33[[#This Row],[Extra
Payment]]&lt;=PaymentSchedule33[[#This Row],[Beginning
Balance]],PaymentSchedule33[[#This Row],[Beginning
Balance]]-PaymentSchedule33[[#This Row],[Principal]],0),"")</f>
        <v>330891.92342684569</v>
      </c>
      <c r="K17" s="25">
        <f ca="1">IF(PaymentSchedule33[[#This Row],[Payment Number]]&lt;&gt;"",SUM(INDEX(PaymentSchedule33[Interest],1,1):PaymentSchedule33[[#This Row],[Interest]]),"")</f>
        <v>5531.6510129071476</v>
      </c>
      <c r="L17" s="25">
        <f ca="1">IF(PaymentSchedule33[[#This Row],[Payment Number]]&lt;&gt;"",SUM(INDEX(PaymentSchedule33[Principal],1,1):PaymentSchedule33[[#This Row],[Principal]]),"")</f>
        <v>1608.0765731543013</v>
      </c>
      <c r="M17" s="25">
        <f ca="1">PaymentSchedule3[[#This Row],[Total
Payment]]-PaymentSchedule33[[#This Row],[Total
Payment]]</f>
        <v>427.19889995542212</v>
      </c>
      <c r="N17" s="25">
        <f ca="1">PaymentSchedule3[[#This Row],[Interest]]-PaymentSchedule33[[#This Row],[Interest]]</f>
        <v>554.38398676693782</v>
      </c>
      <c r="O17" s="25">
        <f ca="1">PaymentSchedule3[[#This Row],[Cumulative
Interest]]-PaymentSchedule33[[#This Row],[Cumulative
Interest]]</f>
        <v>2217.106008378928</v>
      </c>
    </row>
    <row r="18" spans="2:15" x14ac:dyDescent="0.25">
      <c r="B18" s="23">
        <f ca="1">IF(LoanIsGood,IF(ROW()-ROW(PaymentSchedule33[[#Headers],[Payment Number]])&gt;ScheduledNumberOfPayments,"",ROW()-ROW(PaymentSchedule33[[#Headers],[Payment Number]])),"")</f>
        <v>5</v>
      </c>
      <c r="C18" s="24">
        <f ca="1">IF(PaymentSchedule33[[#This Row],[Payment Number]]&lt;&gt;"",EOMONTH(LoanStartDate,ROW(PaymentSchedule33[[#This Row],[Payment Number]])-ROW(PaymentSchedule33[[#Headers],[Payment Number]])-2)+DAY(LoanStartDate),"")</f>
        <v>45589</v>
      </c>
      <c r="D18" s="25">
        <f ca="1">IF(PaymentSchedule33[[#This Row],[Payment Number]]&lt;&gt;"",IF(ROW()-ROW(PaymentSchedule33[[#Headers],[Beginning
Balance]])=1,LoanAmount,INDEX(PaymentSchedule33[Ending
Balance],ROW()-ROW(PaymentSchedule33[[#Headers],[Beginning
Balance]])-1)),"")</f>
        <v>330891.92342684569</v>
      </c>
      <c r="E18" s="25">
        <f ca="1">IF(PaymentSchedule33[[#This Row],[Payment Number]]&lt;&gt;"",ScheduledPayment,"")</f>
        <v>1784.9318965153623</v>
      </c>
      <c r="F1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 s="25">
        <f ca="1">IF(PaymentSchedule33[[#This Row],[Payment Number]]&lt;&gt;"",PaymentSchedule33[[#This Row],[Total
Payment]]-PaymentSchedule33[[#This Row],[Interest]],"")</f>
        <v>406.21554890350512</v>
      </c>
      <c r="I18" s="25">
        <f ca="1">IF(PaymentSchedule33[[#This Row],[Payment Number]]&lt;&gt;"",PaymentSchedule33[[#This Row],[Beginning
Balance]]*(InterestRate/PaymentsPerYear),"")</f>
        <v>1378.7163476118571</v>
      </c>
      <c r="J18" s="25">
        <f ca="1">IF(PaymentSchedule33[[#This Row],[Payment Number]]&lt;&gt;"",IF(PaymentSchedule33[[#This Row],[Scheduled Payment]]+PaymentSchedule33[[#This Row],[Extra
Payment]]&lt;=PaymentSchedule33[[#This Row],[Beginning
Balance]],PaymentSchedule33[[#This Row],[Beginning
Balance]]-PaymentSchedule33[[#This Row],[Principal]],0),"")</f>
        <v>330485.70787794219</v>
      </c>
      <c r="K18" s="25">
        <f ca="1">IF(PaymentSchedule33[[#This Row],[Payment Number]]&lt;&gt;"",SUM(INDEX(PaymentSchedule33[Interest],1,1):PaymentSchedule33[[#This Row],[Interest]]),"")</f>
        <v>6910.3673605190052</v>
      </c>
      <c r="L18" s="25">
        <f ca="1">IF(PaymentSchedule33[[#This Row],[Payment Number]]&lt;&gt;"",SUM(INDEX(PaymentSchedule33[Principal],1,1):PaymentSchedule33[[#This Row],[Principal]]),"")</f>
        <v>2014.2921220578064</v>
      </c>
      <c r="M18" s="25">
        <f ca="1">PaymentSchedule3[[#This Row],[Total
Payment]]-PaymentSchedule33[[#This Row],[Total
Payment]]</f>
        <v>427.19889995542212</v>
      </c>
      <c r="N18" s="25">
        <f ca="1">PaymentSchedule3[[#This Row],[Interest]]-PaymentSchedule33[[#This Row],[Interest]]</f>
        <v>554.45168309466044</v>
      </c>
      <c r="O18" s="25">
        <f ca="1">PaymentSchedule3[[#This Row],[Cumulative
Interest]]-PaymentSchedule33[[#This Row],[Cumulative
Interest]]</f>
        <v>2771.5576914735884</v>
      </c>
    </row>
    <row r="19" spans="2:15" x14ac:dyDescent="0.25">
      <c r="B19" s="23">
        <f ca="1">IF(LoanIsGood,IF(ROW()-ROW(PaymentSchedule33[[#Headers],[Payment Number]])&gt;ScheduledNumberOfPayments,"",ROW()-ROW(PaymentSchedule33[[#Headers],[Payment Number]])),"")</f>
        <v>6</v>
      </c>
      <c r="C19" s="24">
        <f ca="1">IF(PaymentSchedule33[[#This Row],[Payment Number]]&lt;&gt;"",EOMONTH(LoanStartDate,ROW(PaymentSchedule33[[#This Row],[Payment Number]])-ROW(PaymentSchedule33[[#Headers],[Payment Number]])-2)+DAY(LoanStartDate),"")</f>
        <v>45620</v>
      </c>
      <c r="D19" s="25">
        <f ca="1">IF(PaymentSchedule33[[#This Row],[Payment Number]]&lt;&gt;"",IF(ROW()-ROW(PaymentSchedule33[[#Headers],[Beginning
Balance]])=1,LoanAmount,INDEX(PaymentSchedule33[Ending
Balance],ROW()-ROW(PaymentSchedule33[[#Headers],[Beginning
Balance]])-1)),"")</f>
        <v>330485.70787794219</v>
      </c>
      <c r="E19" s="25">
        <f ca="1">IF(PaymentSchedule33[[#This Row],[Payment Number]]&lt;&gt;"",ScheduledPayment,"")</f>
        <v>1784.9318965153623</v>
      </c>
      <c r="F1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 s="25">
        <f ca="1">IF(PaymentSchedule33[[#This Row],[Payment Number]]&lt;&gt;"",PaymentSchedule33[[#This Row],[Total
Payment]]-PaymentSchedule33[[#This Row],[Interest]],"")</f>
        <v>407.90811369060316</v>
      </c>
      <c r="I19" s="25">
        <f ca="1">IF(PaymentSchedule33[[#This Row],[Payment Number]]&lt;&gt;"",PaymentSchedule33[[#This Row],[Beginning
Balance]]*(InterestRate/PaymentsPerYear),"")</f>
        <v>1377.0237828247591</v>
      </c>
      <c r="J19" s="25">
        <f ca="1">IF(PaymentSchedule33[[#This Row],[Payment Number]]&lt;&gt;"",IF(PaymentSchedule33[[#This Row],[Scheduled Payment]]+PaymentSchedule33[[#This Row],[Extra
Payment]]&lt;=PaymentSchedule33[[#This Row],[Beginning
Balance]],PaymentSchedule33[[#This Row],[Beginning
Balance]]-PaymentSchedule33[[#This Row],[Principal]],0),"")</f>
        <v>330077.79976425157</v>
      </c>
      <c r="K19" s="25">
        <f ca="1">IF(PaymentSchedule33[[#This Row],[Payment Number]]&lt;&gt;"",SUM(INDEX(PaymentSchedule33[Interest],1,1):PaymentSchedule33[[#This Row],[Interest]]),"")</f>
        <v>8287.3911433437643</v>
      </c>
      <c r="L19" s="25">
        <f ca="1">IF(PaymentSchedule33[[#This Row],[Payment Number]]&lt;&gt;"",SUM(INDEX(PaymentSchedule33[Principal],1,1):PaymentSchedule33[[#This Row],[Principal]]),"")</f>
        <v>2422.2002357484098</v>
      </c>
      <c r="M19" s="25">
        <f ca="1">PaymentSchedule3[[#This Row],[Total
Payment]]-PaymentSchedule33[[#This Row],[Total
Payment]]</f>
        <v>427.19889995542212</v>
      </c>
      <c r="N19" s="25">
        <f ca="1">PaymentSchedule3[[#This Row],[Interest]]-PaymentSchedule33[[#This Row],[Interest]]</f>
        <v>554.51696508146688</v>
      </c>
      <c r="O19" s="25">
        <f ca="1">PaymentSchedule3[[#This Row],[Cumulative
Interest]]-PaymentSchedule33[[#This Row],[Cumulative
Interest]]</f>
        <v>3326.0746565550544</v>
      </c>
    </row>
    <row r="20" spans="2:15" x14ac:dyDescent="0.25">
      <c r="B20" s="23">
        <f ca="1">IF(LoanIsGood,IF(ROW()-ROW(PaymentSchedule33[[#Headers],[Payment Number]])&gt;ScheduledNumberOfPayments,"",ROW()-ROW(PaymentSchedule33[[#Headers],[Payment Number]])),"")</f>
        <v>7</v>
      </c>
      <c r="C20" s="24">
        <f ca="1">IF(PaymentSchedule33[[#This Row],[Payment Number]]&lt;&gt;"",EOMONTH(LoanStartDate,ROW(PaymentSchedule33[[#This Row],[Payment Number]])-ROW(PaymentSchedule33[[#Headers],[Payment Number]])-2)+DAY(LoanStartDate),"")</f>
        <v>45650</v>
      </c>
      <c r="D20" s="25">
        <f ca="1">IF(PaymentSchedule33[[#This Row],[Payment Number]]&lt;&gt;"",IF(ROW()-ROW(PaymentSchedule33[[#Headers],[Beginning
Balance]])=1,LoanAmount,INDEX(PaymentSchedule33[Ending
Balance],ROW()-ROW(PaymentSchedule33[[#Headers],[Beginning
Balance]])-1)),"")</f>
        <v>330077.79976425157</v>
      </c>
      <c r="E20" s="25">
        <f ca="1">IF(PaymentSchedule33[[#This Row],[Payment Number]]&lt;&gt;"",ScheduledPayment,"")</f>
        <v>1784.9318965153623</v>
      </c>
      <c r="F2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 s="25">
        <f ca="1">IF(PaymentSchedule33[[#This Row],[Payment Number]]&lt;&gt;"",PaymentSchedule33[[#This Row],[Total
Payment]]-PaymentSchedule33[[#This Row],[Interest]],"")</f>
        <v>409.6077308309807</v>
      </c>
      <c r="I20" s="25">
        <f ca="1">IF(PaymentSchedule33[[#This Row],[Payment Number]]&lt;&gt;"",PaymentSchedule33[[#This Row],[Beginning
Balance]]*(InterestRate/PaymentsPerYear),"")</f>
        <v>1375.3241656843816</v>
      </c>
      <c r="J20" s="25">
        <f ca="1">IF(PaymentSchedule33[[#This Row],[Payment Number]]&lt;&gt;"",IF(PaymentSchedule33[[#This Row],[Scheduled Payment]]+PaymentSchedule33[[#This Row],[Extra
Payment]]&lt;=PaymentSchedule33[[#This Row],[Beginning
Balance]],PaymentSchedule33[[#This Row],[Beginning
Balance]]-PaymentSchedule33[[#This Row],[Principal]],0),"")</f>
        <v>329668.19203342061</v>
      </c>
      <c r="K20" s="25">
        <f ca="1">IF(PaymentSchedule33[[#This Row],[Payment Number]]&lt;&gt;"",SUM(INDEX(PaymentSchedule33[Interest],1,1):PaymentSchedule33[[#This Row],[Interest]]),"")</f>
        <v>9662.7153090281463</v>
      </c>
      <c r="L20" s="25">
        <f ca="1">IF(PaymentSchedule33[[#This Row],[Payment Number]]&lt;&gt;"",SUM(INDEX(PaymentSchedule33[Principal],1,1):PaymentSchedule33[[#This Row],[Principal]]),"")</f>
        <v>2831.8079665793903</v>
      </c>
      <c r="M20" s="25">
        <f ca="1">PaymentSchedule3[[#This Row],[Total
Payment]]-PaymentSchedule33[[#This Row],[Total
Payment]]</f>
        <v>427.19889995542212</v>
      </c>
      <c r="N20" s="25">
        <f ca="1">PaymentSchedule3[[#This Row],[Interest]]-PaymentSchedule33[[#This Row],[Interest]]</f>
        <v>554.5798069385512</v>
      </c>
      <c r="O20" s="25">
        <f ca="1">PaymentSchedule3[[#This Row],[Cumulative
Interest]]-PaymentSchedule33[[#This Row],[Cumulative
Interest]]</f>
        <v>3880.6544634936054</v>
      </c>
    </row>
    <row r="21" spans="2:15" x14ac:dyDescent="0.25">
      <c r="B21" s="23">
        <f ca="1">IF(LoanIsGood,IF(ROW()-ROW(PaymentSchedule33[[#Headers],[Payment Number]])&gt;ScheduledNumberOfPayments,"",ROW()-ROW(PaymentSchedule33[[#Headers],[Payment Number]])),"")</f>
        <v>8</v>
      </c>
      <c r="C21" s="24">
        <f ca="1">IF(PaymentSchedule33[[#This Row],[Payment Number]]&lt;&gt;"",EOMONTH(LoanStartDate,ROW(PaymentSchedule33[[#This Row],[Payment Number]])-ROW(PaymentSchedule33[[#Headers],[Payment Number]])-2)+DAY(LoanStartDate),"")</f>
        <v>45681</v>
      </c>
      <c r="D21" s="25">
        <f ca="1">IF(PaymentSchedule33[[#This Row],[Payment Number]]&lt;&gt;"",IF(ROW()-ROW(PaymentSchedule33[[#Headers],[Beginning
Balance]])=1,LoanAmount,INDEX(PaymentSchedule33[Ending
Balance],ROW()-ROW(PaymentSchedule33[[#Headers],[Beginning
Balance]])-1)),"")</f>
        <v>329668.19203342061</v>
      </c>
      <c r="E21" s="25">
        <f ca="1">IF(PaymentSchedule33[[#This Row],[Payment Number]]&lt;&gt;"",ScheduledPayment,"")</f>
        <v>1784.9318965153623</v>
      </c>
      <c r="F2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 s="25">
        <f ca="1">IF(PaymentSchedule33[[#This Row],[Payment Number]]&lt;&gt;"",PaymentSchedule33[[#This Row],[Total
Payment]]-PaymentSchedule33[[#This Row],[Interest]],"")</f>
        <v>411.31442970944317</v>
      </c>
      <c r="I21" s="25">
        <f ca="1">IF(PaymentSchedule33[[#This Row],[Payment Number]]&lt;&gt;"",PaymentSchedule33[[#This Row],[Beginning
Balance]]*(InterestRate/PaymentsPerYear),"")</f>
        <v>1373.6174668059191</v>
      </c>
      <c r="J21" s="25">
        <f ca="1">IF(PaymentSchedule33[[#This Row],[Payment Number]]&lt;&gt;"",IF(PaymentSchedule33[[#This Row],[Scheduled Payment]]+PaymentSchedule33[[#This Row],[Extra
Payment]]&lt;=PaymentSchedule33[[#This Row],[Beginning
Balance]],PaymentSchedule33[[#This Row],[Beginning
Balance]]-PaymentSchedule33[[#This Row],[Principal]],0),"")</f>
        <v>329256.87760371115</v>
      </c>
      <c r="K21" s="25">
        <f ca="1">IF(PaymentSchedule33[[#This Row],[Payment Number]]&lt;&gt;"",SUM(INDEX(PaymentSchedule33[Interest],1,1):PaymentSchedule33[[#This Row],[Interest]]),"")</f>
        <v>11036.332775834066</v>
      </c>
      <c r="L21" s="25">
        <f ca="1">IF(PaymentSchedule33[[#This Row],[Payment Number]]&lt;&gt;"",SUM(INDEX(PaymentSchedule33[Principal],1,1):PaymentSchedule33[[#This Row],[Principal]]),"")</f>
        <v>3243.1223962888334</v>
      </c>
      <c r="M21" s="25">
        <f ca="1">PaymentSchedule3[[#This Row],[Total
Payment]]-PaymentSchedule33[[#This Row],[Total
Payment]]</f>
        <v>427.19889995542212</v>
      </c>
      <c r="N21" s="25">
        <f ca="1">PaymentSchedule3[[#This Row],[Interest]]-PaymentSchedule33[[#This Row],[Interest]]</f>
        <v>554.64018267790129</v>
      </c>
      <c r="O21" s="25">
        <f ca="1">PaymentSchedule3[[#This Row],[Cumulative
Interest]]-PaymentSchedule33[[#This Row],[Cumulative
Interest]]</f>
        <v>4435.2946461715055</v>
      </c>
    </row>
    <row r="22" spans="2:15" x14ac:dyDescent="0.25">
      <c r="B22" s="23">
        <f ca="1">IF(LoanIsGood,IF(ROW()-ROW(PaymentSchedule33[[#Headers],[Payment Number]])&gt;ScheduledNumberOfPayments,"",ROW()-ROW(PaymentSchedule33[[#Headers],[Payment Number]])),"")</f>
        <v>9</v>
      </c>
      <c r="C22" s="24">
        <f ca="1">IF(PaymentSchedule33[[#This Row],[Payment Number]]&lt;&gt;"",EOMONTH(LoanStartDate,ROW(PaymentSchedule33[[#This Row],[Payment Number]])-ROW(PaymentSchedule33[[#Headers],[Payment Number]])-2)+DAY(LoanStartDate),"")</f>
        <v>45712</v>
      </c>
      <c r="D22" s="25">
        <f ca="1">IF(PaymentSchedule33[[#This Row],[Payment Number]]&lt;&gt;"",IF(ROW()-ROW(PaymentSchedule33[[#Headers],[Beginning
Balance]])=1,LoanAmount,INDEX(PaymentSchedule33[Ending
Balance],ROW()-ROW(PaymentSchedule33[[#Headers],[Beginning
Balance]])-1)),"")</f>
        <v>329256.87760371115</v>
      </c>
      <c r="E22" s="25">
        <f ca="1">IF(PaymentSchedule33[[#This Row],[Payment Number]]&lt;&gt;"",ScheduledPayment,"")</f>
        <v>1784.9318965153623</v>
      </c>
      <c r="F2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 s="25">
        <f ca="1">IF(PaymentSchedule33[[#This Row],[Payment Number]]&lt;&gt;"",PaymentSchedule33[[#This Row],[Total
Payment]]-PaymentSchedule33[[#This Row],[Interest]],"")</f>
        <v>413.02823983323242</v>
      </c>
      <c r="I22" s="25">
        <f ca="1">IF(PaymentSchedule33[[#This Row],[Payment Number]]&lt;&gt;"",PaymentSchedule33[[#This Row],[Beginning
Balance]]*(InterestRate/PaymentsPerYear),"")</f>
        <v>1371.9036566821298</v>
      </c>
      <c r="J22" s="25">
        <f ca="1">IF(PaymentSchedule33[[#This Row],[Payment Number]]&lt;&gt;"",IF(PaymentSchedule33[[#This Row],[Scheduled Payment]]+PaymentSchedule33[[#This Row],[Extra
Payment]]&lt;=PaymentSchedule33[[#This Row],[Beginning
Balance]],PaymentSchedule33[[#This Row],[Beginning
Balance]]-PaymentSchedule33[[#This Row],[Principal]],0),"")</f>
        <v>328843.8493638779</v>
      </c>
      <c r="K22" s="25">
        <f ca="1">IF(PaymentSchedule33[[#This Row],[Payment Number]]&lt;&gt;"",SUM(INDEX(PaymentSchedule33[Interest],1,1):PaymentSchedule33[[#This Row],[Interest]]),"")</f>
        <v>12408.236432516196</v>
      </c>
      <c r="L22" s="25">
        <f ca="1">IF(PaymentSchedule33[[#This Row],[Payment Number]]&lt;&gt;"",SUM(INDEX(PaymentSchedule33[Principal],1,1):PaymentSchedule33[[#This Row],[Principal]]),"")</f>
        <v>3656.1506361220659</v>
      </c>
      <c r="M22" s="25">
        <f ca="1">PaymentSchedule3[[#This Row],[Total
Payment]]-PaymentSchedule33[[#This Row],[Total
Payment]]</f>
        <v>427.19889995542212</v>
      </c>
      <c r="N22" s="25">
        <f ca="1">PaymentSchedule3[[#This Row],[Interest]]-PaymentSchedule33[[#This Row],[Interest]]</f>
        <v>554.69806611093327</v>
      </c>
      <c r="O22" s="25">
        <f ca="1">PaymentSchedule3[[#This Row],[Cumulative
Interest]]-PaymentSchedule33[[#This Row],[Cumulative
Interest]]</f>
        <v>4989.9927122824392</v>
      </c>
    </row>
    <row r="23" spans="2:15" x14ac:dyDescent="0.25">
      <c r="B23" s="23">
        <f ca="1">IF(LoanIsGood,IF(ROW()-ROW(PaymentSchedule33[[#Headers],[Payment Number]])&gt;ScheduledNumberOfPayments,"",ROW()-ROW(PaymentSchedule33[[#Headers],[Payment Number]])),"")</f>
        <v>10</v>
      </c>
      <c r="C23" s="24">
        <f ca="1">IF(PaymentSchedule33[[#This Row],[Payment Number]]&lt;&gt;"",EOMONTH(LoanStartDate,ROW(PaymentSchedule33[[#This Row],[Payment Number]])-ROW(PaymentSchedule33[[#Headers],[Payment Number]])-2)+DAY(LoanStartDate),"")</f>
        <v>45740</v>
      </c>
      <c r="D23" s="25">
        <f ca="1">IF(PaymentSchedule33[[#This Row],[Payment Number]]&lt;&gt;"",IF(ROW()-ROW(PaymentSchedule33[[#Headers],[Beginning
Balance]])=1,LoanAmount,INDEX(PaymentSchedule33[Ending
Balance],ROW()-ROW(PaymentSchedule33[[#Headers],[Beginning
Balance]])-1)),"")</f>
        <v>328843.8493638779</v>
      </c>
      <c r="E23" s="25">
        <f ca="1">IF(PaymentSchedule33[[#This Row],[Payment Number]]&lt;&gt;"",ScheduledPayment,"")</f>
        <v>1784.9318965153623</v>
      </c>
      <c r="F2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 s="25">
        <f ca="1">IF(PaymentSchedule33[[#This Row],[Payment Number]]&lt;&gt;"",PaymentSchedule33[[#This Row],[Total
Payment]]-PaymentSchedule33[[#This Row],[Interest]],"")</f>
        <v>414.74919083253758</v>
      </c>
      <c r="I23" s="25">
        <f ca="1">IF(PaymentSchedule33[[#This Row],[Payment Number]]&lt;&gt;"",PaymentSchedule33[[#This Row],[Beginning
Balance]]*(InterestRate/PaymentsPerYear),"")</f>
        <v>1370.1827056828247</v>
      </c>
      <c r="J23" s="25">
        <f ca="1">IF(PaymentSchedule33[[#This Row],[Payment Number]]&lt;&gt;"",IF(PaymentSchedule33[[#This Row],[Scheduled Payment]]+PaymentSchedule33[[#This Row],[Extra
Payment]]&lt;=PaymentSchedule33[[#This Row],[Beginning
Balance]],PaymentSchedule33[[#This Row],[Beginning
Balance]]-PaymentSchedule33[[#This Row],[Principal]],0),"")</f>
        <v>328429.10017304536</v>
      </c>
      <c r="K23" s="25">
        <f ca="1">IF(PaymentSchedule33[[#This Row],[Payment Number]]&lt;&gt;"",SUM(INDEX(PaymentSchedule33[Interest],1,1):PaymentSchedule33[[#This Row],[Interest]]),"")</f>
        <v>13778.41913819902</v>
      </c>
      <c r="L23" s="25">
        <f ca="1">IF(PaymentSchedule33[[#This Row],[Payment Number]]&lt;&gt;"",SUM(INDEX(PaymentSchedule33[Principal],1,1):PaymentSchedule33[[#This Row],[Principal]]),"")</f>
        <v>4070.8998269546037</v>
      </c>
      <c r="M23" s="25">
        <f ca="1">PaymentSchedule3[[#This Row],[Total
Payment]]-PaymentSchedule33[[#This Row],[Total
Payment]]</f>
        <v>427.19889995542212</v>
      </c>
      <c r="N23" s="25">
        <f ca="1">PaymentSchedule3[[#This Row],[Interest]]-PaymentSchedule33[[#This Row],[Interest]]</f>
        <v>554.75343084711835</v>
      </c>
      <c r="O23" s="25">
        <f ca="1">PaymentSchedule3[[#This Row],[Cumulative
Interest]]-PaymentSchedule33[[#This Row],[Cumulative
Interest]]</f>
        <v>5544.7461431295596</v>
      </c>
    </row>
    <row r="24" spans="2:15" x14ac:dyDescent="0.25">
      <c r="B24" s="23">
        <f ca="1">IF(LoanIsGood,IF(ROW()-ROW(PaymentSchedule33[[#Headers],[Payment Number]])&gt;ScheduledNumberOfPayments,"",ROW()-ROW(PaymentSchedule33[[#Headers],[Payment Number]])),"")</f>
        <v>11</v>
      </c>
      <c r="C24" s="24">
        <f ca="1">IF(PaymentSchedule33[[#This Row],[Payment Number]]&lt;&gt;"",EOMONTH(LoanStartDate,ROW(PaymentSchedule33[[#This Row],[Payment Number]])-ROW(PaymentSchedule33[[#Headers],[Payment Number]])-2)+DAY(LoanStartDate),"")</f>
        <v>45771</v>
      </c>
      <c r="D24" s="25">
        <f ca="1">IF(PaymentSchedule33[[#This Row],[Payment Number]]&lt;&gt;"",IF(ROW()-ROW(PaymentSchedule33[[#Headers],[Beginning
Balance]])=1,LoanAmount,INDEX(PaymentSchedule33[Ending
Balance],ROW()-ROW(PaymentSchedule33[[#Headers],[Beginning
Balance]])-1)),"")</f>
        <v>328429.10017304536</v>
      </c>
      <c r="E24" s="25">
        <f ca="1">IF(PaymentSchedule33[[#This Row],[Payment Number]]&lt;&gt;"",ScheduledPayment,"")</f>
        <v>1784.9318965153623</v>
      </c>
      <c r="F2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 s="25">
        <f ca="1">IF(PaymentSchedule33[[#This Row],[Payment Number]]&lt;&gt;"",PaymentSchedule33[[#This Row],[Total
Payment]]-PaymentSchedule33[[#This Row],[Interest]],"")</f>
        <v>416.4773124610067</v>
      </c>
      <c r="I24" s="25">
        <f ca="1">IF(PaymentSchedule33[[#This Row],[Payment Number]]&lt;&gt;"",PaymentSchedule33[[#This Row],[Beginning
Balance]]*(InterestRate/PaymentsPerYear),"")</f>
        <v>1368.4545840543556</v>
      </c>
      <c r="J24" s="25">
        <f ca="1">IF(PaymentSchedule33[[#This Row],[Payment Number]]&lt;&gt;"",IF(PaymentSchedule33[[#This Row],[Scheduled Payment]]+PaymentSchedule33[[#This Row],[Extra
Payment]]&lt;=PaymentSchedule33[[#This Row],[Beginning
Balance]],PaymentSchedule33[[#This Row],[Beginning
Balance]]-PaymentSchedule33[[#This Row],[Principal]],0),"")</f>
        <v>328012.62286058435</v>
      </c>
      <c r="K24" s="25">
        <f ca="1">IF(PaymentSchedule33[[#This Row],[Payment Number]]&lt;&gt;"",SUM(INDEX(PaymentSchedule33[Interest],1,1):PaymentSchedule33[[#This Row],[Interest]]),"")</f>
        <v>15146.873722253376</v>
      </c>
      <c r="L24" s="25">
        <f ca="1">IF(PaymentSchedule33[[#This Row],[Payment Number]]&lt;&gt;"",SUM(INDEX(PaymentSchedule33[Principal],1,1):PaymentSchedule33[[#This Row],[Principal]]),"")</f>
        <v>4487.3771394156101</v>
      </c>
      <c r="M24" s="25">
        <f ca="1">PaymentSchedule3[[#This Row],[Total
Payment]]-PaymentSchedule33[[#This Row],[Total
Payment]]</f>
        <v>427.19889995542212</v>
      </c>
      <c r="N24" s="25">
        <f ca="1">PaymentSchedule3[[#This Row],[Interest]]-PaymentSchedule33[[#This Row],[Interest]]</f>
        <v>554.80625029259932</v>
      </c>
      <c r="O24" s="25">
        <f ca="1">PaymentSchedule3[[#This Row],[Cumulative
Interest]]-PaymentSchedule33[[#This Row],[Cumulative
Interest]]</f>
        <v>6099.5523934221583</v>
      </c>
    </row>
    <row r="25" spans="2:15" x14ac:dyDescent="0.25">
      <c r="B25" s="23">
        <f ca="1">IF(LoanIsGood,IF(ROW()-ROW(PaymentSchedule33[[#Headers],[Payment Number]])&gt;ScheduledNumberOfPayments,"",ROW()-ROW(PaymentSchedule33[[#Headers],[Payment Number]])),"")</f>
        <v>12</v>
      </c>
      <c r="C25" s="24">
        <f ca="1">IF(PaymentSchedule33[[#This Row],[Payment Number]]&lt;&gt;"",EOMONTH(LoanStartDate,ROW(PaymentSchedule33[[#This Row],[Payment Number]])-ROW(PaymentSchedule33[[#Headers],[Payment Number]])-2)+DAY(LoanStartDate),"")</f>
        <v>45801</v>
      </c>
      <c r="D25" s="25">
        <f ca="1">IF(PaymentSchedule33[[#This Row],[Payment Number]]&lt;&gt;"",IF(ROW()-ROW(PaymentSchedule33[[#Headers],[Beginning
Balance]])=1,LoanAmount,INDEX(PaymentSchedule33[Ending
Balance],ROW()-ROW(PaymentSchedule33[[#Headers],[Beginning
Balance]])-1)),"")</f>
        <v>328012.62286058435</v>
      </c>
      <c r="E25" s="25">
        <f ca="1">IF(PaymentSchedule33[[#This Row],[Payment Number]]&lt;&gt;"",ScheduledPayment,"")</f>
        <v>1784.9318965153623</v>
      </c>
      <c r="F2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 s="25">
        <f ca="1">IF(PaymentSchedule33[[#This Row],[Payment Number]]&lt;&gt;"",PaymentSchedule33[[#This Row],[Total
Payment]]-PaymentSchedule33[[#This Row],[Interest]],"")</f>
        <v>418.21263459626084</v>
      </c>
      <c r="I25" s="25">
        <f ca="1">IF(PaymentSchedule33[[#This Row],[Payment Number]]&lt;&gt;"",PaymentSchedule33[[#This Row],[Beginning
Balance]]*(InterestRate/PaymentsPerYear),"")</f>
        <v>1366.7192619191014</v>
      </c>
      <c r="J25" s="25">
        <f ca="1">IF(PaymentSchedule33[[#This Row],[Payment Number]]&lt;&gt;"",IF(PaymentSchedule33[[#This Row],[Scheduled Payment]]+PaymentSchedule33[[#This Row],[Extra
Payment]]&lt;=PaymentSchedule33[[#This Row],[Beginning
Balance]],PaymentSchedule33[[#This Row],[Beginning
Balance]]-PaymentSchedule33[[#This Row],[Principal]],0),"")</f>
        <v>327594.41022598807</v>
      </c>
      <c r="K25" s="25">
        <f ca="1">IF(PaymentSchedule33[[#This Row],[Payment Number]]&lt;&gt;"",SUM(INDEX(PaymentSchedule33[Interest],1,1):PaymentSchedule33[[#This Row],[Interest]]),"")</f>
        <v>16513.592984172479</v>
      </c>
      <c r="L25" s="25">
        <f ca="1">IF(PaymentSchedule33[[#This Row],[Payment Number]]&lt;&gt;"",SUM(INDEX(PaymentSchedule33[Principal],1,1):PaymentSchedule33[[#This Row],[Principal]]),"")</f>
        <v>4905.5897740118708</v>
      </c>
      <c r="M25" s="25">
        <f ca="1">PaymentSchedule3[[#This Row],[Total
Payment]]-PaymentSchedule33[[#This Row],[Total
Payment]]</f>
        <v>427.19889995542212</v>
      </c>
      <c r="N25" s="25">
        <f ca="1">PaymentSchedule3[[#This Row],[Interest]]-PaymentSchedule33[[#This Row],[Interest]]</f>
        <v>554.85649764879804</v>
      </c>
      <c r="O25" s="25">
        <f ca="1">PaymentSchedule3[[#This Row],[Cumulative
Interest]]-PaymentSchedule33[[#This Row],[Cumulative
Interest]]</f>
        <v>6654.4088910709543</v>
      </c>
    </row>
    <row r="26" spans="2:15" x14ac:dyDescent="0.25">
      <c r="B26" s="23">
        <f ca="1">IF(LoanIsGood,IF(ROW()-ROW(PaymentSchedule33[[#Headers],[Payment Number]])&gt;ScheduledNumberOfPayments,"",ROW()-ROW(PaymentSchedule33[[#Headers],[Payment Number]])),"")</f>
        <v>13</v>
      </c>
      <c r="C26" s="24">
        <f ca="1">IF(PaymentSchedule33[[#This Row],[Payment Number]]&lt;&gt;"",EOMONTH(LoanStartDate,ROW(PaymentSchedule33[[#This Row],[Payment Number]])-ROW(PaymentSchedule33[[#Headers],[Payment Number]])-2)+DAY(LoanStartDate),"")</f>
        <v>45832</v>
      </c>
      <c r="D26" s="25">
        <f ca="1">IF(PaymentSchedule33[[#This Row],[Payment Number]]&lt;&gt;"",IF(ROW()-ROW(PaymentSchedule33[[#Headers],[Beginning
Balance]])=1,LoanAmount,INDEX(PaymentSchedule33[Ending
Balance],ROW()-ROW(PaymentSchedule33[[#Headers],[Beginning
Balance]])-1)),"")</f>
        <v>327594.41022598807</v>
      </c>
      <c r="E26" s="25">
        <f ca="1">IF(PaymentSchedule33[[#This Row],[Payment Number]]&lt;&gt;"",ScheduledPayment,"")</f>
        <v>1784.9318965153623</v>
      </c>
      <c r="F2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 s="25">
        <f ca="1">IF(PaymentSchedule33[[#This Row],[Payment Number]]&lt;&gt;"",PaymentSchedule33[[#This Row],[Total
Payment]]-PaymentSchedule33[[#This Row],[Interest]],"")</f>
        <v>419.95518724041199</v>
      </c>
      <c r="I26" s="25">
        <f ca="1">IF(PaymentSchedule33[[#This Row],[Payment Number]]&lt;&gt;"",PaymentSchedule33[[#This Row],[Beginning
Balance]]*(InterestRate/PaymentsPerYear),"")</f>
        <v>1364.9767092749503</v>
      </c>
      <c r="J26" s="25">
        <f ca="1">IF(PaymentSchedule33[[#This Row],[Payment Number]]&lt;&gt;"",IF(PaymentSchedule33[[#This Row],[Scheduled Payment]]+PaymentSchedule33[[#This Row],[Extra
Payment]]&lt;=PaymentSchedule33[[#This Row],[Beginning
Balance]],PaymentSchedule33[[#This Row],[Beginning
Balance]]-PaymentSchedule33[[#This Row],[Principal]],0),"")</f>
        <v>327174.45503874763</v>
      </c>
      <c r="K26" s="25">
        <f ca="1">IF(PaymentSchedule33[[#This Row],[Payment Number]]&lt;&gt;"",SUM(INDEX(PaymentSchedule33[Interest],1,1):PaymentSchedule33[[#This Row],[Interest]]),"")</f>
        <v>17878.569693447429</v>
      </c>
      <c r="L26" s="25">
        <f ca="1">IF(PaymentSchedule33[[#This Row],[Payment Number]]&lt;&gt;"",SUM(INDEX(PaymentSchedule33[Principal],1,1):PaymentSchedule33[[#This Row],[Principal]]),"")</f>
        <v>5325.5449612522825</v>
      </c>
      <c r="M26" s="25">
        <f ca="1">PaymentSchedule3[[#This Row],[Total
Payment]]-PaymentSchedule33[[#This Row],[Total
Payment]]</f>
        <v>427.19889995542212</v>
      </c>
      <c r="N26" s="25">
        <f ca="1">PaymentSchedule3[[#This Row],[Interest]]-PaymentSchedule33[[#This Row],[Interest]]</f>
        <v>554.90414591101558</v>
      </c>
      <c r="O26" s="25">
        <f ca="1">PaymentSchedule3[[#This Row],[Cumulative
Interest]]-PaymentSchedule33[[#This Row],[Cumulative
Interest]]</f>
        <v>7209.3130369819701</v>
      </c>
    </row>
    <row r="27" spans="2:15" x14ac:dyDescent="0.25">
      <c r="B27" s="23">
        <f ca="1">IF(LoanIsGood,IF(ROW()-ROW(PaymentSchedule33[[#Headers],[Payment Number]])&gt;ScheduledNumberOfPayments,"",ROW()-ROW(PaymentSchedule33[[#Headers],[Payment Number]])),"")</f>
        <v>14</v>
      </c>
      <c r="C27" s="24">
        <f ca="1">IF(PaymentSchedule33[[#This Row],[Payment Number]]&lt;&gt;"",EOMONTH(LoanStartDate,ROW(PaymentSchedule33[[#This Row],[Payment Number]])-ROW(PaymentSchedule33[[#Headers],[Payment Number]])-2)+DAY(LoanStartDate),"")</f>
        <v>45862</v>
      </c>
      <c r="D27" s="25">
        <f ca="1">IF(PaymentSchedule33[[#This Row],[Payment Number]]&lt;&gt;"",IF(ROW()-ROW(PaymentSchedule33[[#Headers],[Beginning
Balance]])=1,LoanAmount,INDEX(PaymentSchedule33[Ending
Balance],ROW()-ROW(PaymentSchedule33[[#Headers],[Beginning
Balance]])-1)),"")</f>
        <v>327174.45503874763</v>
      </c>
      <c r="E27" s="25">
        <f ca="1">IF(PaymentSchedule33[[#This Row],[Payment Number]]&lt;&gt;"",ScheduledPayment,"")</f>
        <v>1784.9318965153623</v>
      </c>
      <c r="F2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 s="25">
        <f ca="1">IF(PaymentSchedule33[[#This Row],[Payment Number]]&lt;&gt;"",PaymentSchedule33[[#This Row],[Total
Payment]]-PaymentSchedule33[[#This Row],[Interest]],"")</f>
        <v>421.70500052058037</v>
      </c>
      <c r="I27" s="25">
        <f ca="1">IF(PaymentSchedule33[[#This Row],[Payment Number]]&lt;&gt;"",PaymentSchedule33[[#This Row],[Beginning
Balance]]*(InterestRate/PaymentsPerYear),"")</f>
        <v>1363.2268959947819</v>
      </c>
      <c r="J27" s="25">
        <f ca="1">IF(PaymentSchedule33[[#This Row],[Payment Number]]&lt;&gt;"",IF(PaymentSchedule33[[#This Row],[Scheduled Payment]]+PaymentSchedule33[[#This Row],[Extra
Payment]]&lt;=PaymentSchedule33[[#This Row],[Beginning
Balance]],PaymentSchedule33[[#This Row],[Beginning
Balance]]-PaymentSchedule33[[#This Row],[Principal]],0),"")</f>
        <v>326752.75003822707</v>
      </c>
      <c r="K27" s="25">
        <f ca="1">IF(PaymentSchedule33[[#This Row],[Payment Number]]&lt;&gt;"",SUM(INDEX(PaymentSchedule33[Interest],1,1):PaymentSchedule33[[#This Row],[Interest]]),"")</f>
        <v>19241.796589442212</v>
      </c>
      <c r="L27" s="25">
        <f ca="1">IF(PaymentSchedule33[[#This Row],[Payment Number]]&lt;&gt;"",SUM(INDEX(PaymentSchedule33[Principal],1,1):PaymentSchedule33[[#This Row],[Principal]]),"")</f>
        <v>5747.2499617728627</v>
      </c>
      <c r="M27" s="25">
        <f ca="1">PaymentSchedule3[[#This Row],[Total
Payment]]-PaymentSchedule33[[#This Row],[Total
Payment]]</f>
        <v>427.19889995542212</v>
      </c>
      <c r="N27" s="25">
        <f ca="1">PaymentSchedule3[[#This Row],[Interest]]-PaymentSchedule33[[#This Row],[Interest]]</f>
        <v>554.94916786702242</v>
      </c>
      <c r="O27" s="25">
        <f ca="1">PaymentSchedule3[[#This Row],[Cumulative
Interest]]-PaymentSchedule33[[#This Row],[Cumulative
Interest]]</f>
        <v>7764.2622048489902</v>
      </c>
    </row>
    <row r="28" spans="2:15" x14ac:dyDescent="0.25">
      <c r="B28" s="23">
        <f ca="1">IF(LoanIsGood,IF(ROW()-ROW(PaymentSchedule33[[#Headers],[Payment Number]])&gt;ScheduledNumberOfPayments,"",ROW()-ROW(PaymentSchedule33[[#Headers],[Payment Number]])),"")</f>
        <v>15</v>
      </c>
      <c r="C28" s="24">
        <f ca="1">IF(PaymentSchedule33[[#This Row],[Payment Number]]&lt;&gt;"",EOMONTH(LoanStartDate,ROW(PaymentSchedule33[[#This Row],[Payment Number]])-ROW(PaymentSchedule33[[#Headers],[Payment Number]])-2)+DAY(LoanStartDate),"")</f>
        <v>45893</v>
      </c>
      <c r="D28" s="25">
        <f ca="1">IF(PaymentSchedule33[[#This Row],[Payment Number]]&lt;&gt;"",IF(ROW()-ROW(PaymentSchedule33[[#Headers],[Beginning
Balance]])=1,LoanAmount,INDEX(PaymentSchedule33[Ending
Balance],ROW()-ROW(PaymentSchedule33[[#Headers],[Beginning
Balance]])-1)),"")</f>
        <v>326752.75003822707</v>
      </c>
      <c r="E28" s="25">
        <f ca="1">IF(PaymentSchedule33[[#This Row],[Payment Number]]&lt;&gt;"",ScheduledPayment,"")</f>
        <v>1784.9318965153623</v>
      </c>
      <c r="F2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 s="25">
        <f ca="1">IF(PaymentSchedule33[[#This Row],[Payment Number]]&lt;&gt;"",PaymentSchedule33[[#This Row],[Total
Payment]]-PaymentSchedule33[[#This Row],[Interest]],"")</f>
        <v>423.46210468941626</v>
      </c>
      <c r="I28" s="25">
        <f ca="1">IF(PaymentSchedule33[[#This Row],[Payment Number]]&lt;&gt;"",PaymentSchedule33[[#This Row],[Beginning
Balance]]*(InterestRate/PaymentsPerYear),"")</f>
        <v>1361.469791825946</v>
      </c>
      <c r="J28" s="25">
        <f ca="1">IF(PaymentSchedule33[[#This Row],[Payment Number]]&lt;&gt;"",IF(PaymentSchedule33[[#This Row],[Scheduled Payment]]+PaymentSchedule33[[#This Row],[Extra
Payment]]&lt;=PaymentSchedule33[[#This Row],[Beginning
Balance]],PaymentSchedule33[[#This Row],[Beginning
Balance]]-PaymentSchedule33[[#This Row],[Principal]],0),"")</f>
        <v>326329.28793353768</v>
      </c>
      <c r="K28" s="25">
        <f ca="1">IF(PaymentSchedule33[[#This Row],[Payment Number]]&lt;&gt;"",SUM(INDEX(PaymentSchedule33[Interest],1,1):PaymentSchedule33[[#This Row],[Interest]]),"")</f>
        <v>20603.266381268157</v>
      </c>
      <c r="L28" s="25">
        <f ca="1">IF(PaymentSchedule33[[#This Row],[Payment Number]]&lt;&gt;"",SUM(INDEX(PaymentSchedule33[Principal],1,1):PaymentSchedule33[[#This Row],[Principal]]),"")</f>
        <v>6170.7120664622789</v>
      </c>
      <c r="M28" s="25">
        <f ca="1">PaymentSchedule3[[#This Row],[Total
Payment]]-PaymentSchedule33[[#This Row],[Total
Payment]]</f>
        <v>427.19889995542212</v>
      </c>
      <c r="N28" s="25">
        <f ca="1">PaymentSchedule3[[#This Row],[Interest]]-PaymentSchedule33[[#This Row],[Interest]]</f>
        <v>554.99153609563928</v>
      </c>
      <c r="O28" s="25">
        <f ca="1">PaymentSchedule3[[#This Row],[Cumulative
Interest]]-PaymentSchedule33[[#This Row],[Cumulative
Interest]]</f>
        <v>8319.2537409446304</v>
      </c>
    </row>
    <row r="29" spans="2:15" x14ac:dyDescent="0.25">
      <c r="B29" s="23">
        <f ca="1">IF(LoanIsGood,IF(ROW()-ROW(PaymentSchedule33[[#Headers],[Payment Number]])&gt;ScheduledNumberOfPayments,"",ROW()-ROW(PaymentSchedule33[[#Headers],[Payment Number]])),"")</f>
        <v>16</v>
      </c>
      <c r="C29" s="24">
        <f ca="1">IF(PaymentSchedule33[[#This Row],[Payment Number]]&lt;&gt;"",EOMONTH(LoanStartDate,ROW(PaymentSchedule33[[#This Row],[Payment Number]])-ROW(PaymentSchedule33[[#Headers],[Payment Number]])-2)+DAY(LoanStartDate),"")</f>
        <v>45924</v>
      </c>
      <c r="D29" s="25">
        <f ca="1">IF(PaymentSchedule33[[#This Row],[Payment Number]]&lt;&gt;"",IF(ROW()-ROW(PaymentSchedule33[[#Headers],[Beginning
Balance]])=1,LoanAmount,INDEX(PaymentSchedule33[Ending
Balance],ROW()-ROW(PaymentSchedule33[[#Headers],[Beginning
Balance]])-1)),"")</f>
        <v>326329.28793353768</v>
      </c>
      <c r="E29" s="25">
        <f ca="1">IF(PaymentSchedule33[[#This Row],[Payment Number]]&lt;&gt;"",ScheduledPayment,"")</f>
        <v>1784.9318965153623</v>
      </c>
      <c r="F2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 s="25">
        <f ca="1">IF(PaymentSchedule33[[#This Row],[Payment Number]]&lt;&gt;"",PaymentSchedule33[[#This Row],[Total
Payment]]-PaymentSchedule33[[#This Row],[Interest]],"")</f>
        <v>425.22653012562205</v>
      </c>
      <c r="I29" s="25">
        <f ca="1">IF(PaymentSchedule33[[#This Row],[Payment Number]]&lt;&gt;"",PaymentSchedule33[[#This Row],[Beginning
Balance]]*(InterestRate/PaymentsPerYear),"")</f>
        <v>1359.7053663897402</v>
      </c>
      <c r="J29" s="25">
        <f ca="1">IF(PaymentSchedule33[[#This Row],[Payment Number]]&lt;&gt;"",IF(PaymentSchedule33[[#This Row],[Scheduled Payment]]+PaymentSchedule33[[#This Row],[Extra
Payment]]&lt;=PaymentSchedule33[[#This Row],[Beginning
Balance]],PaymentSchedule33[[#This Row],[Beginning
Balance]]-PaymentSchedule33[[#This Row],[Principal]],0),"")</f>
        <v>325904.06140341208</v>
      </c>
      <c r="K29" s="25">
        <f ca="1">IF(PaymentSchedule33[[#This Row],[Payment Number]]&lt;&gt;"",SUM(INDEX(PaymentSchedule33[Interest],1,1):PaymentSchedule33[[#This Row],[Interest]]),"")</f>
        <v>21962.971747657895</v>
      </c>
      <c r="L29" s="25">
        <f ca="1">IF(PaymentSchedule33[[#This Row],[Payment Number]]&lt;&gt;"",SUM(INDEX(PaymentSchedule33[Principal],1,1):PaymentSchedule33[[#This Row],[Principal]]),"")</f>
        <v>6595.938596587901</v>
      </c>
      <c r="M29" s="25">
        <f ca="1">PaymentSchedule3[[#This Row],[Total
Payment]]-PaymentSchedule33[[#This Row],[Total
Payment]]</f>
        <v>427.19889995542212</v>
      </c>
      <c r="N29" s="25">
        <f ca="1">PaymentSchedule3[[#This Row],[Interest]]-PaymentSchedule33[[#This Row],[Interest]]</f>
        <v>555.03122296530796</v>
      </c>
      <c r="O29" s="25">
        <f ca="1">PaymentSchedule3[[#This Row],[Cumulative
Interest]]-PaymentSchedule33[[#This Row],[Cumulative
Interest]]</f>
        <v>8874.2849639099404</v>
      </c>
    </row>
    <row r="30" spans="2:15" x14ac:dyDescent="0.25">
      <c r="B30" s="23">
        <f ca="1">IF(LoanIsGood,IF(ROW()-ROW(PaymentSchedule33[[#Headers],[Payment Number]])&gt;ScheduledNumberOfPayments,"",ROW()-ROW(PaymentSchedule33[[#Headers],[Payment Number]])),"")</f>
        <v>17</v>
      </c>
      <c r="C30" s="24">
        <f ca="1">IF(PaymentSchedule33[[#This Row],[Payment Number]]&lt;&gt;"",EOMONTH(LoanStartDate,ROW(PaymentSchedule33[[#This Row],[Payment Number]])-ROW(PaymentSchedule33[[#Headers],[Payment Number]])-2)+DAY(LoanStartDate),"")</f>
        <v>45954</v>
      </c>
      <c r="D30" s="25">
        <f ca="1">IF(PaymentSchedule33[[#This Row],[Payment Number]]&lt;&gt;"",IF(ROW()-ROW(PaymentSchedule33[[#Headers],[Beginning
Balance]])=1,LoanAmount,INDEX(PaymentSchedule33[Ending
Balance],ROW()-ROW(PaymentSchedule33[[#Headers],[Beginning
Balance]])-1)),"")</f>
        <v>325904.06140341208</v>
      </c>
      <c r="E30" s="25">
        <f ca="1">IF(PaymentSchedule33[[#This Row],[Payment Number]]&lt;&gt;"",ScheduledPayment,"")</f>
        <v>1784.9318965153623</v>
      </c>
      <c r="F3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 s="25">
        <f ca="1">IF(PaymentSchedule33[[#This Row],[Payment Number]]&lt;&gt;"",PaymentSchedule33[[#This Row],[Total
Payment]]-PaymentSchedule33[[#This Row],[Interest]],"")</f>
        <v>426.99830733447857</v>
      </c>
      <c r="I30" s="25">
        <f ca="1">IF(PaymentSchedule33[[#This Row],[Payment Number]]&lt;&gt;"",PaymentSchedule33[[#This Row],[Beginning
Balance]]*(InterestRate/PaymentsPerYear),"")</f>
        <v>1357.9335891808837</v>
      </c>
      <c r="J30" s="25">
        <f ca="1">IF(PaymentSchedule33[[#This Row],[Payment Number]]&lt;&gt;"",IF(PaymentSchedule33[[#This Row],[Scheduled Payment]]+PaymentSchedule33[[#This Row],[Extra
Payment]]&lt;=PaymentSchedule33[[#This Row],[Beginning
Balance]],PaymentSchedule33[[#This Row],[Beginning
Balance]]-PaymentSchedule33[[#This Row],[Principal]],0),"")</f>
        <v>325477.06309607759</v>
      </c>
      <c r="K30" s="25">
        <f ca="1">IF(PaymentSchedule33[[#This Row],[Payment Number]]&lt;&gt;"",SUM(INDEX(PaymentSchedule33[Interest],1,1):PaymentSchedule33[[#This Row],[Interest]]),"")</f>
        <v>23320.905336838779</v>
      </c>
      <c r="L30" s="25">
        <f ca="1">IF(PaymentSchedule33[[#This Row],[Payment Number]]&lt;&gt;"",SUM(INDEX(PaymentSchedule33[Principal],1,1):PaymentSchedule33[[#This Row],[Principal]]),"")</f>
        <v>7022.9369039223793</v>
      </c>
      <c r="M30" s="25">
        <f ca="1">PaymentSchedule3[[#This Row],[Total
Payment]]-PaymentSchedule33[[#This Row],[Total
Payment]]</f>
        <v>427.19889995542212</v>
      </c>
      <c r="N30" s="25">
        <f ca="1">PaymentSchedule3[[#This Row],[Interest]]-PaymentSchedule33[[#This Row],[Interest]]</f>
        <v>555.06820063265604</v>
      </c>
      <c r="O30" s="25">
        <f ca="1">PaymentSchedule3[[#This Row],[Cumulative
Interest]]-PaymentSchedule33[[#This Row],[Cumulative
Interest]]</f>
        <v>9429.3531645425974</v>
      </c>
    </row>
    <row r="31" spans="2:15" x14ac:dyDescent="0.25">
      <c r="B31" s="23">
        <f ca="1">IF(LoanIsGood,IF(ROW()-ROW(PaymentSchedule33[[#Headers],[Payment Number]])&gt;ScheduledNumberOfPayments,"",ROW()-ROW(PaymentSchedule33[[#Headers],[Payment Number]])),"")</f>
        <v>18</v>
      </c>
      <c r="C31" s="24">
        <f ca="1">IF(PaymentSchedule33[[#This Row],[Payment Number]]&lt;&gt;"",EOMONTH(LoanStartDate,ROW(PaymentSchedule33[[#This Row],[Payment Number]])-ROW(PaymentSchedule33[[#Headers],[Payment Number]])-2)+DAY(LoanStartDate),"")</f>
        <v>45985</v>
      </c>
      <c r="D31" s="25">
        <f ca="1">IF(PaymentSchedule33[[#This Row],[Payment Number]]&lt;&gt;"",IF(ROW()-ROW(PaymentSchedule33[[#Headers],[Beginning
Balance]])=1,LoanAmount,INDEX(PaymentSchedule33[Ending
Balance],ROW()-ROW(PaymentSchedule33[[#Headers],[Beginning
Balance]])-1)),"")</f>
        <v>325477.06309607759</v>
      </c>
      <c r="E31" s="25">
        <f ca="1">IF(PaymentSchedule33[[#This Row],[Payment Number]]&lt;&gt;"",ScheduledPayment,"")</f>
        <v>1784.9318965153623</v>
      </c>
      <c r="F3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 s="25">
        <f ca="1">IF(PaymentSchedule33[[#This Row],[Payment Number]]&lt;&gt;"",PaymentSchedule33[[#This Row],[Total
Payment]]-PaymentSchedule33[[#This Row],[Interest]],"")</f>
        <v>428.77746694837242</v>
      </c>
      <c r="I31" s="25">
        <f ca="1">IF(PaymentSchedule33[[#This Row],[Payment Number]]&lt;&gt;"",PaymentSchedule33[[#This Row],[Beginning
Balance]]*(InterestRate/PaymentsPerYear),"")</f>
        <v>1356.1544295669898</v>
      </c>
      <c r="J31" s="25">
        <f ca="1">IF(PaymentSchedule33[[#This Row],[Payment Number]]&lt;&gt;"",IF(PaymentSchedule33[[#This Row],[Scheduled Payment]]+PaymentSchedule33[[#This Row],[Extra
Payment]]&lt;=PaymentSchedule33[[#This Row],[Beginning
Balance]],PaymentSchedule33[[#This Row],[Beginning
Balance]]-PaymentSchedule33[[#This Row],[Principal]],0),"")</f>
        <v>325048.28562912921</v>
      </c>
      <c r="K31" s="25">
        <f ca="1">IF(PaymentSchedule33[[#This Row],[Payment Number]]&lt;&gt;"",SUM(INDEX(PaymentSchedule33[Interest],1,1):PaymentSchedule33[[#This Row],[Interest]]),"")</f>
        <v>24677.059766405768</v>
      </c>
      <c r="L31" s="25">
        <f ca="1">IF(PaymentSchedule33[[#This Row],[Payment Number]]&lt;&gt;"",SUM(INDEX(PaymentSchedule33[Principal],1,1):PaymentSchedule33[[#This Row],[Principal]]),"")</f>
        <v>7451.7143708707517</v>
      </c>
      <c r="M31" s="25">
        <f ca="1">PaymentSchedule3[[#This Row],[Total
Payment]]-PaymentSchedule33[[#This Row],[Total
Payment]]</f>
        <v>427.19889995542212</v>
      </c>
      <c r="N31" s="25">
        <f ca="1">PaymentSchedule3[[#This Row],[Interest]]-PaymentSchedule33[[#This Row],[Interest]]</f>
        <v>555.10244104104936</v>
      </c>
      <c r="O31" s="25">
        <f ca="1">PaymentSchedule3[[#This Row],[Cumulative
Interest]]-PaymentSchedule33[[#This Row],[Cumulative
Interest]]</f>
        <v>9984.4556055836474</v>
      </c>
    </row>
    <row r="32" spans="2:15" x14ac:dyDescent="0.25">
      <c r="B32" s="23">
        <f ca="1">IF(LoanIsGood,IF(ROW()-ROW(PaymentSchedule33[[#Headers],[Payment Number]])&gt;ScheduledNumberOfPayments,"",ROW()-ROW(PaymentSchedule33[[#Headers],[Payment Number]])),"")</f>
        <v>19</v>
      </c>
      <c r="C32" s="24">
        <f ca="1">IF(PaymentSchedule33[[#This Row],[Payment Number]]&lt;&gt;"",EOMONTH(LoanStartDate,ROW(PaymentSchedule33[[#This Row],[Payment Number]])-ROW(PaymentSchedule33[[#Headers],[Payment Number]])-2)+DAY(LoanStartDate),"")</f>
        <v>46015</v>
      </c>
      <c r="D32" s="25">
        <f ca="1">IF(PaymentSchedule33[[#This Row],[Payment Number]]&lt;&gt;"",IF(ROW()-ROW(PaymentSchedule33[[#Headers],[Beginning
Balance]])=1,LoanAmount,INDEX(PaymentSchedule33[Ending
Balance],ROW()-ROW(PaymentSchedule33[[#Headers],[Beginning
Balance]])-1)),"")</f>
        <v>325048.28562912921</v>
      </c>
      <c r="E32" s="25">
        <f ca="1">IF(PaymentSchedule33[[#This Row],[Payment Number]]&lt;&gt;"",ScheduledPayment,"")</f>
        <v>1784.9318965153623</v>
      </c>
      <c r="F3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 s="25">
        <f ca="1">IF(PaymentSchedule33[[#This Row],[Payment Number]]&lt;&gt;"",PaymentSchedule33[[#This Row],[Total
Payment]]-PaymentSchedule33[[#This Row],[Interest]],"")</f>
        <v>430.56403972732392</v>
      </c>
      <c r="I32" s="25">
        <f ca="1">IF(PaymentSchedule33[[#This Row],[Payment Number]]&lt;&gt;"",PaymentSchedule33[[#This Row],[Beginning
Balance]]*(InterestRate/PaymentsPerYear),"")</f>
        <v>1354.3678567880384</v>
      </c>
      <c r="J32" s="25">
        <f ca="1">IF(PaymentSchedule33[[#This Row],[Payment Number]]&lt;&gt;"",IF(PaymentSchedule33[[#This Row],[Scheduled Payment]]+PaymentSchedule33[[#This Row],[Extra
Payment]]&lt;=PaymentSchedule33[[#This Row],[Beginning
Balance]],PaymentSchedule33[[#This Row],[Beginning
Balance]]-PaymentSchedule33[[#This Row],[Principal]],0),"")</f>
        <v>324617.72158940189</v>
      </c>
      <c r="K32" s="25">
        <f ca="1">IF(PaymentSchedule33[[#This Row],[Payment Number]]&lt;&gt;"",SUM(INDEX(PaymentSchedule33[Interest],1,1):PaymentSchedule33[[#This Row],[Interest]]),"")</f>
        <v>26031.427623193806</v>
      </c>
      <c r="L32" s="25">
        <f ca="1">IF(PaymentSchedule33[[#This Row],[Payment Number]]&lt;&gt;"",SUM(INDEX(PaymentSchedule33[Principal],1,1):PaymentSchedule33[[#This Row],[Principal]]),"")</f>
        <v>7882.2784105980754</v>
      </c>
      <c r="M32" s="25">
        <f ca="1">PaymentSchedule3[[#This Row],[Total
Payment]]-PaymentSchedule33[[#This Row],[Total
Payment]]</f>
        <v>427.19889995542212</v>
      </c>
      <c r="N32" s="25">
        <f ca="1">PaymentSchedule3[[#This Row],[Interest]]-PaymentSchedule33[[#This Row],[Interest]]</f>
        <v>555.13391591913501</v>
      </c>
      <c r="O32" s="25">
        <f ca="1">PaymentSchedule3[[#This Row],[Cumulative
Interest]]-PaymentSchedule33[[#This Row],[Cumulative
Interest]]</f>
        <v>10539.589521502785</v>
      </c>
    </row>
    <row r="33" spans="2:15" x14ac:dyDescent="0.25">
      <c r="B33" s="23">
        <f ca="1">IF(LoanIsGood,IF(ROW()-ROW(PaymentSchedule33[[#Headers],[Payment Number]])&gt;ScheduledNumberOfPayments,"",ROW()-ROW(PaymentSchedule33[[#Headers],[Payment Number]])),"")</f>
        <v>20</v>
      </c>
      <c r="C33" s="24">
        <f ca="1">IF(PaymentSchedule33[[#This Row],[Payment Number]]&lt;&gt;"",EOMONTH(LoanStartDate,ROW(PaymentSchedule33[[#This Row],[Payment Number]])-ROW(PaymentSchedule33[[#Headers],[Payment Number]])-2)+DAY(LoanStartDate),"")</f>
        <v>46046</v>
      </c>
      <c r="D33" s="25">
        <f ca="1">IF(PaymentSchedule33[[#This Row],[Payment Number]]&lt;&gt;"",IF(ROW()-ROW(PaymentSchedule33[[#Headers],[Beginning
Balance]])=1,LoanAmount,INDEX(PaymentSchedule33[Ending
Balance],ROW()-ROW(PaymentSchedule33[[#Headers],[Beginning
Balance]])-1)),"")</f>
        <v>324617.72158940189</v>
      </c>
      <c r="E33" s="25">
        <f ca="1">IF(PaymentSchedule33[[#This Row],[Payment Number]]&lt;&gt;"",ScheduledPayment,"")</f>
        <v>1784.9318965153623</v>
      </c>
      <c r="F3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 s="25">
        <f ca="1">IF(PaymentSchedule33[[#This Row],[Payment Number]]&lt;&gt;"",PaymentSchedule33[[#This Row],[Total
Payment]]-PaymentSchedule33[[#This Row],[Interest]],"")</f>
        <v>432.35805655952117</v>
      </c>
      <c r="I33" s="25">
        <f ca="1">IF(PaymentSchedule33[[#This Row],[Payment Number]]&lt;&gt;"",PaymentSchedule33[[#This Row],[Beginning
Balance]]*(InterestRate/PaymentsPerYear),"")</f>
        <v>1352.5738399558411</v>
      </c>
      <c r="J33" s="25">
        <f ca="1">IF(PaymentSchedule33[[#This Row],[Payment Number]]&lt;&gt;"",IF(PaymentSchedule33[[#This Row],[Scheduled Payment]]+PaymentSchedule33[[#This Row],[Extra
Payment]]&lt;=PaymentSchedule33[[#This Row],[Beginning
Balance]],PaymentSchedule33[[#This Row],[Beginning
Balance]]-PaymentSchedule33[[#This Row],[Principal]],0),"")</f>
        <v>324185.36353284237</v>
      </c>
      <c r="K33" s="25">
        <f ca="1">IF(PaymentSchedule33[[#This Row],[Payment Number]]&lt;&gt;"",SUM(INDEX(PaymentSchedule33[Interest],1,1):PaymentSchedule33[[#This Row],[Interest]]),"")</f>
        <v>27384.001463149645</v>
      </c>
      <c r="L33" s="25">
        <f ca="1">IF(PaymentSchedule33[[#This Row],[Payment Number]]&lt;&gt;"",SUM(INDEX(PaymentSchedule33[Principal],1,1):PaymentSchedule33[[#This Row],[Principal]]),"")</f>
        <v>8314.6364671575975</v>
      </c>
      <c r="M33" s="25">
        <f ca="1">PaymentSchedule3[[#This Row],[Total
Payment]]-PaymentSchedule33[[#This Row],[Total
Payment]]</f>
        <v>427.19889995542212</v>
      </c>
      <c r="N33" s="25">
        <f ca="1">PaymentSchedule3[[#This Row],[Interest]]-PaymentSchedule33[[#This Row],[Interest]]</f>
        <v>555.16259677937796</v>
      </c>
      <c r="O33" s="25">
        <f ca="1">PaymentSchedule3[[#This Row],[Cumulative
Interest]]-PaymentSchedule33[[#This Row],[Cumulative
Interest]]</f>
        <v>11094.752118282166</v>
      </c>
    </row>
    <row r="34" spans="2:15" x14ac:dyDescent="0.25">
      <c r="B34" s="23">
        <f ca="1">IF(LoanIsGood,IF(ROW()-ROW(PaymentSchedule33[[#Headers],[Payment Number]])&gt;ScheduledNumberOfPayments,"",ROW()-ROW(PaymentSchedule33[[#Headers],[Payment Number]])),"")</f>
        <v>21</v>
      </c>
      <c r="C34" s="24">
        <f ca="1">IF(PaymentSchedule33[[#This Row],[Payment Number]]&lt;&gt;"",EOMONTH(LoanStartDate,ROW(PaymentSchedule33[[#This Row],[Payment Number]])-ROW(PaymentSchedule33[[#Headers],[Payment Number]])-2)+DAY(LoanStartDate),"")</f>
        <v>46077</v>
      </c>
      <c r="D34" s="25">
        <f ca="1">IF(PaymentSchedule33[[#This Row],[Payment Number]]&lt;&gt;"",IF(ROW()-ROW(PaymentSchedule33[[#Headers],[Beginning
Balance]])=1,LoanAmount,INDEX(PaymentSchedule33[Ending
Balance],ROW()-ROW(PaymentSchedule33[[#Headers],[Beginning
Balance]])-1)),"")</f>
        <v>324185.36353284237</v>
      </c>
      <c r="E34" s="25">
        <f ca="1">IF(PaymentSchedule33[[#This Row],[Payment Number]]&lt;&gt;"",ScheduledPayment,"")</f>
        <v>1784.9318965153623</v>
      </c>
      <c r="F3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 s="25">
        <f ca="1">IF(PaymentSchedule33[[#This Row],[Payment Number]]&lt;&gt;"",PaymentSchedule33[[#This Row],[Total
Payment]]-PaymentSchedule33[[#This Row],[Interest]],"")</f>
        <v>434.15954846185241</v>
      </c>
      <c r="I34" s="25">
        <f ca="1">IF(PaymentSchedule33[[#This Row],[Payment Number]]&lt;&gt;"",PaymentSchedule33[[#This Row],[Beginning
Balance]]*(InterestRate/PaymentsPerYear),"")</f>
        <v>1350.7723480535099</v>
      </c>
      <c r="J34" s="25">
        <f ca="1">IF(PaymentSchedule33[[#This Row],[Payment Number]]&lt;&gt;"",IF(PaymentSchedule33[[#This Row],[Scheduled Payment]]+PaymentSchedule33[[#This Row],[Extra
Payment]]&lt;=PaymentSchedule33[[#This Row],[Beginning
Balance]],PaymentSchedule33[[#This Row],[Beginning
Balance]]-PaymentSchedule33[[#This Row],[Principal]],0),"")</f>
        <v>323751.20398438053</v>
      </c>
      <c r="K34" s="25">
        <f ca="1">IF(PaymentSchedule33[[#This Row],[Payment Number]]&lt;&gt;"",SUM(INDEX(PaymentSchedule33[Interest],1,1):PaymentSchedule33[[#This Row],[Interest]]),"")</f>
        <v>28734.773811203155</v>
      </c>
      <c r="L34" s="25">
        <f ca="1">IF(PaymentSchedule33[[#This Row],[Payment Number]]&lt;&gt;"",SUM(INDEX(PaymentSchedule33[Principal],1,1):PaymentSchedule33[[#This Row],[Principal]]),"")</f>
        <v>8748.7960156194495</v>
      </c>
      <c r="M34" s="25">
        <f ca="1">PaymentSchedule3[[#This Row],[Total
Payment]]-PaymentSchedule33[[#This Row],[Total
Payment]]</f>
        <v>427.19889995542212</v>
      </c>
      <c r="N34" s="25">
        <f ca="1">PaymentSchedule3[[#This Row],[Interest]]-PaymentSchedule33[[#This Row],[Interest]]</f>
        <v>555.18845491658544</v>
      </c>
      <c r="O34" s="25">
        <f ca="1">PaymentSchedule3[[#This Row],[Cumulative
Interest]]-PaymentSchedule33[[#This Row],[Cumulative
Interest]]</f>
        <v>11649.940573198754</v>
      </c>
    </row>
    <row r="35" spans="2:15" x14ac:dyDescent="0.25">
      <c r="B35" s="23">
        <f ca="1">IF(LoanIsGood,IF(ROW()-ROW(PaymentSchedule33[[#Headers],[Payment Number]])&gt;ScheduledNumberOfPayments,"",ROW()-ROW(PaymentSchedule33[[#Headers],[Payment Number]])),"")</f>
        <v>22</v>
      </c>
      <c r="C35" s="24">
        <f ca="1">IF(PaymentSchedule33[[#This Row],[Payment Number]]&lt;&gt;"",EOMONTH(LoanStartDate,ROW(PaymentSchedule33[[#This Row],[Payment Number]])-ROW(PaymentSchedule33[[#Headers],[Payment Number]])-2)+DAY(LoanStartDate),"")</f>
        <v>46105</v>
      </c>
      <c r="D35" s="25">
        <f ca="1">IF(PaymentSchedule33[[#This Row],[Payment Number]]&lt;&gt;"",IF(ROW()-ROW(PaymentSchedule33[[#Headers],[Beginning
Balance]])=1,LoanAmount,INDEX(PaymentSchedule33[Ending
Balance],ROW()-ROW(PaymentSchedule33[[#Headers],[Beginning
Balance]])-1)),"")</f>
        <v>323751.20398438053</v>
      </c>
      <c r="E35" s="25">
        <f ca="1">IF(PaymentSchedule33[[#This Row],[Payment Number]]&lt;&gt;"",ScheduledPayment,"")</f>
        <v>1784.9318965153623</v>
      </c>
      <c r="F3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 s="25">
        <f ca="1">IF(PaymentSchedule33[[#This Row],[Payment Number]]&lt;&gt;"",PaymentSchedule33[[#This Row],[Total
Payment]]-PaymentSchedule33[[#This Row],[Interest]],"")</f>
        <v>435.96854658044344</v>
      </c>
      <c r="I35" s="25">
        <f ca="1">IF(PaymentSchedule33[[#This Row],[Payment Number]]&lt;&gt;"",PaymentSchedule33[[#This Row],[Beginning
Balance]]*(InterestRate/PaymentsPerYear),"")</f>
        <v>1348.9633499349188</v>
      </c>
      <c r="J35" s="25">
        <f ca="1">IF(PaymentSchedule33[[#This Row],[Payment Number]]&lt;&gt;"",IF(PaymentSchedule33[[#This Row],[Scheduled Payment]]+PaymentSchedule33[[#This Row],[Extra
Payment]]&lt;=PaymentSchedule33[[#This Row],[Beginning
Balance]],PaymentSchedule33[[#This Row],[Beginning
Balance]]-PaymentSchedule33[[#This Row],[Principal]],0),"")</f>
        <v>323315.23543780006</v>
      </c>
      <c r="K35" s="25">
        <f ca="1">IF(PaymentSchedule33[[#This Row],[Payment Number]]&lt;&gt;"",SUM(INDEX(PaymentSchedule33[Interest],1,1):PaymentSchedule33[[#This Row],[Interest]]),"")</f>
        <v>30083.737161138073</v>
      </c>
      <c r="L35" s="25">
        <f ca="1">IF(PaymentSchedule33[[#This Row],[Payment Number]]&lt;&gt;"",SUM(INDEX(PaymentSchedule33[Principal],1,1):PaymentSchedule33[[#This Row],[Principal]]),"")</f>
        <v>9184.7645621998927</v>
      </c>
      <c r="M35" s="25">
        <f ca="1">PaymentSchedule3[[#This Row],[Total
Payment]]-PaymentSchedule33[[#This Row],[Total
Payment]]</f>
        <v>427.19889995542212</v>
      </c>
      <c r="N35" s="25">
        <f ca="1">PaymentSchedule3[[#This Row],[Interest]]-PaymentSchedule33[[#This Row],[Interest]]</f>
        <v>555.21146140642236</v>
      </c>
      <c r="O35" s="25">
        <f ca="1">PaymentSchedule3[[#This Row],[Cumulative
Interest]]-PaymentSchedule33[[#This Row],[Cumulative
Interest]]</f>
        <v>12205.152034605177</v>
      </c>
    </row>
    <row r="36" spans="2:15" x14ac:dyDescent="0.25">
      <c r="B36" s="23">
        <f ca="1">IF(LoanIsGood,IF(ROW()-ROW(PaymentSchedule33[[#Headers],[Payment Number]])&gt;ScheduledNumberOfPayments,"",ROW()-ROW(PaymentSchedule33[[#Headers],[Payment Number]])),"")</f>
        <v>23</v>
      </c>
      <c r="C36" s="24">
        <f ca="1">IF(PaymentSchedule33[[#This Row],[Payment Number]]&lt;&gt;"",EOMONTH(LoanStartDate,ROW(PaymentSchedule33[[#This Row],[Payment Number]])-ROW(PaymentSchedule33[[#Headers],[Payment Number]])-2)+DAY(LoanStartDate),"")</f>
        <v>46136</v>
      </c>
      <c r="D36" s="25">
        <f ca="1">IF(PaymentSchedule33[[#This Row],[Payment Number]]&lt;&gt;"",IF(ROW()-ROW(PaymentSchedule33[[#Headers],[Beginning
Balance]])=1,LoanAmount,INDEX(PaymentSchedule33[Ending
Balance],ROW()-ROW(PaymentSchedule33[[#Headers],[Beginning
Balance]])-1)),"")</f>
        <v>323315.23543780006</v>
      </c>
      <c r="E36" s="25">
        <f ca="1">IF(PaymentSchedule33[[#This Row],[Payment Number]]&lt;&gt;"",ScheduledPayment,"")</f>
        <v>1784.9318965153623</v>
      </c>
      <c r="F3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 s="25">
        <f ca="1">IF(PaymentSchedule33[[#This Row],[Payment Number]]&lt;&gt;"",PaymentSchedule33[[#This Row],[Total
Payment]]-PaymentSchedule33[[#This Row],[Interest]],"")</f>
        <v>437.78508219119544</v>
      </c>
      <c r="I36" s="25">
        <f ca="1">IF(PaymentSchedule33[[#This Row],[Payment Number]]&lt;&gt;"",PaymentSchedule33[[#This Row],[Beginning
Balance]]*(InterestRate/PaymentsPerYear),"")</f>
        <v>1347.1468143241668</v>
      </c>
      <c r="J36" s="25">
        <f ca="1">IF(PaymentSchedule33[[#This Row],[Payment Number]]&lt;&gt;"",IF(PaymentSchedule33[[#This Row],[Scheduled Payment]]+PaymentSchedule33[[#This Row],[Extra
Payment]]&lt;=PaymentSchedule33[[#This Row],[Beginning
Balance]],PaymentSchedule33[[#This Row],[Beginning
Balance]]-PaymentSchedule33[[#This Row],[Principal]],0),"")</f>
        <v>322877.45035560889</v>
      </c>
      <c r="K36" s="25">
        <f ca="1">IF(PaymentSchedule33[[#This Row],[Payment Number]]&lt;&gt;"",SUM(INDEX(PaymentSchedule33[Interest],1,1):PaymentSchedule33[[#This Row],[Interest]]),"")</f>
        <v>31430.883975462239</v>
      </c>
      <c r="L36" s="25">
        <f ca="1">IF(PaymentSchedule33[[#This Row],[Payment Number]]&lt;&gt;"",SUM(INDEX(PaymentSchedule33[Principal],1,1):PaymentSchedule33[[#This Row],[Principal]]),"")</f>
        <v>9622.5496443910888</v>
      </c>
      <c r="M36" s="25">
        <f ca="1">PaymentSchedule3[[#This Row],[Total
Payment]]-PaymentSchedule33[[#This Row],[Total
Payment]]</f>
        <v>427.19889995542212</v>
      </c>
      <c r="N36" s="25">
        <f ca="1">PaymentSchedule3[[#This Row],[Interest]]-PaymentSchedule33[[#This Row],[Interest]]</f>
        <v>555.23158710391908</v>
      </c>
      <c r="O36" s="25">
        <f ca="1">PaymentSchedule3[[#This Row],[Cumulative
Interest]]-PaymentSchedule33[[#This Row],[Cumulative
Interest]]</f>
        <v>12760.383621709094</v>
      </c>
    </row>
    <row r="37" spans="2:15" x14ac:dyDescent="0.25">
      <c r="B37" s="23">
        <f ca="1">IF(LoanIsGood,IF(ROW()-ROW(PaymentSchedule33[[#Headers],[Payment Number]])&gt;ScheduledNumberOfPayments,"",ROW()-ROW(PaymentSchedule33[[#Headers],[Payment Number]])),"")</f>
        <v>24</v>
      </c>
      <c r="C37" s="24">
        <f ca="1">IF(PaymentSchedule33[[#This Row],[Payment Number]]&lt;&gt;"",EOMONTH(LoanStartDate,ROW(PaymentSchedule33[[#This Row],[Payment Number]])-ROW(PaymentSchedule33[[#Headers],[Payment Number]])-2)+DAY(LoanStartDate),"")</f>
        <v>46166</v>
      </c>
      <c r="D37" s="25">
        <f ca="1">IF(PaymentSchedule33[[#This Row],[Payment Number]]&lt;&gt;"",IF(ROW()-ROW(PaymentSchedule33[[#Headers],[Beginning
Balance]])=1,LoanAmount,INDEX(PaymentSchedule33[Ending
Balance],ROW()-ROW(PaymentSchedule33[[#Headers],[Beginning
Balance]])-1)),"")</f>
        <v>322877.45035560889</v>
      </c>
      <c r="E37" s="25">
        <f ca="1">IF(PaymentSchedule33[[#This Row],[Payment Number]]&lt;&gt;"",ScheduledPayment,"")</f>
        <v>1784.9318965153623</v>
      </c>
      <c r="F3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7" s="25">
        <f ca="1">IF(PaymentSchedule33[[#This Row],[Payment Number]]&lt;&gt;"",PaymentSchedule33[[#This Row],[Total
Payment]]-PaymentSchedule33[[#This Row],[Interest]],"")</f>
        <v>439.60918670032515</v>
      </c>
      <c r="I37" s="25">
        <f ca="1">IF(PaymentSchedule33[[#This Row],[Payment Number]]&lt;&gt;"",PaymentSchedule33[[#This Row],[Beginning
Balance]]*(InterestRate/PaymentsPerYear),"")</f>
        <v>1345.3227098150371</v>
      </c>
      <c r="J37" s="25">
        <f ca="1">IF(PaymentSchedule33[[#This Row],[Payment Number]]&lt;&gt;"",IF(PaymentSchedule33[[#This Row],[Scheduled Payment]]+PaymentSchedule33[[#This Row],[Extra
Payment]]&lt;=PaymentSchedule33[[#This Row],[Beginning
Balance]],PaymentSchedule33[[#This Row],[Beginning
Balance]]-PaymentSchedule33[[#This Row],[Principal]],0),"")</f>
        <v>322437.84116890858</v>
      </c>
      <c r="K37" s="25">
        <f ca="1">IF(PaymentSchedule33[[#This Row],[Payment Number]]&lt;&gt;"",SUM(INDEX(PaymentSchedule33[Interest],1,1):PaymentSchedule33[[#This Row],[Interest]]),"")</f>
        <v>32776.206685277277</v>
      </c>
      <c r="L37" s="25">
        <f ca="1">IF(PaymentSchedule33[[#This Row],[Payment Number]]&lt;&gt;"",SUM(INDEX(PaymentSchedule33[Principal],1,1):PaymentSchedule33[[#This Row],[Principal]]),"")</f>
        <v>10062.158831091414</v>
      </c>
      <c r="M37" s="25">
        <f ca="1">PaymentSchedule3[[#This Row],[Total
Payment]]-PaymentSchedule33[[#This Row],[Total
Payment]]</f>
        <v>427.19889995542212</v>
      </c>
      <c r="N37" s="25">
        <f ca="1">PaymentSchedule3[[#This Row],[Interest]]-PaymentSchedule33[[#This Row],[Interest]]</f>
        <v>555.24880264196645</v>
      </c>
      <c r="O37" s="25">
        <f ca="1">PaymentSchedule3[[#This Row],[Cumulative
Interest]]-PaymentSchedule33[[#This Row],[Cumulative
Interest]]</f>
        <v>13315.632424351061</v>
      </c>
    </row>
    <row r="38" spans="2:15" x14ac:dyDescent="0.25">
      <c r="B38" s="23">
        <f ca="1">IF(LoanIsGood,IF(ROW()-ROW(PaymentSchedule33[[#Headers],[Payment Number]])&gt;ScheduledNumberOfPayments,"",ROW()-ROW(PaymentSchedule33[[#Headers],[Payment Number]])),"")</f>
        <v>25</v>
      </c>
      <c r="C38" s="24">
        <f ca="1">IF(PaymentSchedule33[[#This Row],[Payment Number]]&lt;&gt;"",EOMONTH(LoanStartDate,ROW(PaymentSchedule33[[#This Row],[Payment Number]])-ROW(PaymentSchedule33[[#Headers],[Payment Number]])-2)+DAY(LoanStartDate),"")</f>
        <v>46197</v>
      </c>
      <c r="D38" s="25">
        <f ca="1">IF(PaymentSchedule33[[#This Row],[Payment Number]]&lt;&gt;"",IF(ROW()-ROW(PaymentSchedule33[[#Headers],[Beginning
Balance]])=1,LoanAmount,INDEX(PaymentSchedule33[Ending
Balance],ROW()-ROW(PaymentSchedule33[[#Headers],[Beginning
Balance]])-1)),"")</f>
        <v>322437.84116890858</v>
      </c>
      <c r="E38" s="25">
        <f ca="1">IF(PaymentSchedule33[[#This Row],[Payment Number]]&lt;&gt;"",ScheduledPayment,"")</f>
        <v>1784.9318965153623</v>
      </c>
      <c r="F3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8" s="25">
        <f ca="1">IF(PaymentSchedule33[[#This Row],[Payment Number]]&lt;&gt;"",PaymentSchedule33[[#This Row],[Total
Payment]]-PaymentSchedule33[[#This Row],[Interest]],"")</f>
        <v>441.44089164490993</v>
      </c>
      <c r="I38" s="25">
        <f ca="1">IF(PaymentSchedule33[[#This Row],[Payment Number]]&lt;&gt;"",PaymentSchedule33[[#This Row],[Beginning
Balance]]*(InterestRate/PaymentsPerYear),"")</f>
        <v>1343.4910048704523</v>
      </c>
      <c r="J38" s="25">
        <f ca="1">IF(PaymentSchedule33[[#This Row],[Payment Number]]&lt;&gt;"",IF(PaymentSchedule33[[#This Row],[Scheduled Payment]]+PaymentSchedule33[[#This Row],[Extra
Payment]]&lt;=PaymentSchedule33[[#This Row],[Beginning
Balance]],PaymentSchedule33[[#This Row],[Beginning
Balance]]-PaymentSchedule33[[#This Row],[Principal]],0),"")</f>
        <v>321996.40027726366</v>
      </c>
      <c r="K38" s="25">
        <f ca="1">IF(PaymentSchedule33[[#This Row],[Payment Number]]&lt;&gt;"",SUM(INDEX(PaymentSchedule33[Interest],1,1):PaymentSchedule33[[#This Row],[Interest]]),"")</f>
        <v>34119.697690147732</v>
      </c>
      <c r="L38" s="25">
        <f ca="1">IF(PaymentSchedule33[[#This Row],[Payment Number]]&lt;&gt;"",SUM(INDEX(PaymentSchedule33[Principal],1,1):PaymentSchedule33[[#This Row],[Principal]]),"")</f>
        <v>10503.599722736324</v>
      </c>
      <c r="M38" s="25">
        <f ca="1">PaymentSchedule3[[#This Row],[Total
Payment]]-PaymentSchedule33[[#This Row],[Total
Payment]]</f>
        <v>427.19889995542212</v>
      </c>
      <c r="N38" s="25">
        <f ca="1">PaymentSchedule3[[#This Row],[Interest]]-PaymentSchedule33[[#This Row],[Interest]]</f>
        <v>555.26307842980441</v>
      </c>
      <c r="O38" s="25">
        <f ca="1">PaymentSchedule3[[#This Row],[Cumulative
Interest]]-PaymentSchedule33[[#This Row],[Cumulative
Interest]]</f>
        <v>13870.895502780862</v>
      </c>
    </row>
    <row r="39" spans="2:15" x14ac:dyDescent="0.25">
      <c r="B39" s="23">
        <f ca="1">IF(LoanIsGood,IF(ROW()-ROW(PaymentSchedule33[[#Headers],[Payment Number]])&gt;ScheduledNumberOfPayments,"",ROW()-ROW(PaymentSchedule33[[#Headers],[Payment Number]])),"")</f>
        <v>26</v>
      </c>
      <c r="C39" s="24">
        <f ca="1">IF(PaymentSchedule33[[#This Row],[Payment Number]]&lt;&gt;"",EOMONTH(LoanStartDate,ROW(PaymentSchedule33[[#This Row],[Payment Number]])-ROW(PaymentSchedule33[[#Headers],[Payment Number]])-2)+DAY(LoanStartDate),"")</f>
        <v>46227</v>
      </c>
      <c r="D39" s="25">
        <f ca="1">IF(PaymentSchedule33[[#This Row],[Payment Number]]&lt;&gt;"",IF(ROW()-ROW(PaymentSchedule33[[#Headers],[Beginning
Balance]])=1,LoanAmount,INDEX(PaymentSchedule33[Ending
Balance],ROW()-ROW(PaymentSchedule33[[#Headers],[Beginning
Balance]])-1)),"")</f>
        <v>321996.40027726366</v>
      </c>
      <c r="E39" s="25">
        <f ca="1">IF(PaymentSchedule33[[#This Row],[Payment Number]]&lt;&gt;"",ScheduledPayment,"")</f>
        <v>1784.9318965153623</v>
      </c>
      <c r="F3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9" s="25">
        <f ca="1">IF(PaymentSchedule33[[#This Row],[Payment Number]]&lt;&gt;"",PaymentSchedule33[[#This Row],[Total
Payment]]-PaymentSchedule33[[#This Row],[Interest]],"")</f>
        <v>443.28022869343044</v>
      </c>
      <c r="I39" s="25">
        <f ca="1">IF(PaymentSchedule33[[#This Row],[Payment Number]]&lt;&gt;"",PaymentSchedule33[[#This Row],[Beginning
Balance]]*(InterestRate/PaymentsPerYear),"")</f>
        <v>1341.6516678219318</v>
      </c>
      <c r="J39" s="25">
        <f ca="1">IF(PaymentSchedule33[[#This Row],[Payment Number]]&lt;&gt;"",IF(PaymentSchedule33[[#This Row],[Scheduled Payment]]+PaymentSchedule33[[#This Row],[Extra
Payment]]&lt;=PaymentSchedule33[[#This Row],[Beginning
Balance]],PaymentSchedule33[[#This Row],[Beginning
Balance]]-PaymentSchedule33[[#This Row],[Principal]],0),"")</f>
        <v>321553.12004857021</v>
      </c>
      <c r="K39" s="25">
        <f ca="1">IF(PaymentSchedule33[[#This Row],[Payment Number]]&lt;&gt;"",SUM(INDEX(PaymentSchedule33[Interest],1,1):PaymentSchedule33[[#This Row],[Interest]]),"")</f>
        <v>35461.349357969666</v>
      </c>
      <c r="L39" s="25">
        <f ca="1">IF(PaymentSchedule33[[#This Row],[Payment Number]]&lt;&gt;"",SUM(INDEX(PaymentSchedule33[Principal],1,1):PaymentSchedule33[[#This Row],[Principal]]),"")</f>
        <v>10946.879951429755</v>
      </c>
      <c r="M39" s="25">
        <f ca="1">PaymentSchedule3[[#This Row],[Total
Payment]]-PaymentSchedule33[[#This Row],[Total
Payment]]</f>
        <v>427.19889995542212</v>
      </c>
      <c r="N39" s="25">
        <f ca="1">PaymentSchedule3[[#This Row],[Interest]]-PaymentSchedule33[[#This Row],[Interest]]</f>
        <v>555.2743846514968</v>
      </c>
      <c r="O39" s="25">
        <f ca="1">PaymentSchedule3[[#This Row],[Cumulative
Interest]]-PaymentSchedule33[[#This Row],[Cumulative
Interest]]</f>
        <v>14426.169887432356</v>
      </c>
    </row>
    <row r="40" spans="2:15" x14ac:dyDescent="0.25">
      <c r="B40" s="23">
        <f ca="1">IF(LoanIsGood,IF(ROW()-ROW(PaymentSchedule33[[#Headers],[Payment Number]])&gt;ScheduledNumberOfPayments,"",ROW()-ROW(PaymentSchedule33[[#Headers],[Payment Number]])),"")</f>
        <v>27</v>
      </c>
      <c r="C40" s="24">
        <f ca="1">IF(PaymentSchedule33[[#This Row],[Payment Number]]&lt;&gt;"",EOMONTH(LoanStartDate,ROW(PaymentSchedule33[[#This Row],[Payment Number]])-ROW(PaymentSchedule33[[#Headers],[Payment Number]])-2)+DAY(LoanStartDate),"")</f>
        <v>46258</v>
      </c>
      <c r="D40" s="25">
        <f ca="1">IF(PaymentSchedule33[[#This Row],[Payment Number]]&lt;&gt;"",IF(ROW()-ROW(PaymentSchedule33[[#Headers],[Beginning
Balance]])=1,LoanAmount,INDEX(PaymentSchedule33[Ending
Balance],ROW()-ROW(PaymentSchedule33[[#Headers],[Beginning
Balance]])-1)),"")</f>
        <v>321553.12004857021</v>
      </c>
      <c r="E40" s="25">
        <f ca="1">IF(PaymentSchedule33[[#This Row],[Payment Number]]&lt;&gt;"",ScheduledPayment,"")</f>
        <v>1784.9318965153623</v>
      </c>
      <c r="F4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0" s="25">
        <f ca="1">IF(PaymentSchedule33[[#This Row],[Payment Number]]&lt;&gt;"",PaymentSchedule33[[#This Row],[Total
Payment]]-PaymentSchedule33[[#This Row],[Interest]],"")</f>
        <v>445.12722964631962</v>
      </c>
      <c r="I40" s="25">
        <f ca="1">IF(PaymentSchedule33[[#This Row],[Payment Number]]&lt;&gt;"",PaymentSchedule33[[#This Row],[Beginning
Balance]]*(InterestRate/PaymentsPerYear),"")</f>
        <v>1339.8046668690426</v>
      </c>
      <c r="J40" s="25">
        <f ca="1">IF(PaymentSchedule33[[#This Row],[Payment Number]]&lt;&gt;"",IF(PaymentSchedule33[[#This Row],[Scheduled Payment]]+PaymentSchedule33[[#This Row],[Extra
Payment]]&lt;=PaymentSchedule33[[#This Row],[Beginning
Balance]],PaymentSchedule33[[#This Row],[Beginning
Balance]]-PaymentSchedule33[[#This Row],[Principal]],0),"")</f>
        <v>321107.9928189239</v>
      </c>
      <c r="K40" s="25">
        <f ca="1">IF(PaymentSchedule33[[#This Row],[Payment Number]]&lt;&gt;"",SUM(INDEX(PaymentSchedule33[Interest],1,1):PaymentSchedule33[[#This Row],[Interest]]),"")</f>
        <v>36801.15402483871</v>
      </c>
      <c r="L40" s="25">
        <f ca="1">IF(PaymentSchedule33[[#This Row],[Payment Number]]&lt;&gt;"",SUM(INDEX(PaymentSchedule33[Principal],1,1):PaymentSchedule33[[#This Row],[Principal]]),"")</f>
        <v>11392.007181076075</v>
      </c>
      <c r="M40" s="25">
        <f ca="1">PaymentSchedule3[[#This Row],[Total
Payment]]-PaymentSchedule33[[#This Row],[Total
Payment]]</f>
        <v>427.19889995542212</v>
      </c>
      <c r="N40" s="25">
        <f ca="1">PaymentSchedule3[[#This Row],[Interest]]-PaymentSchedule33[[#This Row],[Interest]]</f>
        <v>555.28269126440114</v>
      </c>
      <c r="O40" s="25">
        <f ca="1">PaymentSchedule3[[#This Row],[Cumulative
Interest]]-PaymentSchedule33[[#This Row],[Cumulative
Interest]]</f>
        <v>14981.452578696757</v>
      </c>
    </row>
    <row r="41" spans="2:15" x14ac:dyDescent="0.25">
      <c r="B41" s="23">
        <f ca="1">IF(LoanIsGood,IF(ROW()-ROW(PaymentSchedule33[[#Headers],[Payment Number]])&gt;ScheduledNumberOfPayments,"",ROW()-ROW(PaymentSchedule33[[#Headers],[Payment Number]])),"")</f>
        <v>28</v>
      </c>
      <c r="C41" s="24">
        <f ca="1">IF(PaymentSchedule33[[#This Row],[Payment Number]]&lt;&gt;"",EOMONTH(LoanStartDate,ROW(PaymentSchedule33[[#This Row],[Payment Number]])-ROW(PaymentSchedule33[[#Headers],[Payment Number]])-2)+DAY(LoanStartDate),"")</f>
        <v>46289</v>
      </c>
      <c r="D41" s="25">
        <f ca="1">IF(PaymentSchedule33[[#This Row],[Payment Number]]&lt;&gt;"",IF(ROW()-ROW(PaymentSchedule33[[#Headers],[Beginning
Balance]])=1,LoanAmount,INDEX(PaymentSchedule33[Ending
Balance],ROW()-ROW(PaymentSchedule33[[#Headers],[Beginning
Balance]])-1)),"")</f>
        <v>321107.9928189239</v>
      </c>
      <c r="E41" s="25">
        <f ca="1">IF(PaymentSchedule33[[#This Row],[Payment Number]]&lt;&gt;"",ScheduledPayment,"")</f>
        <v>1784.9318965153623</v>
      </c>
      <c r="F4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1" s="25">
        <f ca="1">IF(PaymentSchedule33[[#This Row],[Payment Number]]&lt;&gt;"",PaymentSchedule33[[#This Row],[Total
Payment]]-PaymentSchedule33[[#This Row],[Interest]],"")</f>
        <v>446.98192643651259</v>
      </c>
      <c r="I41" s="25">
        <f ca="1">IF(PaymentSchedule33[[#This Row],[Payment Number]]&lt;&gt;"",PaymentSchedule33[[#This Row],[Beginning
Balance]]*(InterestRate/PaymentsPerYear),"")</f>
        <v>1337.9499700788497</v>
      </c>
      <c r="J41" s="25">
        <f ca="1">IF(PaymentSchedule33[[#This Row],[Payment Number]]&lt;&gt;"",IF(PaymentSchedule33[[#This Row],[Scheduled Payment]]+PaymentSchedule33[[#This Row],[Extra
Payment]]&lt;=PaymentSchedule33[[#This Row],[Beginning
Balance]],PaymentSchedule33[[#This Row],[Beginning
Balance]]-PaymentSchedule33[[#This Row],[Principal]],0),"")</f>
        <v>320661.01089248736</v>
      </c>
      <c r="K41" s="25">
        <f ca="1">IF(PaymentSchedule33[[#This Row],[Payment Number]]&lt;&gt;"",SUM(INDEX(PaymentSchedule33[Interest],1,1):PaymentSchedule33[[#This Row],[Interest]]),"")</f>
        <v>38139.103994917561</v>
      </c>
      <c r="L41" s="25">
        <f ca="1">IF(PaymentSchedule33[[#This Row],[Payment Number]]&lt;&gt;"",SUM(INDEX(PaymentSchedule33[Principal],1,1):PaymentSchedule33[[#This Row],[Principal]]),"")</f>
        <v>11838.989107512587</v>
      </c>
      <c r="M41" s="25">
        <f ca="1">PaymentSchedule3[[#This Row],[Total
Payment]]-PaymentSchedule33[[#This Row],[Total
Payment]]</f>
        <v>427.19889995542212</v>
      </c>
      <c r="N41" s="25">
        <f ca="1">PaymentSchedule3[[#This Row],[Interest]]-PaymentSchedule33[[#This Row],[Interest]]</f>
        <v>555.28796799762631</v>
      </c>
      <c r="O41" s="25">
        <f ca="1">PaymentSchedule3[[#This Row],[Cumulative
Interest]]-PaymentSchedule33[[#This Row],[Cumulative
Interest]]</f>
        <v>15536.740546694382</v>
      </c>
    </row>
    <row r="42" spans="2:15" x14ac:dyDescent="0.25">
      <c r="B42" s="23">
        <f ca="1">IF(LoanIsGood,IF(ROW()-ROW(PaymentSchedule33[[#Headers],[Payment Number]])&gt;ScheduledNumberOfPayments,"",ROW()-ROW(PaymentSchedule33[[#Headers],[Payment Number]])),"")</f>
        <v>29</v>
      </c>
      <c r="C42" s="24">
        <f ca="1">IF(PaymentSchedule33[[#This Row],[Payment Number]]&lt;&gt;"",EOMONTH(LoanStartDate,ROW(PaymentSchedule33[[#This Row],[Payment Number]])-ROW(PaymentSchedule33[[#Headers],[Payment Number]])-2)+DAY(LoanStartDate),"")</f>
        <v>46319</v>
      </c>
      <c r="D42" s="25">
        <f ca="1">IF(PaymentSchedule33[[#This Row],[Payment Number]]&lt;&gt;"",IF(ROW()-ROW(PaymentSchedule33[[#Headers],[Beginning
Balance]])=1,LoanAmount,INDEX(PaymentSchedule33[Ending
Balance],ROW()-ROW(PaymentSchedule33[[#Headers],[Beginning
Balance]])-1)),"")</f>
        <v>320661.01089248736</v>
      </c>
      <c r="E42" s="25">
        <f ca="1">IF(PaymentSchedule33[[#This Row],[Payment Number]]&lt;&gt;"",ScheduledPayment,"")</f>
        <v>1784.9318965153623</v>
      </c>
      <c r="F4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2" s="25">
        <f ca="1">IF(PaymentSchedule33[[#This Row],[Payment Number]]&lt;&gt;"",PaymentSchedule33[[#This Row],[Total
Payment]]-PaymentSchedule33[[#This Row],[Interest]],"")</f>
        <v>448.84435112999836</v>
      </c>
      <c r="I42" s="25">
        <f ca="1">IF(PaymentSchedule33[[#This Row],[Payment Number]]&lt;&gt;"",PaymentSchedule33[[#This Row],[Beginning
Balance]]*(InterestRate/PaymentsPerYear),"")</f>
        <v>1336.0875453853639</v>
      </c>
      <c r="J42" s="25">
        <f ca="1">IF(PaymentSchedule33[[#This Row],[Payment Number]]&lt;&gt;"",IF(PaymentSchedule33[[#This Row],[Scheduled Payment]]+PaymentSchedule33[[#This Row],[Extra
Payment]]&lt;=PaymentSchedule33[[#This Row],[Beginning
Balance]],PaymentSchedule33[[#This Row],[Beginning
Balance]]-PaymentSchedule33[[#This Row],[Principal]],0),"")</f>
        <v>320212.16654135735</v>
      </c>
      <c r="K42" s="25">
        <f ca="1">IF(PaymentSchedule33[[#This Row],[Payment Number]]&lt;&gt;"",SUM(INDEX(PaymentSchedule33[Interest],1,1):PaymentSchedule33[[#This Row],[Interest]]),"")</f>
        <v>39475.191540302927</v>
      </c>
      <c r="L42" s="25">
        <f ca="1">IF(PaymentSchedule33[[#This Row],[Payment Number]]&lt;&gt;"",SUM(INDEX(PaymentSchedule33[Principal],1,1):PaymentSchedule33[[#This Row],[Principal]]),"")</f>
        <v>12287.833458642584</v>
      </c>
      <c r="M42" s="25">
        <f ca="1">PaymentSchedule3[[#This Row],[Total
Payment]]-PaymentSchedule33[[#This Row],[Total
Payment]]</f>
        <v>427.19889995542212</v>
      </c>
      <c r="N42" s="25">
        <f ca="1">PaymentSchedule3[[#This Row],[Interest]]-PaymentSchedule33[[#This Row],[Interest]]</f>
        <v>555.29018435047874</v>
      </c>
      <c r="O42" s="25">
        <f ca="1">PaymentSchedule3[[#This Row],[Cumulative
Interest]]-PaymentSchedule33[[#This Row],[Cumulative
Interest]]</f>
        <v>16092.030731044855</v>
      </c>
    </row>
    <row r="43" spans="2:15" x14ac:dyDescent="0.25">
      <c r="B43" s="23">
        <f ca="1">IF(LoanIsGood,IF(ROW()-ROW(PaymentSchedule33[[#Headers],[Payment Number]])&gt;ScheduledNumberOfPayments,"",ROW()-ROW(PaymentSchedule33[[#Headers],[Payment Number]])),"")</f>
        <v>30</v>
      </c>
      <c r="C43" s="24">
        <f ca="1">IF(PaymentSchedule33[[#This Row],[Payment Number]]&lt;&gt;"",EOMONTH(LoanStartDate,ROW(PaymentSchedule33[[#This Row],[Payment Number]])-ROW(PaymentSchedule33[[#Headers],[Payment Number]])-2)+DAY(LoanStartDate),"")</f>
        <v>46350</v>
      </c>
      <c r="D43" s="25">
        <f ca="1">IF(PaymentSchedule33[[#This Row],[Payment Number]]&lt;&gt;"",IF(ROW()-ROW(PaymentSchedule33[[#Headers],[Beginning
Balance]])=1,LoanAmount,INDEX(PaymentSchedule33[Ending
Balance],ROW()-ROW(PaymentSchedule33[[#Headers],[Beginning
Balance]])-1)),"")</f>
        <v>320212.16654135735</v>
      </c>
      <c r="E43" s="25">
        <f ca="1">IF(PaymentSchedule33[[#This Row],[Payment Number]]&lt;&gt;"",ScheduledPayment,"")</f>
        <v>1784.9318965153623</v>
      </c>
      <c r="F4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3" s="25">
        <f ca="1">IF(PaymentSchedule33[[#This Row],[Payment Number]]&lt;&gt;"",PaymentSchedule33[[#This Row],[Total
Payment]]-PaymentSchedule33[[#This Row],[Interest]],"")</f>
        <v>450.7145359263734</v>
      </c>
      <c r="I43" s="25">
        <f ca="1">IF(PaymentSchedule33[[#This Row],[Payment Number]]&lt;&gt;"",PaymentSchedule33[[#This Row],[Beginning
Balance]]*(InterestRate/PaymentsPerYear),"")</f>
        <v>1334.2173605889889</v>
      </c>
      <c r="J43" s="25">
        <f ca="1">IF(PaymentSchedule33[[#This Row],[Payment Number]]&lt;&gt;"",IF(PaymentSchedule33[[#This Row],[Scheduled Payment]]+PaymentSchedule33[[#This Row],[Extra
Payment]]&lt;=PaymentSchedule33[[#This Row],[Beginning
Balance]],PaymentSchedule33[[#This Row],[Beginning
Balance]]-PaymentSchedule33[[#This Row],[Principal]],0),"")</f>
        <v>319761.452005431</v>
      </c>
      <c r="K43" s="25">
        <f ca="1">IF(PaymentSchedule33[[#This Row],[Payment Number]]&lt;&gt;"",SUM(INDEX(PaymentSchedule33[Interest],1,1):PaymentSchedule33[[#This Row],[Interest]]),"")</f>
        <v>40809.408900891918</v>
      </c>
      <c r="L43" s="25">
        <f ca="1">IF(PaymentSchedule33[[#This Row],[Payment Number]]&lt;&gt;"",SUM(INDEX(PaymentSchedule33[Principal],1,1):PaymentSchedule33[[#This Row],[Principal]]),"")</f>
        <v>12738.547994568959</v>
      </c>
      <c r="M43" s="25">
        <f ca="1">PaymentSchedule3[[#This Row],[Total
Payment]]-PaymentSchedule33[[#This Row],[Total
Payment]]</f>
        <v>427.19889995542212</v>
      </c>
      <c r="N43" s="25">
        <f ca="1">PaymentSchedule3[[#This Row],[Interest]]-PaymentSchedule33[[#This Row],[Interest]]</f>
        <v>555.28930959090007</v>
      </c>
      <c r="O43" s="25">
        <f ca="1">PaymentSchedule3[[#This Row],[Cumulative
Interest]]-PaymentSchedule33[[#This Row],[Cumulative
Interest]]</f>
        <v>16647.32004063575</v>
      </c>
    </row>
    <row r="44" spans="2:15" x14ac:dyDescent="0.25">
      <c r="B44" s="23">
        <f ca="1">IF(LoanIsGood,IF(ROW()-ROW(PaymentSchedule33[[#Headers],[Payment Number]])&gt;ScheduledNumberOfPayments,"",ROW()-ROW(PaymentSchedule33[[#Headers],[Payment Number]])),"")</f>
        <v>31</v>
      </c>
      <c r="C44" s="24">
        <f ca="1">IF(PaymentSchedule33[[#This Row],[Payment Number]]&lt;&gt;"",EOMONTH(LoanStartDate,ROW(PaymentSchedule33[[#This Row],[Payment Number]])-ROW(PaymentSchedule33[[#Headers],[Payment Number]])-2)+DAY(LoanStartDate),"")</f>
        <v>46380</v>
      </c>
      <c r="D44" s="25">
        <f ca="1">IF(PaymentSchedule33[[#This Row],[Payment Number]]&lt;&gt;"",IF(ROW()-ROW(PaymentSchedule33[[#Headers],[Beginning
Balance]])=1,LoanAmount,INDEX(PaymentSchedule33[Ending
Balance],ROW()-ROW(PaymentSchedule33[[#Headers],[Beginning
Balance]])-1)),"")</f>
        <v>319761.452005431</v>
      </c>
      <c r="E44" s="25">
        <f ca="1">IF(PaymentSchedule33[[#This Row],[Payment Number]]&lt;&gt;"",ScheduledPayment,"")</f>
        <v>1784.9318965153623</v>
      </c>
      <c r="F4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4" s="25">
        <f ca="1">IF(PaymentSchedule33[[#This Row],[Payment Number]]&lt;&gt;"",PaymentSchedule33[[#This Row],[Total
Payment]]-PaymentSchedule33[[#This Row],[Interest]],"")</f>
        <v>452.59251315939969</v>
      </c>
      <c r="I44" s="25">
        <f ca="1">IF(PaymentSchedule33[[#This Row],[Payment Number]]&lt;&gt;"",PaymentSchedule33[[#This Row],[Beginning
Balance]]*(InterestRate/PaymentsPerYear),"")</f>
        <v>1332.3393833559626</v>
      </c>
      <c r="J44" s="25">
        <f ca="1">IF(PaymentSchedule33[[#This Row],[Payment Number]]&lt;&gt;"",IF(PaymentSchedule33[[#This Row],[Scheduled Payment]]+PaymentSchedule33[[#This Row],[Extra
Payment]]&lt;=PaymentSchedule33[[#This Row],[Beginning
Balance]],PaymentSchedule33[[#This Row],[Beginning
Balance]]-PaymentSchedule33[[#This Row],[Principal]],0),"")</f>
        <v>319308.85949227161</v>
      </c>
      <c r="K44" s="25">
        <f ca="1">IF(PaymentSchedule33[[#This Row],[Payment Number]]&lt;&gt;"",SUM(INDEX(PaymentSchedule33[Interest],1,1):PaymentSchedule33[[#This Row],[Interest]]),"")</f>
        <v>42141.748284247878</v>
      </c>
      <c r="L44" s="25">
        <f ca="1">IF(PaymentSchedule33[[#This Row],[Payment Number]]&lt;&gt;"",SUM(INDEX(PaymentSchedule33[Principal],1,1):PaymentSchedule33[[#This Row],[Principal]]),"")</f>
        <v>13191.140507728358</v>
      </c>
      <c r="M44" s="25">
        <f ca="1">PaymentSchedule3[[#This Row],[Total
Payment]]-PaymentSchedule33[[#This Row],[Total
Payment]]</f>
        <v>427.19889995542212</v>
      </c>
      <c r="N44" s="25">
        <f ca="1">PaymentSchedule3[[#This Row],[Interest]]-PaymentSchedule33[[#This Row],[Interest]]</f>
        <v>555.28531275389605</v>
      </c>
      <c r="O44" s="25">
        <f ca="1">PaymentSchedule3[[#This Row],[Cumulative
Interest]]-PaymentSchedule33[[#This Row],[Cumulative
Interest]]</f>
        <v>17202.605353389648</v>
      </c>
    </row>
    <row r="45" spans="2:15" x14ac:dyDescent="0.25">
      <c r="B45" s="23">
        <f ca="1">IF(LoanIsGood,IF(ROW()-ROW(PaymentSchedule33[[#Headers],[Payment Number]])&gt;ScheduledNumberOfPayments,"",ROW()-ROW(PaymentSchedule33[[#Headers],[Payment Number]])),"")</f>
        <v>32</v>
      </c>
      <c r="C45" s="24">
        <f ca="1">IF(PaymentSchedule33[[#This Row],[Payment Number]]&lt;&gt;"",EOMONTH(LoanStartDate,ROW(PaymentSchedule33[[#This Row],[Payment Number]])-ROW(PaymentSchedule33[[#Headers],[Payment Number]])-2)+DAY(LoanStartDate),"")</f>
        <v>46411</v>
      </c>
      <c r="D45" s="25">
        <f ca="1">IF(PaymentSchedule33[[#This Row],[Payment Number]]&lt;&gt;"",IF(ROW()-ROW(PaymentSchedule33[[#Headers],[Beginning
Balance]])=1,LoanAmount,INDEX(PaymentSchedule33[Ending
Balance],ROW()-ROW(PaymentSchedule33[[#Headers],[Beginning
Balance]])-1)),"")</f>
        <v>319308.85949227161</v>
      </c>
      <c r="E45" s="25">
        <f ca="1">IF(PaymentSchedule33[[#This Row],[Payment Number]]&lt;&gt;"",ScheduledPayment,"")</f>
        <v>1784.9318965153623</v>
      </c>
      <c r="F4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5" s="25">
        <f ca="1">IF(PaymentSchedule33[[#This Row],[Payment Number]]&lt;&gt;"",PaymentSchedule33[[#This Row],[Total
Payment]]-PaymentSchedule33[[#This Row],[Interest]],"")</f>
        <v>454.478315297564</v>
      </c>
      <c r="I45" s="25">
        <f ca="1">IF(PaymentSchedule33[[#This Row],[Payment Number]]&lt;&gt;"",PaymentSchedule33[[#This Row],[Beginning
Balance]]*(InterestRate/PaymentsPerYear),"")</f>
        <v>1330.4535812177983</v>
      </c>
      <c r="J45" s="25">
        <f ca="1">IF(PaymentSchedule33[[#This Row],[Payment Number]]&lt;&gt;"",IF(PaymentSchedule33[[#This Row],[Scheduled Payment]]+PaymentSchedule33[[#This Row],[Extra
Payment]]&lt;=PaymentSchedule33[[#This Row],[Beginning
Balance]],PaymentSchedule33[[#This Row],[Beginning
Balance]]-PaymentSchedule33[[#This Row],[Principal]],0),"")</f>
        <v>318854.38117697404</v>
      </c>
      <c r="K45" s="25">
        <f ca="1">IF(PaymentSchedule33[[#This Row],[Payment Number]]&lt;&gt;"",SUM(INDEX(PaymentSchedule33[Interest],1,1):PaymentSchedule33[[#This Row],[Interest]]),"")</f>
        <v>43472.201865465679</v>
      </c>
      <c r="L45" s="25">
        <f ca="1">IF(PaymentSchedule33[[#This Row],[Payment Number]]&lt;&gt;"",SUM(INDEX(PaymentSchedule33[Principal],1,1):PaymentSchedule33[[#This Row],[Principal]]),"")</f>
        <v>13645.618823025921</v>
      </c>
      <c r="M45" s="25">
        <f ca="1">PaymentSchedule3[[#This Row],[Total
Payment]]-PaymentSchedule33[[#This Row],[Total
Payment]]</f>
        <v>427.19889995542212</v>
      </c>
      <c r="N45" s="25">
        <f ca="1">PaymentSchedule3[[#This Row],[Interest]]-PaymentSchedule33[[#This Row],[Interest]]</f>
        <v>555.27816263995487</v>
      </c>
      <c r="O45" s="25">
        <f ca="1">PaymentSchedule3[[#This Row],[Cumulative
Interest]]-PaymentSchedule33[[#This Row],[Cumulative
Interest]]</f>
        <v>17757.8835160296</v>
      </c>
    </row>
    <row r="46" spans="2:15" x14ac:dyDescent="0.25">
      <c r="B46" s="23">
        <f ca="1">IF(LoanIsGood,IF(ROW()-ROW(PaymentSchedule33[[#Headers],[Payment Number]])&gt;ScheduledNumberOfPayments,"",ROW()-ROW(PaymentSchedule33[[#Headers],[Payment Number]])),"")</f>
        <v>33</v>
      </c>
      <c r="C46" s="24">
        <f ca="1">IF(PaymentSchedule33[[#This Row],[Payment Number]]&lt;&gt;"",EOMONTH(LoanStartDate,ROW(PaymentSchedule33[[#This Row],[Payment Number]])-ROW(PaymentSchedule33[[#Headers],[Payment Number]])-2)+DAY(LoanStartDate),"")</f>
        <v>46442</v>
      </c>
      <c r="D46" s="25">
        <f ca="1">IF(PaymentSchedule33[[#This Row],[Payment Number]]&lt;&gt;"",IF(ROW()-ROW(PaymentSchedule33[[#Headers],[Beginning
Balance]])=1,LoanAmount,INDEX(PaymentSchedule33[Ending
Balance],ROW()-ROW(PaymentSchedule33[[#Headers],[Beginning
Balance]])-1)),"")</f>
        <v>318854.38117697404</v>
      </c>
      <c r="E46" s="25">
        <f ca="1">IF(PaymentSchedule33[[#This Row],[Payment Number]]&lt;&gt;"",ScheduledPayment,"")</f>
        <v>1784.9318965153623</v>
      </c>
      <c r="F4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6" s="25">
        <f ca="1">IF(PaymentSchedule33[[#This Row],[Payment Number]]&lt;&gt;"",PaymentSchedule33[[#This Row],[Total
Payment]]-PaymentSchedule33[[#This Row],[Interest]],"")</f>
        <v>456.37197494463703</v>
      </c>
      <c r="I46" s="25">
        <f ca="1">IF(PaymentSchedule33[[#This Row],[Payment Number]]&lt;&gt;"",PaymentSchedule33[[#This Row],[Beginning
Balance]]*(InterestRate/PaymentsPerYear),"")</f>
        <v>1328.5599215707252</v>
      </c>
      <c r="J46" s="25">
        <f ca="1">IF(PaymentSchedule33[[#This Row],[Payment Number]]&lt;&gt;"",IF(PaymentSchedule33[[#This Row],[Scheduled Payment]]+PaymentSchedule33[[#This Row],[Extra
Payment]]&lt;=PaymentSchedule33[[#This Row],[Beginning
Balance]],PaymentSchedule33[[#This Row],[Beginning
Balance]]-PaymentSchedule33[[#This Row],[Principal]],0),"")</f>
        <v>318398.00920202938</v>
      </c>
      <c r="K46" s="25">
        <f ca="1">IF(PaymentSchedule33[[#This Row],[Payment Number]]&lt;&gt;"",SUM(INDEX(PaymentSchedule33[Interest],1,1):PaymentSchedule33[[#This Row],[Interest]]),"")</f>
        <v>44800.761787036405</v>
      </c>
      <c r="L46" s="25">
        <f ca="1">IF(PaymentSchedule33[[#This Row],[Payment Number]]&lt;&gt;"",SUM(INDEX(PaymentSchedule33[Principal],1,1):PaymentSchedule33[[#This Row],[Principal]]),"")</f>
        <v>14101.990797970559</v>
      </c>
      <c r="M46" s="25">
        <f ca="1">PaymentSchedule3[[#This Row],[Total
Payment]]-PaymentSchedule33[[#This Row],[Total
Payment]]</f>
        <v>427.19889995542212</v>
      </c>
      <c r="N46" s="25">
        <f ca="1">PaymentSchedule3[[#This Row],[Interest]]-PaymentSchedule33[[#This Row],[Interest]]</f>
        <v>555.26782781345196</v>
      </c>
      <c r="O46" s="25">
        <f ca="1">PaymentSchedule3[[#This Row],[Cumulative
Interest]]-PaymentSchedule33[[#This Row],[Cumulative
Interest]]</f>
        <v>18313.151343843048</v>
      </c>
    </row>
    <row r="47" spans="2:15" x14ac:dyDescent="0.25">
      <c r="B47" s="23">
        <f ca="1">IF(LoanIsGood,IF(ROW()-ROW(PaymentSchedule33[[#Headers],[Payment Number]])&gt;ScheduledNumberOfPayments,"",ROW()-ROW(PaymentSchedule33[[#Headers],[Payment Number]])),"")</f>
        <v>34</v>
      </c>
      <c r="C47" s="24">
        <f ca="1">IF(PaymentSchedule33[[#This Row],[Payment Number]]&lt;&gt;"",EOMONTH(LoanStartDate,ROW(PaymentSchedule33[[#This Row],[Payment Number]])-ROW(PaymentSchedule33[[#Headers],[Payment Number]])-2)+DAY(LoanStartDate),"")</f>
        <v>46470</v>
      </c>
      <c r="D47" s="25">
        <f ca="1">IF(PaymentSchedule33[[#This Row],[Payment Number]]&lt;&gt;"",IF(ROW()-ROW(PaymentSchedule33[[#Headers],[Beginning
Balance]])=1,LoanAmount,INDEX(PaymentSchedule33[Ending
Balance],ROW()-ROW(PaymentSchedule33[[#Headers],[Beginning
Balance]])-1)),"")</f>
        <v>318398.00920202938</v>
      </c>
      <c r="E47" s="25">
        <f ca="1">IF(PaymentSchedule33[[#This Row],[Payment Number]]&lt;&gt;"",ScheduledPayment,"")</f>
        <v>1784.9318965153623</v>
      </c>
      <c r="F4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7" s="25">
        <f ca="1">IF(PaymentSchedule33[[#This Row],[Payment Number]]&lt;&gt;"",PaymentSchedule33[[#This Row],[Total
Payment]]-PaymentSchedule33[[#This Row],[Interest]],"")</f>
        <v>458.27352484023982</v>
      </c>
      <c r="I47" s="25">
        <f ca="1">IF(PaymentSchedule33[[#This Row],[Payment Number]]&lt;&gt;"",PaymentSchedule33[[#This Row],[Beginning
Balance]]*(InterestRate/PaymentsPerYear),"")</f>
        <v>1326.6583716751225</v>
      </c>
      <c r="J47" s="25">
        <f ca="1">IF(PaymentSchedule33[[#This Row],[Payment Number]]&lt;&gt;"",IF(PaymentSchedule33[[#This Row],[Scheduled Payment]]+PaymentSchedule33[[#This Row],[Extra
Payment]]&lt;=PaymentSchedule33[[#This Row],[Beginning
Balance]],PaymentSchedule33[[#This Row],[Beginning
Balance]]-PaymentSchedule33[[#This Row],[Principal]],0),"")</f>
        <v>317939.73567718914</v>
      </c>
      <c r="K47" s="25">
        <f ca="1">IF(PaymentSchedule33[[#This Row],[Payment Number]]&lt;&gt;"",SUM(INDEX(PaymentSchedule33[Interest],1,1):PaymentSchedule33[[#This Row],[Interest]]),"")</f>
        <v>46127.420158711524</v>
      </c>
      <c r="L47" s="25">
        <f ca="1">IF(PaymentSchedule33[[#This Row],[Payment Number]]&lt;&gt;"",SUM(INDEX(PaymentSchedule33[Principal],1,1):PaymentSchedule33[[#This Row],[Principal]]),"")</f>
        <v>14560.264322810799</v>
      </c>
      <c r="M47" s="25">
        <f ca="1">PaymentSchedule3[[#This Row],[Total
Payment]]-PaymentSchedule33[[#This Row],[Total
Payment]]</f>
        <v>427.19889995542212</v>
      </c>
      <c r="N47" s="25">
        <f ca="1">PaymentSchedule3[[#This Row],[Interest]]-PaymentSchedule33[[#This Row],[Interest]]</f>
        <v>555.25427660104947</v>
      </c>
      <c r="O47" s="25">
        <f ca="1">PaymentSchedule3[[#This Row],[Cumulative
Interest]]-PaymentSchedule33[[#This Row],[Cumulative
Interest]]</f>
        <v>18868.4056204441</v>
      </c>
    </row>
    <row r="48" spans="2:15" x14ac:dyDescent="0.25">
      <c r="B48" s="23">
        <f ca="1">IF(LoanIsGood,IF(ROW()-ROW(PaymentSchedule33[[#Headers],[Payment Number]])&gt;ScheduledNumberOfPayments,"",ROW()-ROW(PaymentSchedule33[[#Headers],[Payment Number]])),"")</f>
        <v>35</v>
      </c>
      <c r="C48" s="24">
        <f ca="1">IF(PaymentSchedule33[[#This Row],[Payment Number]]&lt;&gt;"",EOMONTH(LoanStartDate,ROW(PaymentSchedule33[[#This Row],[Payment Number]])-ROW(PaymentSchedule33[[#Headers],[Payment Number]])-2)+DAY(LoanStartDate),"")</f>
        <v>46501</v>
      </c>
      <c r="D48" s="25">
        <f ca="1">IF(PaymentSchedule33[[#This Row],[Payment Number]]&lt;&gt;"",IF(ROW()-ROW(PaymentSchedule33[[#Headers],[Beginning
Balance]])=1,LoanAmount,INDEX(PaymentSchedule33[Ending
Balance],ROW()-ROW(PaymentSchedule33[[#Headers],[Beginning
Balance]])-1)),"")</f>
        <v>317939.73567718914</v>
      </c>
      <c r="E48" s="25">
        <f ca="1">IF(PaymentSchedule33[[#This Row],[Payment Number]]&lt;&gt;"",ScheduledPayment,"")</f>
        <v>1784.9318965153623</v>
      </c>
      <c r="F4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8" s="25">
        <f ca="1">IF(PaymentSchedule33[[#This Row],[Payment Number]]&lt;&gt;"",PaymentSchedule33[[#This Row],[Total
Payment]]-PaymentSchedule33[[#This Row],[Interest]],"")</f>
        <v>460.18299786040757</v>
      </c>
      <c r="I48" s="25">
        <f ca="1">IF(PaymentSchedule33[[#This Row],[Payment Number]]&lt;&gt;"",PaymentSchedule33[[#This Row],[Beginning
Balance]]*(InterestRate/PaymentsPerYear),"")</f>
        <v>1324.7488986549547</v>
      </c>
      <c r="J48" s="25">
        <f ca="1">IF(PaymentSchedule33[[#This Row],[Payment Number]]&lt;&gt;"",IF(PaymentSchedule33[[#This Row],[Scheduled Payment]]+PaymentSchedule33[[#This Row],[Extra
Payment]]&lt;=PaymentSchedule33[[#This Row],[Beginning
Balance]],PaymentSchedule33[[#This Row],[Beginning
Balance]]-PaymentSchedule33[[#This Row],[Principal]],0),"")</f>
        <v>317479.55267932871</v>
      </c>
      <c r="K48" s="25">
        <f ca="1">IF(PaymentSchedule33[[#This Row],[Payment Number]]&lt;&gt;"",SUM(INDEX(PaymentSchedule33[Interest],1,1):PaymentSchedule33[[#This Row],[Interest]]),"")</f>
        <v>47452.169057366482</v>
      </c>
      <c r="L48" s="25">
        <f ca="1">IF(PaymentSchedule33[[#This Row],[Payment Number]]&lt;&gt;"",SUM(INDEX(PaymentSchedule33[Principal],1,1):PaymentSchedule33[[#This Row],[Principal]]),"")</f>
        <v>15020.447320671206</v>
      </c>
      <c r="M48" s="25">
        <f ca="1">PaymentSchedule3[[#This Row],[Total
Payment]]-PaymentSchedule33[[#This Row],[Total
Payment]]</f>
        <v>427.19889995542212</v>
      </c>
      <c r="N48" s="25">
        <f ca="1">PaymentSchedule3[[#This Row],[Interest]]-PaymentSchedule33[[#This Row],[Interest]]</f>
        <v>555.23747709008194</v>
      </c>
      <c r="O48" s="25">
        <f ca="1">PaymentSchedule3[[#This Row],[Cumulative
Interest]]-PaymentSchedule33[[#This Row],[Cumulative
Interest]]</f>
        <v>19423.643097534179</v>
      </c>
    </row>
    <row r="49" spans="2:15" x14ac:dyDescent="0.25">
      <c r="B49" s="23">
        <f ca="1">IF(LoanIsGood,IF(ROW()-ROW(PaymentSchedule33[[#Headers],[Payment Number]])&gt;ScheduledNumberOfPayments,"",ROW()-ROW(PaymentSchedule33[[#Headers],[Payment Number]])),"")</f>
        <v>36</v>
      </c>
      <c r="C49" s="24">
        <f ca="1">IF(PaymentSchedule33[[#This Row],[Payment Number]]&lt;&gt;"",EOMONTH(LoanStartDate,ROW(PaymentSchedule33[[#This Row],[Payment Number]])-ROW(PaymentSchedule33[[#Headers],[Payment Number]])-2)+DAY(LoanStartDate),"")</f>
        <v>46531</v>
      </c>
      <c r="D49" s="25">
        <f ca="1">IF(PaymentSchedule33[[#This Row],[Payment Number]]&lt;&gt;"",IF(ROW()-ROW(PaymentSchedule33[[#Headers],[Beginning
Balance]])=1,LoanAmount,INDEX(PaymentSchedule33[Ending
Balance],ROW()-ROW(PaymentSchedule33[[#Headers],[Beginning
Balance]])-1)),"")</f>
        <v>317479.55267932871</v>
      </c>
      <c r="E49" s="25">
        <f ca="1">IF(PaymentSchedule33[[#This Row],[Payment Number]]&lt;&gt;"",ScheduledPayment,"")</f>
        <v>1784.9318965153623</v>
      </c>
      <c r="F4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4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49" s="25">
        <f ca="1">IF(PaymentSchedule33[[#This Row],[Payment Number]]&lt;&gt;"",PaymentSchedule33[[#This Row],[Total
Payment]]-PaymentSchedule33[[#This Row],[Interest]],"")</f>
        <v>462.10042701815928</v>
      </c>
      <c r="I49" s="25">
        <f ca="1">IF(PaymentSchedule33[[#This Row],[Payment Number]]&lt;&gt;"",PaymentSchedule33[[#This Row],[Beginning
Balance]]*(InterestRate/PaymentsPerYear),"")</f>
        <v>1322.831469497203</v>
      </c>
      <c r="J49" s="25">
        <f ca="1">IF(PaymentSchedule33[[#This Row],[Payment Number]]&lt;&gt;"",IF(PaymentSchedule33[[#This Row],[Scheduled Payment]]+PaymentSchedule33[[#This Row],[Extra
Payment]]&lt;=PaymentSchedule33[[#This Row],[Beginning
Balance]],PaymentSchedule33[[#This Row],[Beginning
Balance]]-PaymentSchedule33[[#This Row],[Principal]],0),"")</f>
        <v>317017.45225231053</v>
      </c>
      <c r="K49" s="25">
        <f ca="1">IF(PaymentSchedule33[[#This Row],[Payment Number]]&lt;&gt;"",SUM(INDEX(PaymentSchedule33[Interest],1,1):PaymentSchedule33[[#This Row],[Interest]]),"")</f>
        <v>48775.000526863681</v>
      </c>
      <c r="L49" s="25">
        <f ca="1">IF(PaymentSchedule33[[#This Row],[Payment Number]]&lt;&gt;"",SUM(INDEX(PaymentSchedule33[Principal],1,1):PaymentSchedule33[[#This Row],[Principal]]),"")</f>
        <v>15482.547747689365</v>
      </c>
      <c r="M49" s="25">
        <f ca="1">PaymentSchedule3[[#This Row],[Total
Payment]]-PaymentSchedule33[[#This Row],[Total
Payment]]</f>
        <v>427.19889995542212</v>
      </c>
      <c r="N49" s="25">
        <f ca="1">PaymentSchedule3[[#This Row],[Interest]]-PaymentSchedule33[[#This Row],[Interest]]</f>
        <v>555.21739712693329</v>
      </c>
      <c r="O49" s="25">
        <f ca="1">PaymentSchedule3[[#This Row],[Cumulative
Interest]]-PaymentSchedule33[[#This Row],[Cumulative
Interest]]</f>
        <v>19978.860494661109</v>
      </c>
    </row>
    <row r="50" spans="2:15" x14ac:dyDescent="0.25">
      <c r="B50" s="23">
        <f ca="1">IF(LoanIsGood,IF(ROW()-ROW(PaymentSchedule33[[#Headers],[Payment Number]])&gt;ScheduledNumberOfPayments,"",ROW()-ROW(PaymentSchedule33[[#Headers],[Payment Number]])),"")</f>
        <v>37</v>
      </c>
      <c r="C50" s="24">
        <f ca="1">IF(PaymentSchedule33[[#This Row],[Payment Number]]&lt;&gt;"",EOMONTH(LoanStartDate,ROW(PaymentSchedule33[[#This Row],[Payment Number]])-ROW(PaymentSchedule33[[#Headers],[Payment Number]])-2)+DAY(LoanStartDate),"")</f>
        <v>46562</v>
      </c>
      <c r="D50" s="25">
        <f ca="1">IF(PaymentSchedule33[[#This Row],[Payment Number]]&lt;&gt;"",IF(ROW()-ROW(PaymentSchedule33[[#Headers],[Beginning
Balance]])=1,LoanAmount,INDEX(PaymentSchedule33[Ending
Balance],ROW()-ROW(PaymentSchedule33[[#Headers],[Beginning
Balance]])-1)),"")</f>
        <v>317017.45225231053</v>
      </c>
      <c r="E50" s="25">
        <f ca="1">IF(PaymentSchedule33[[#This Row],[Payment Number]]&lt;&gt;"",ScheduledPayment,"")</f>
        <v>1784.9318965153623</v>
      </c>
      <c r="F5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0" s="25">
        <f ca="1">IF(PaymentSchedule33[[#This Row],[Payment Number]]&lt;&gt;"",PaymentSchedule33[[#This Row],[Total
Payment]]-PaymentSchedule33[[#This Row],[Interest]],"")</f>
        <v>464.02584546406842</v>
      </c>
      <c r="I50" s="25">
        <f ca="1">IF(PaymentSchedule33[[#This Row],[Payment Number]]&lt;&gt;"",PaymentSchedule33[[#This Row],[Beginning
Balance]]*(InterestRate/PaymentsPerYear),"")</f>
        <v>1320.9060510512938</v>
      </c>
      <c r="J50" s="25">
        <f ca="1">IF(PaymentSchedule33[[#This Row],[Payment Number]]&lt;&gt;"",IF(PaymentSchedule33[[#This Row],[Scheduled Payment]]+PaymentSchedule33[[#This Row],[Extra
Payment]]&lt;=PaymentSchedule33[[#This Row],[Beginning
Balance]],PaymentSchedule33[[#This Row],[Beginning
Balance]]-PaymentSchedule33[[#This Row],[Principal]],0),"")</f>
        <v>316553.42640684644</v>
      </c>
      <c r="K50" s="25">
        <f ca="1">IF(PaymentSchedule33[[#This Row],[Payment Number]]&lt;&gt;"",SUM(INDEX(PaymentSchedule33[Interest],1,1):PaymentSchedule33[[#This Row],[Interest]]),"")</f>
        <v>50095.906577914975</v>
      </c>
      <c r="L50" s="25">
        <f ca="1">IF(PaymentSchedule33[[#This Row],[Payment Number]]&lt;&gt;"",SUM(INDEX(PaymentSchedule33[Principal],1,1):PaymentSchedule33[[#This Row],[Principal]]),"")</f>
        <v>15946.573593153433</v>
      </c>
      <c r="M50" s="25">
        <f ca="1">PaymentSchedule3[[#This Row],[Total
Payment]]-PaymentSchedule33[[#This Row],[Total
Payment]]</f>
        <v>427.19889995542212</v>
      </c>
      <c r="N50" s="25">
        <f ca="1">PaymentSchedule3[[#This Row],[Interest]]-PaymentSchedule33[[#This Row],[Interest]]</f>
        <v>555.19400431540362</v>
      </c>
      <c r="O50" s="25">
        <f ca="1">PaymentSchedule3[[#This Row],[Cumulative
Interest]]-PaymentSchedule33[[#This Row],[Cumulative
Interest]]</f>
        <v>20534.054498976511</v>
      </c>
    </row>
    <row r="51" spans="2:15" x14ac:dyDescent="0.25">
      <c r="B51" s="23">
        <f ca="1">IF(LoanIsGood,IF(ROW()-ROW(PaymentSchedule33[[#Headers],[Payment Number]])&gt;ScheduledNumberOfPayments,"",ROW()-ROW(PaymentSchedule33[[#Headers],[Payment Number]])),"")</f>
        <v>38</v>
      </c>
      <c r="C51" s="24">
        <f ca="1">IF(PaymentSchedule33[[#This Row],[Payment Number]]&lt;&gt;"",EOMONTH(LoanStartDate,ROW(PaymentSchedule33[[#This Row],[Payment Number]])-ROW(PaymentSchedule33[[#Headers],[Payment Number]])-2)+DAY(LoanStartDate),"")</f>
        <v>46592</v>
      </c>
      <c r="D51" s="25">
        <f ca="1">IF(PaymentSchedule33[[#This Row],[Payment Number]]&lt;&gt;"",IF(ROW()-ROW(PaymentSchedule33[[#Headers],[Beginning
Balance]])=1,LoanAmount,INDEX(PaymentSchedule33[Ending
Balance],ROW()-ROW(PaymentSchedule33[[#Headers],[Beginning
Balance]])-1)),"")</f>
        <v>316553.42640684644</v>
      </c>
      <c r="E51" s="25">
        <f ca="1">IF(PaymentSchedule33[[#This Row],[Payment Number]]&lt;&gt;"",ScheduledPayment,"")</f>
        <v>1784.9318965153623</v>
      </c>
      <c r="F5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1" s="25">
        <f ca="1">IF(PaymentSchedule33[[#This Row],[Payment Number]]&lt;&gt;"",PaymentSchedule33[[#This Row],[Total
Payment]]-PaymentSchedule33[[#This Row],[Interest]],"")</f>
        <v>465.95928648683548</v>
      </c>
      <c r="I51" s="25">
        <f ca="1">IF(PaymentSchedule33[[#This Row],[Payment Number]]&lt;&gt;"",PaymentSchedule33[[#This Row],[Beginning
Balance]]*(InterestRate/PaymentsPerYear),"")</f>
        <v>1318.9726100285268</v>
      </c>
      <c r="J51" s="25">
        <f ca="1">IF(PaymentSchedule33[[#This Row],[Payment Number]]&lt;&gt;"",IF(PaymentSchedule33[[#This Row],[Scheduled Payment]]+PaymentSchedule33[[#This Row],[Extra
Payment]]&lt;=PaymentSchedule33[[#This Row],[Beginning
Balance]],PaymentSchedule33[[#This Row],[Beginning
Balance]]-PaymentSchedule33[[#This Row],[Principal]],0),"")</f>
        <v>316087.46712035959</v>
      </c>
      <c r="K51" s="25">
        <f ca="1">IF(PaymentSchedule33[[#This Row],[Payment Number]]&lt;&gt;"",SUM(INDEX(PaymentSchedule33[Interest],1,1):PaymentSchedule33[[#This Row],[Interest]]),"")</f>
        <v>51414.879187943501</v>
      </c>
      <c r="L51" s="25">
        <f ca="1">IF(PaymentSchedule33[[#This Row],[Payment Number]]&lt;&gt;"",SUM(INDEX(PaymentSchedule33[Principal],1,1):PaymentSchedule33[[#This Row],[Principal]]),"")</f>
        <v>16412.532879640268</v>
      </c>
      <c r="M51" s="25">
        <f ca="1">PaymentSchedule3[[#This Row],[Total
Payment]]-PaymentSchedule33[[#This Row],[Total
Payment]]</f>
        <v>427.19889995542212</v>
      </c>
      <c r="N51" s="25">
        <f ca="1">PaymentSchedule3[[#This Row],[Interest]]-PaymentSchedule33[[#This Row],[Interest]]</f>
        <v>555.16726601506343</v>
      </c>
      <c r="O51" s="25">
        <f ca="1">PaymentSchedule3[[#This Row],[Cumulative
Interest]]-PaymentSchedule33[[#This Row],[Cumulative
Interest]]</f>
        <v>21089.221764991569</v>
      </c>
    </row>
    <row r="52" spans="2:15" x14ac:dyDescent="0.25">
      <c r="B52" s="23">
        <f ca="1">IF(LoanIsGood,IF(ROW()-ROW(PaymentSchedule33[[#Headers],[Payment Number]])&gt;ScheduledNumberOfPayments,"",ROW()-ROW(PaymentSchedule33[[#Headers],[Payment Number]])),"")</f>
        <v>39</v>
      </c>
      <c r="C52" s="24">
        <f ca="1">IF(PaymentSchedule33[[#This Row],[Payment Number]]&lt;&gt;"",EOMONTH(LoanStartDate,ROW(PaymentSchedule33[[#This Row],[Payment Number]])-ROW(PaymentSchedule33[[#Headers],[Payment Number]])-2)+DAY(LoanStartDate),"")</f>
        <v>46623</v>
      </c>
      <c r="D52" s="25">
        <f ca="1">IF(PaymentSchedule33[[#This Row],[Payment Number]]&lt;&gt;"",IF(ROW()-ROW(PaymentSchedule33[[#Headers],[Beginning
Balance]])=1,LoanAmount,INDEX(PaymentSchedule33[Ending
Balance],ROW()-ROW(PaymentSchedule33[[#Headers],[Beginning
Balance]])-1)),"")</f>
        <v>316087.46712035959</v>
      </c>
      <c r="E52" s="25">
        <f ca="1">IF(PaymentSchedule33[[#This Row],[Payment Number]]&lt;&gt;"",ScheduledPayment,"")</f>
        <v>1784.9318965153623</v>
      </c>
      <c r="F5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2" s="25">
        <f ca="1">IF(PaymentSchedule33[[#This Row],[Payment Number]]&lt;&gt;"",PaymentSchedule33[[#This Row],[Total
Payment]]-PaymentSchedule33[[#This Row],[Interest]],"")</f>
        <v>467.90078351386387</v>
      </c>
      <c r="I52" s="25">
        <f ca="1">IF(PaymentSchedule33[[#This Row],[Payment Number]]&lt;&gt;"",PaymentSchedule33[[#This Row],[Beginning
Balance]]*(InterestRate/PaymentsPerYear),"")</f>
        <v>1317.0311130014984</v>
      </c>
      <c r="J52" s="25">
        <f ca="1">IF(PaymentSchedule33[[#This Row],[Payment Number]]&lt;&gt;"",IF(PaymentSchedule33[[#This Row],[Scheduled Payment]]+PaymentSchedule33[[#This Row],[Extra
Payment]]&lt;=PaymentSchedule33[[#This Row],[Beginning
Balance]],PaymentSchedule33[[#This Row],[Beginning
Balance]]-PaymentSchedule33[[#This Row],[Principal]],0),"")</f>
        <v>315619.56633684575</v>
      </c>
      <c r="K52" s="25">
        <f ca="1">IF(PaymentSchedule33[[#This Row],[Payment Number]]&lt;&gt;"",SUM(INDEX(PaymentSchedule33[Interest],1,1):PaymentSchedule33[[#This Row],[Interest]]),"")</f>
        <v>52731.910300944997</v>
      </c>
      <c r="L52" s="25">
        <f ca="1">IF(PaymentSchedule33[[#This Row],[Payment Number]]&lt;&gt;"",SUM(INDEX(PaymentSchedule33[Principal],1,1):PaymentSchedule33[[#This Row],[Principal]]),"")</f>
        <v>16880.433663154134</v>
      </c>
      <c r="M52" s="25">
        <f ca="1">PaymentSchedule3[[#This Row],[Total
Payment]]-PaymentSchedule33[[#This Row],[Total
Payment]]</f>
        <v>427.19889995542212</v>
      </c>
      <c r="N52" s="25">
        <f ca="1">PaymentSchedule3[[#This Row],[Interest]]-PaymentSchedule33[[#This Row],[Interest]]</f>
        <v>555.13714933959977</v>
      </c>
      <c r="O52" s="25">
        <f ca="1">PaymentSchedule3[[#This Row],[Cumulative
Interest]]-PaymentSchedule33[[#This Row],[Cumulative
Interest]]</f>
        <v>21644.358914331176</v>
      </c>
    </row>
    <row r="53" spans="2:15" x14ac:dyDescent="0.25">
      <c r="B53" s="23">
        <f ca="1">IF(LoanIsGood,IF(ROW()-ROW(PaymentSchedule33[[#Headers],[Payment Number]])&gt;ScheduledNumberOfPayments,"",ROW()-ROW(PaymentSchedule33[[#Headers],[Payment Number]])),"")</f>
        <v>40</v>
      </c>
      <c r="C53" s="24">
        <f ca="1">IF(PaymentSchedule33[[#This Row],[Payment Number]]&lt;&gt;"",EOMONTH(LoanStartDate,ROW(PaymentSchedule33[[#This Row],[Payment Number]])-ROW(PaymentSchedule33[[#Headers],[Payment Number]])-2)+DAY(LoanStartDate),"")</f>
        <v>46654</v>
      </c>
      <c r="D53" s="25">
        <f ca="1">IF(PaymentSchedule33[[#This Row],[Payment Number]]&lt;&gt;"",IF(ROW()-ROW(PaymentSchedule33[[#Headers],[Beginning
Balance]])=1,LoanAmount,INDEX(PaymentSchedule33[Ending
Balance],ROW()-ROW(PaymentSchedule33[[#Headers],[Beginning
Balance]])-1)),"")</f>
        <v>315619.56633684575</v>
      </c>
      <c r="E53" s="25">
        <f ca="1">IF(PaymentSchedule33[[#This Row],[Payment Number]]&lt;&gt;"",ScheduledPayment,"")</f>
        <v>1784.9318965153623</v>
      </c>
      <c r="F5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3" s="25">
        <f ca="1">IF(PaymentSchedule33[[#This Row],[Payment Number]]&lt;&gt;"",PaymentSchedule33[[#This Row],[Total
Payment]]-PaymentSchedule33[[#This Row],[Interest]],"")</f>
        <v>469.8503701118384</v>
      </c>
      <c r="I53" s="25">
        <f ca="1">IF(PaymentSchedule33[[#This Row],[Payment Number]]&lt;&gt;"",PaymentSchedule33[[#This Row],[Beginning
Balance]]*(InterestRate/PaymentsPerYear),"")</f>
        <v>1315.0815264035239</v>
      </c>
      <c r="J53" s="25">
        <f ca="1">IF(PaymentSchedule33[[#This Row],[Payment Number]]&lt;&gt;"",IF(PaymentSchedule33[[#This Row],[Scheduled Payment]]+PaymentSchedule33[[#This Row],[Extra
Payment]]&lt;=PaymentSchedule33[[#This Row],[Beginning
Balance]],PaymentSchedule33[[#This Row],[Beginning
Balance]]-PaymentSchedule33[[#This Row],[Principal]],0),"")</f>
        <v>315149.71596673393</v>
      </c>
      <c r="K53" s="25">
        <f ca="1">IF(PaymentSchedule33[[#This Row],[Payment Number]]&lt;&gt;"",SUM(INDEX(PaymentSchedule33[Interest],1,1):PaymentSchedule33[[#This Row],[Interest]]),"")</f>
        <v>54046.991827348524</v>
      </c>
      <c r="L53" s="25">
        <f ca="1">IF(PaymentSchedule33[[#This Row],[Payment Number]]&lt;&gt;"",SUM(INDEX(PaymentSchedule33[Principal],1,1):PaymentSchedule33[[#This Row],[Principal]]),"")</f>
        <v>17350.284033265973</v>
      </c>
      <c r="M53" s="25">
        <f ca="1">PaymentSchedule3[[#This Row],[Total
Payment]]-PaymentSchedule33[[#This Row],[Total
Payment]]</f>
        <v>427.19889995542212</v>
      </c>
      <c r="N53" s="25">
        <f ca="1">PaymentSchedule3[[#This Row],[Interest]]-PaymentSchedule33[[#This Row],[Interest]]</f>
        <v>555.10362115515136</v>
      </c>
      <c r="O53" s="25">
        <f ca="1">PaymentSchedule3[[#This Row],[Cumulative
Interest]]-PaymentSchedule33[[#This Row],[Cumulative
Interest]]</f>
        <v>22199.462535486324</v>
      </c>
    </row>
    <row r="54" spans="2:15" x14ac:dyDescent="0.25">
      <c r="B54" s="23">
        <f ca="1">IF(LoanIsGood,IF(ROW()-ROW(PaymentSchedule33[[#Headers],[Payment Number]])&gt;ScheduledNumberOfPayments,"",ROW()-ROW(PaymentSchedule33[[#Headers],[Payment Number]])),"")</f>
        <v>41</v>
      </c>
      <c r="C54" s="24">
        <f ca="1">IF(PaymentSchedule33[[#This Row],[Payment Number]]&lt;&gt;"",EOMONTH(LoanStartDate,ROW(PaymentSchedule33[[#This Row],[Payment Number]])-ROW(PaymentSchedule33[[#Headers],[Payment Number]])-2)+DAY(LoanStartDate),"")</f>
        <v>46684</v>
      </c>
      <c r="D54" s="25">
        <f ca="1">IF(PaymentSchedule33[[#This Row],[Payment Number]]&lt;&gt;"",IF(ROW()-ROW(PaymentSchedule33[[#Headers],[Beginning
Balance]])=1,LoanAmount,INDEX(PaymentSchedule33[Ending
Balance],ROW()-ROW(PaymentSchedule33[[#Headers],[Beginning
Balance]])-1)),"")</f>
        <v>315149.71596673393</v>
      </c>
      <c r="E54" s="25">
        <f ca="1">IF(PaymentSchedule33[[#This Row],[Payment Number]]&lt;&gt;"",ScheduledPayment,"")</f>
        <v>1784.9318965153623</v>
      </c>
      <c r="F5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4" s="25">
        <f ca="1">IF(PaymentSchedule33[[#This Row],[Payment Number]]&lt;&gt;"",PaymentSchedule33[[#This Row],[Total
Payment]]-PaymentSchedule33[[#This Row],[Interest]],"")</f>
        <v>471.80807998730415</v>
      </c>
      <c r="I54" s="25">
        <f ca="1">IF(PaymentSchedule33[[#This Row],[Payment Number]]&lt;&gt;"",PaymentSchedule33[[#This Row],[Beginning
Balance]]*(InterestRate/PaymentsPerYear),"")</f>
        <v>1313.1238165280581</v>
      </c>
      <c r="J54" s="25">
        <f ca="1">IF(PaymentSchedule33[[#This Row],[Payment Number]]&lt;&gt;"",IF(PaymentSchedule33[[#This Row],[Scheduled Payment]]+PaymentSchedule33[[#This Row],[Extra
Payment]]&lt;=PaymentSchedule33[[#This Row],[Beginning
Balance]],PaymentSchedule33[[#This Row],[Beginning
Balance]]-PaymentSchedule33[[#This Row],[Principal]],0),"")</f>
        <v>314677.90788674663</v>
      </c>
      <c r="K54" s="25">
        <f ca="1">IF(PaymentSchedule33[[#This Row],[Payment Number]]&lt;&gt;"",SUM(INDEX(PaymentSchedule33[Interest],1,1):PaymentSchedule33[[#This Row],[Interest]]),"")</f>
        <v>55360.115643876583</v>
      </c>
      <c r="L54" s="25">
        <f ca="1">IF(PaymentSchedule33[[#This Row],[Payment Number]]&lt;&gt;"",SUM(INDEX(PaymentSchedule33[Principal],1,1):PaymentSchedule33[[#This Row],[Principal]]),"")</f>
        <v>17822.092113253275</v>
      </c>
      <c r="M54" s="25">
        <f ca="1">PaymentSchedule3[[#This Row],[Total
Payment]]-PaymentSchedule33[[#This Row],[Total
Payment]]</f>
        <v>427.19889995542212</v>
      </c>
      <c r="N54" s="25">
        <f ca="1">PaymentSchedule3[[#This Row],[Interest]]-PaymentSchedule33[[#This Row],[Interest]]</f>
        <v>555.06664807862967</v>
      </c>
      <c r="O54" s="25">
        <f ca="1">PaymentSchedule3[[#This Row],[Cumulative
Interest]]-PaymentSchedule33[[#This Row],[Cumulative
Interest]]</f>
        <v>22754.529183564948</v>
      </c>
    </row>
    <row r="55" spans="2:15" x14ac:dyDescent="0.25">
      <c r="B55" s="23">
        <f ca="1">IF(LoanIsGood,IF(ROW()-ROW(PaymentSchedule33[[#Headers],[Payment Number]])&gt;ScheduledNumberOfPayments,"",ROW()-ROW(PaymentSchedule33[[#Headers],[Payment Number]])),"")</f>
        <v>42</v>
      </c>
      <c r="C55" s="24">
        <f ca="1">IF(PaymentSchedule33[[#This Row],[Payment Number]]&lt;&gt;"",EOMONTH(LoanStartDate,ROW(PaymentSchedule33[[#This Row],[Payment Number]])-ROW(PaymentSchedule33[[#Headers],[Payment Number]])-2)+DAY(LoanStartDate),"")</f>
        <v>46715</v>
      </c>
      <c r="D55" s="25">
        <f ca="1">IF(PaymentSchedule33[[#This Row],[Payment Number]]&lt;&gt;"",IF(ROW()-ROW(PaymentSchedule33[[#Headers],[Beginning
Balance]])=1,LoanAmount,INDEX(PaymentSchedule33[Ending
Balance],ROW()-ROW(PaymentSchedule33[[#Headers],[Beginning
Balance]])-1)),"")</f>
        <v>314677.90788674663</v>
      </c>
      <c r="E55" s="25">
        <f ca="1">IF(PaymentSchedule33[[#This Row],[Payment Number]]&lt;&gt;"",ScheduledPayment,"")</f>
        <v>1784.9318965153623</v>
      </c>
      <c r="F5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5" s="25">
        <f ca="1">IF(PaymentSchedule33[[#This Row],[Payment Number]]&lt;&gt;"",PaymentSchedule33[[#This Row],[Total
Payment]]-PaymentSchedule33[[#This Row],[Interest]],"")</f>
        <v>473.77394698725129</v>
      </c>
      <c r="I55" s="25">
        <f ca="1">IF(PaymentSchedule33[[#This Row],[Payment Number]]&lt;&gt;"",PaymentSchedule33[[#This Row],[Beginning
Balance]]*(InterestRate/PaymentsPerYear),"")</f>
        <v>1311.157949528111</v>
      </c>
      <c r="J55" s="25">
        <f ca="1">IF(PaymentSchedule33[[#This Row],[Payment Number]]&lt;&gt;"",IF(PaymentSchedule33[[#This Row],[Scheduled Payment]]+PaymentSchedule33[[#This Row],[Extra
Payment]]&lt;=PaymentSchedule33[[#This Row],[Beginning
Balance]],PaymentSchedule33[[#This Row],[Beginning
Balance]]-PaymentSchedule33[[#This Row],[Principal]],0),"")</f>
        <v>314204.1339397594</v>
      </c>
      <c r="K55" s="25">
        <f ca="1">IF(PaymentSchedule33[[#This Row],[Payment Number]]&lt;&gt;"",SUM(INDEX(PaymentSchedule33[Interest],1,1):PaymentSchedule33[[#This Row],[Interest]]),"")</f>
        <v>56671.273593404694</v>
      </c>
      <c r="L55" s="25">
        <f ca="1">IF(PaymentSchedule33[[#This Row],[Payment Number]]&lt;&gt;"",SUM(INDEX(PaymentSchedule33[Principal],1,1):PaymentSchedule33[[#This Row],[Principal]]),"")</f>
        <v>18295.866060240525</v>
      </c>
      <c r="M55" s="25">
        <f ca="1">PaymentSchedule3[[#This Row],[Total
Payment]]-PaymentSchedule33[[#This Row],[Total
Payment]]</f>
        <v>427.19889995542212</v>
      </c>
      <c r="N55" s="25">
        <f ca="1">PaymentSchedule3[[#This Row],[Interest]]-PaymentSchedule33[[#This Row],[Interest]]</f>
        <v>555.02619647603615</v>
      </c>
      <c r="O55" s="25">
        <f ca="1">PaymentSchedule3[[#This Row],[Cumulative
Interest]]-PaymentSchedule33[[#This Row],[Cumulative
Interest]]</f>
        <v>23309.555380040983</v>
      </c>
    </row>
    <row r="56" spans="2:15" x14ac:dyDescent="0.25">
      <c r="B56" s="23">
        <f ca="1">IF(LoanIsGood,IF(ROW()-ROW(PaymentSchedule33[[#Headers],[Payment Number]])&gt;ScheduledNumberOfPayments,"",ROW()-ROW(PaymentSchedule33[[#Headers],[Payment Number]])),"")</f>
        <v>43</v>
      </c>
      <c r="C56" s="24">
        <f ca="1">IF(PaymentSchedule33[[#This Row],[Payment Number]]&lt;&gt;"",EOMONTH(LoanStartDate,ROW(PaymentSchedule33[[#This Row],[Payment Number]])-ROW(PaymentSchedule33[[#Headers],[Payment Number]])-2)+DAY(LoanStartDate),"")</f>
        <v>46745</v>
      </c>
      <c r="D56" s="25">
        <f ca="1">IF(PaymentSchedule33[[#This Row],[Payment Number]]&lt;&gt;"",IF(ROW()-ROW(PaymentSchedule33[[#Headers],[Beginning
Balance]])=1,LoanAmount,INDEX(PaymentSchedule33[Ending
Balance],ROW()-ROW(PaymentSchedule33[[#Headers],[Beginning
Balance]])-1)),"")</f>
        <v>314204.1339397594</v>
      </c>
      <c r="E56" s="25">
        <f ca="1">IF(PaymentSchedule33[[#This Row],[Payment Number]]&lt;&gt;"",ScheduledPayment,"")</f>
        <v>1784.9318965153623</v>
      </c>
      <c r="F5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6" s="25">
        <f ca="1">IF(PaymentSchedule33[[#This Row],[Payment Number]]&lt;&gt;"",PaymentSchedule33[[#This Row],[Total
Payment]]-PaymentSchedule33[[#This Row],[Interest]],"")</f>
        <v>475.74800509969805</v>
      </c>
      <c r="I56" s="25">
        <f ca="1">IF(PaymentSchedule33[[#This Row],[Payment Number]]&lt;&gt;"",PaymentSchedule33[[#This Row],[Beginning
Balance]]*(InterestRate/PaymentsPerYear),"")</f>
        <v>1309.1838914156642</v>
      </c>
      <c r="J56" s="25">
        <f ca="1">IF(PaymentSchedule33[[#This Row],[Payment Number]]&lt;&gt;"",IF(PaymentSchedule33[[#This Row],[Scheduled Payment]]+PaymentSchedule33[[#This Row],[Extra
Payment]]&lt;=PaymentSchedule33[[#This Row],[Beginning
Balance]],PaymentSchedule33[[#This Row],[Beginning
Balance]]-PaymentSchedule33[[#This Row],[Principal]],0),"")</f>
        <v>313728.38593465969</v>
      </c>
      <c r="K56" s="25">
        <f ca="1">IF(PaymentSchedule33[[#This Row],[Payment Number]]&lt;&gt;"",SUM(INDEX(PaymentSchedule33[Interest],1,1):PaymentSchedule33[[#This Row],[Interest]]),"")</f>
        <v>57980.457484820356</v>
      </c>
      <c r="L56" s="25">
        <f ca="1">IF(PaymentSchedule33[[#This Row],[Payment Number]]&lt;&gt;"",SUM(INDEX(PaymentSchedule33[Principal],1,1):PaymentSchedule33[[#This Row],[Principal]]),"")</f>
        <v>18771.614065340222</v>
      </c>
      <c r="M56" s="25">
        <f ca="1">PaymentSchedule3[[#This Row],[Total
Payment]]-PaymentSchedule33[[#This Row],[Total
Payment]]</f>
        <v>427.19889995542212</v>
      </c>
      <c r="N56" s="25">
        <f ca="1">PaymentSchedule3[[#This Row],[Interest]]-PaymentSchedule33[[#This Row],[Interest]]</f>
        <v>554.98223246076077</v>
      </c>
      <c r="O56" s="25">
        <f ca="1">PaymentSchedule3[[#This Row],[Cumulative
Interest]]-PaymentSchedule33[[#This Row],[Cumulative
Interest]]</f>
        <v>23864.537612501743</v>
      </c>
    </row>
    <row r="57" spans="2:15" x14ac:dyDescent="0.25">
      <c r="B57" s="23">
        <f ca="1">IF(LoanIsGood,IF(ROW()-ROW(PaymentSchedule33[[#Headers],[Payment Number]])&gt;ScheduledNumberOfPayments,"",ROW()-ROW(PaymentSchedule33[[#Headers],[Payment Number]])),"")</f>
        <v>44</v>
      </c>
      <c r="C57" s="24">
        <f ca="1">IF(PaymentSchedule33[[#This Row],[Payment Number]]&lt;&gt;"",EOMONTH(LoanStartDate,ROW(PaymentSchedule33[[#This Row],[Payment Number]])-ROW(PaymentSchedule33[[#Headers],[Payment Number]])-2)+DAY(LoanStartDate),"")</f>
        <v>46776</v>
      </c>
      <c r="D57" s="25">
        <f ca="1">IF(PaymentSchedule33[[#This Row],[Payment Number]]&lt;&gt;"",IF(ROW()-ROW(PaymentSchedule33[[#Headers],[Beginning
Balance]])=1,LoanAmount,INDEX(PaymentSchedule33[Ending
Balance],ROW()-ROW(PaymentSchedule33[[#Headers],[Beginning
Balance]])-1)),"")</f>
        <v>313728.38593465969</v>
      </c>
      <c r="E57" s="25">
        <f ca="1">IF(PaymentSchedule33[[#This Row],[Payment Number]]&lt;&gt;"",ScheduledPayment,"")</f>
        <v>1784.9318965153623</v>
      </c>
      <c r="F5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7" s="25">
        <f ca="1">IF(PaymentSchedule33[[#This Row],[Payment Number]]&lt;&gt;"",PaymentSchedule33[[#This Row],[Total
Payment]]-PaymentSchedule33[[#This Row],[Interest]],"")</f>
        <v>477.7302884542803</v>
      </c>
      <c r="I57" s="25">
        <f ca="1">IF(PaymentSchedule33[[#This Row],[Payment Number]]&lt;&gt;"",PaymentSchedule33[[#This Row],[Beginning
Balance]]*(InterestRate/PaymentsPerYear),"")</f>
        <v>1307.201608061082</v>
      </c>
      <c r="J57" s="25">
        <f ca="1">IF(PaymentSchedule33[[#This Row],[Payment Number]]&lt;&gt;"",IF(PaymentSchedule33[[#This Row],[Scheduled Payment]]+PaymentSchedule33[[#This Row],[Extra
Payment]]&lt;=PaymentSchedule33[[#This Row],[Beginning
Balance]],PaymentSchedule33[[#This Row],[Beginning
Balance]]-PaymentSchedule33[[#This Row],[Principal]],0),"")</f>
        <v>313250.65564620541</v>
      </c>
      <c r="K57" s="25">
        <f ca="1">IF(PaymentSchedule33[[#This Row],[Payment Number]]&lt;&gt;"",SUM(INDEX(PaymentSchedule33[Interest],1,1):PaymentSchedule33[[#This Row],[Interest]]),"")</f>
        <v>59287.65909288144</v>
      </c>
      <c r="L57" s="25">
        <f ca="1">IF(PaymentSchedule33[[#This Row],[Payment Number]]&lt;&gt;"",SUM(INDEX(PaymentSchedule33[Principal],1,1):PaymentSchedule33[[#This Row],[Principal]]),"")</f>
        <v>19249.344353794502</v>
      </c>
      <c r="M57" s="25">
        <f ca="1">PaymentSchedule3[[#This Row],[Total
Payment]]-PaymentSchedule33[[#This Row],[Total
Payment]]</f>
        <v>427.19889995542212</v>
      </c>
      <c r="N57" s="25">
        <f ca="1">PaymentSchedule3[[#This Row],[Interest]]-PaymentSchedule33[[#This Row],[Interest]]</f>
        <v>554.93472189187605</v>
      </c>
      <c r="O57" s="25">
        <f ca="1">PaymentSchedule3[[#This Row],[Cumulative
Interest]]-PaymentSchedule33[[#This Row],[Cumulative
Interest]]</f>
        <v>24419.47233439362</v>
      </c>
    </row>
    <row r="58" spans="2:15" x14ac:dyDescent="0.25">
      <c r="B58" s="23">
        <f ca="1">IF(LoanIsGood,IF(ROW()-ROW(PaymentSchedule33[[#Headers],[Payment Number]])&gt;ScheduledNumberOfPayments,"",ROW()-ROW(PaymentSchedule33[[#Headers],[Payment Number]])),"")</f>
        <v>45</v>
      </c>
      <c r="C58" s="24">
        <f ca="1">IF(PaymentSchedule33[[#This Row],[Payment Number]]&lt;&gt;"",EOMONTH(LoanStartDate,ROW(PaymentSchedule33[[#This Row],[Payment Number]])-ROW(PaymentSchedule33[[#Headers],[Payment Number]])-2)+DAY(LoanStartDate),"")</f>
        <v>46807</v>
      </c>
      <c r="D58" s="25">
        <f ca="1">IF(PaymentSchedule33[[#This Row],[Payment Number]]&lt;&gt;"",IF(ROW()-ROW(PaymentSchedule33[[#Headers],[Beginning
Balance]])=1,LoanAmount,INDEX(PaymentSchedule33[Ending
Balance],ROW()-ROW(PaymentSchedule33[[#Headers],[Beginning
Balance]])-1)),"")</f>
        <v>313250.65564620541</v>
      </c>
      <c r="E58" s="25">
        <f ca="1">IF(PaymentSchedule33[[#This Row],[Payment Number]]&lt;&gt;"",ScheduledPayment,"")</f>
        <v>1784.9318965153623</v>
      </c>
      <c r="F5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8" s="25">
        <f ca="1">IF(PaymentSchedule33[[#This Row],[Payment Number]]&lt;&gt;"",PaymentSchedule33[[#This Row],[Total
Payment]]-PaymentSchedule33[[#This Row],[Interest]],"")</f>
        <v>479.72083132283979</v>
      </c>
      <c r="I58" s="25">
        <f ca="1">IF(PaymentSchedule33[[#This Row],[Payment Number]]&lt;&gt;"",PaymentSchedule33[[#This Row],[Beginning
Balance]]*(InterestRate/PaymentsPerYear),"")</f>
        <v>1305.2110651925225</v>
      </c>
      <c r="J58" s="25">
        <f ca="1">IF(PaymentSchedule33[[#This Row],[Payment Number]]&lt;&gt;"",IF(PaymentSchedule33[[#This Row],[Scheduled Payment]]+PaymentSchedule33[[#This Row],[Extra
Payment]]&lt;=PaymentSchedule33[[#This Row],[Beginning
Balance]],PaymentSchedule33[[#This Row],[Beginning
Balance]]-PaymentSchedule33[[#This Row],[Principal]],0),"")</f>
        <v>312770.93481488258</v>
      </c>
      <c r="K58" s="25">
        <f ca="1">IF(PaymentSchedule33[[#This Row],[Payment Number]]&lt;&gt;"",SUM(INDEX(PaymentSchedule33[Interest],1,1):PaymentSchedule33[[#This Row],[Interest]]),"")</f>
        <v>60592.870158073965</v>
      </c>
      <c r="L58" s="25">
        <f ca="1">IF(PaymentSchedule33[[#This Row],[Payment Number]]&lt;&gt;"",SUM(INDEX(PaymentSchedule33[Principal],1,1):PaymentSchedule33[[#This Row],[Principal]]),"")</f>
        <v>19729.065185117342</v>
      </c>
      <c r="M58" s="25">
        <f ca="1">PaymentSchedule3[[#This Row],[Total
Payment]]-PaymentSchedule33[[#This Row],[Total
Payment]]</f>
        <v>427.19889995542212</v>
      </c>
      <c r="N58" s="25">
        <f ca="1">PaymentSchedule3[[#This Row],[Interest]]-PaymentSchedule33[[#This Row],[Interest]]</f>
        <v>554.88363037241493</v>
      </c>
      <c r="O58" s="25">
        <f ca="1">PaymentSchedule3[[#This Row],[Cumulative
Interest]]-PaymentSchedule33[[#This Row],[Cumulative
Interest]]</f>
        <v>24974.355964766037</v>
      </c>
    </row>
    <row r="59" spans="2:15" x14ac:dyDescent="0.25">
      <c r="B59" s="23">
        <f ca="1">IF(LoanIsGood,IF(ROW()-ROW(PaymentSchedule33[[#Headers],[Payment Number]])&gt;ScheduledNumberOfPayments,"",ROW()-ROW(PaymentSchedule33[[#Headers],[Payment Number]])),"")</f>
        <v>46</v>
      </c>
      <c r="C59" s="24">
        <f ca="1">IF(PaymentSchedule33[[#This Row],[Payment Number]]&lt;&gt;"",EOMONTH(LoanStartDate,ROW(PaymentSchedule33[[#This Row],[Payment Number]])-ROW(PaymentSchedule33[[#Headers],[Payment Number]])-2)+DAY(LoanStartDate),"")</f>
        <v>46836</v>
      </c>
      <c r="D59" s="25">
        <f ca="1">IF(PaymentSchedule33[[#This Row],[Payment Number]]&lt;&gt;"",IF(ROW()-ROW(PaymentSchedule33[[#Headers],[Beginning
Balance]])=1,LoanAmount,INDEX(PaymentSchedule33[Ending
Balance],ROW()-ROW(PaymentSchedule33[[#Headers],[Beginning
Balance]])-1)),"")</f>
        <v>312770.93481488258</v>
      </c>
      <c r="E59" s="25">
        <f ca="1">IF(PaymentSchedule33[[#This Row],[Payment Number]]&lt;&gt;"",ScheduledPayment,"")</f>
        <v>1784.9318965153623</v>
      </c>
      <c r="F5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5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59" s="25">
        <f ca="1">IF(PaymentSchedule33[[#This Row],[Payment Number]]&lt;&gt;"",PaymentSchedule33[[#This Row],[Total
Payment]]-PaymentSchedule33[[#This Row],[Interest]],"")</f>
        <v>481.71966812001824</v>
      </c>
      <c r="I59" s="25">
        <f ca="1">IF(PaymentSchedule33[[#This Row],[Payment Number]]&lt;&gt;"",PaymentSchedule33[[#This Row],[Beginning
Balance]]*(InterestRate/PaymentsPerYear),"")</f>
        <v>1303.212228395344</v>
      </c>
      <c r="J59" s="25">
        <f ca="1">IF(PaymentSchedule33[[#This Row],[Payment Number]]&lt;&gt;"",IF(PaymentSchedule33[[#This Row],[Scheduled Payment]]+PaymentSchedule33[[#This Row],[Extra
Payment]]&lt;=PaymentSchedule33[[#This Row],[Beginning
Balance]],PaymentSchedule33[[#This Row],[Beginning
Balance]]-PaymentSchedule33[[#This Row],[Principal]],0),"")</f>
        <v>312289.21514676255</v>
      </c>
      <c r="K59" s="25">
        <f ca="1">IF(PaymentSchedule33[[#This Row],[Payment Number]]&lt;&gt;"",SUM(INDEX(PaymentSchedule33[Interest],1,1):PaymentSchedule33[[#This Row],[Interest]]),"")</f>
        <v>61896.082386469308</v>
      </c>
      <c r="L59" s="25">
        <f ca="1">IF(PaymentSchedule33[[#This Row],[Payment Number]]&lt;&gt;"",SUM(INDEX(PaymentSchedule33[Principal],1,1):PaymentSchedule33[[#This Row],[Principal]]),"")</f>
        <v>20210.784853237361</v>
      </c>
      <c r="M59" s="25">
        <f ca="1">PaymentSchedule3[[#This Row],[Total
Payment]]-PaymentSchedule33[[#This Row],[Total
Payment]]</f>
        <v>427.19889995542212</v>
      </c>
      <c r="N59" s="25">
        <f ca="1">PaymentSchedule3[[#This Row],[Interest]]-PaymentSchedule33[[#This Row],[Interest]]</f>
        <v>554.82892324764271</v>
      </c>
      <c r="O59" s="25">
        <f ca="1">PaymentSchedule3[[#This Row],[Cumulative
Interest]]-PaymentSchedule33[[#This Row],[Cumulative
Interest]]</f>
        <v>25529.184888013682</v>
      </c>
    </row>
    <row r="60" spans="2:15" x14ac:dyDescent="0.25">
      <c r="B60" s="23">
        <f ca="1">IF(LoanIsGood,IF(ROW()-ROW(PaymentSchedule33[[#Headers],[Payment Number]])&gt;ScheduledNumberOfPayments,"",ROW()-ROW(PaymentSchedule33[[#Headers],[Payment Number]])),"")</f>
        <v>47</v>
      </c>
      <c r="C60" s="24">
        <f ca="1">IF(PaymentSchedule33[[#This Row],[Payment Number]]&lt;&gt;"",EOMONTH(LoanStartDate,ROW(PaymentSchedule33[[#This Row],[Payment Number]])-ROW(PaymentSchedule33[[#Headers],[Payment Number]])-2)+DAY(LoanStartDate),"")</f>
        <v>46867</v>
      </c>
      <c r="D60" s="25">
        <f ca="1">IF(PaymentSchedule33[[#This Row],[Payment Number]]&lt;&gt;"",IF(ROW()-ROW(PaymentSchedule33[[#Headers],[Beginning
Balance]])=1,LoanAmount,INDEX(PaymentSchedule33[Ending
Balance],ROW()-ROW(PaymentSchedule33[[#Headers],[Beginning
Balance]])-1)),"")</f>
        <v>312289.21514676255</v>
      </c>
      <c r="E60" s="25">
        <f ca="1">IF(PaymentSchedule33[[#This Row],[Payment Number]]&lt;&gt;"",ScheduledPayment,"")</f>
        <v>1784.9318965153623</v>
      </c>
      <c r="F6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0" s="25">
        <f ca="1">IF(PaymentSchedule33[[#This Row],[Payment Number]]&lt;&gt;"",PaymentSchedule33[[#This Row],[Total
Payment]]-PaymentSchedule33[[#This Row],[Interest]],"")</f>
        <v>483.72683340385174</v>
      </c>
      <c r="I60" s="25">
        <f ca="1">IF(PaymentSchedule33[[#This Row],[Payment Number]]&lt;&gt;"",PaymentSchedule33[[#This Row],[Beginning
Balance]]*(InterestRate/PaymentsPerYear),"")</f>
        <v>1301.2050631115105</v>
      </c>
      <c r="J60" s="25">
        <f ca="1">IF(PaymentSchedule33[[#This Row],[Payment Number]]&lt;&gt;"",IF(PaymentSchedule33[[#This Row],[Scheduled Payment]]+PaymentSchedule33[[#This Row],[Extra
Payment]]&lt;=PaymentSchedule33[[#This Row],[Beginning
Balance]],PaymentSchedule33[[#This Row],[Beginning
Balance]]-PaymentSchedule33[[#This Row],[Principal]],0),"")</f>
        <v>311805.48831335868</v>
      </c>
      <c r="K60" s="25">
        <f ca="1">IF(PaymentSchedule33[[#This Row],[Payment Number]]&lt;&gt;"",SUM(INDEX(PaymentSchedule33[Interest],1,1):PaymentSchedule33[[#This Row],[Interest]]),"")</f>
        <v>63197.287449580821</v>
      </c>
      <c r="L60" s="25">
        <f ca="1">IF(PaymentSchedule33[[#This Row],[Payment Number]]&lt;&gt;"",SUM(INDEX(PaymentSchedule33[Principal],1,1):PaymentSchedule33[[#This Row],[Principal]]),"")</f>
        <v>20694.511686641214</v>
      </c>
      <c r="M60" s="25">
        <f ca="1">PaymentSchedule3[[#This Row],[Total
Payment]]-PaymentSchedule33[[#This Row],[Total
Payment]]</f>
        <v>427.19889995542212</v>
      </c>
      <c r="N60" s="25">
        <f ca="1">PaymentSchedule3[[#This Row],[Interest]]-PaymentSchedule33[[#This Row],[Interest]]</f>
        <v>554.7705656033138</v>
      </c>
      <c r="O60" s="25">
        <f ca="1">PaymentSchedule3[[#This Row],[Cumulative
Interest]]-PaymentSchedule33[[#This Row],[Cumulative
Interest]]</f>
        <v>26083.955453616989</v>
      </c>
    </row>
    <row r="61" spans="2:15" x14ac:dyDescent="0.25">
      <c r="B61" s="23">
        <f ca="1">IF(LoanIsGood,IF(ROW()-ROW(PaymentSchedule33[[#Headers],[Payment Number]])&gt;ScheduledNumberOfPayments,"",ROW()-ROW(PaymentSchedule33[[#Headers],[Payment Number]])),"")</f>
        <v>48</v>
      </c>
      <c r="C61" s="24">
        <f ca="1">IF(PaymentSchedule33[[#This Row],[Payment Number]]&lt;&gt;"",EOMONTH(LoanStartDate,ROW(PaymentSchedule33[[#This Row],[Payment Number]])-ROW(PaymentSchedule33[[#Headers],[Payment Number]])-2)+DAY(LoanStartDate),"")</f>
        <v>46897</v>
      </c>
      <c r="D61" s="25">
        <f ca="1">IF(PaymentSchedule33[[#This Row],[Payment Number]]&lt;&gt;"",IF(ROW()-ROW(PaymentSchedule33[[#Headers],[Beginning
Balance]])=1,LoanAmount,INDEX(PaymentSchedule33[Ending
Balance],ROW()-ROW(PaymentSchedule33[[#Headers],[Beginning
Balance]])-1)),"")</f>
        <v>311805.48831335868</v>
      </c>
      <c r="E61" s="25">
        <f ca="1">IF(PaymentSchedule33[[#This Row],[Payment Number]]&lt;&gt;"",ScheduledPayment,"")</f>
        <v>1784.9318965153623</v>
      </c>
      <c r="F6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1" s="25">
        <f ca="1">IF(PaymentSchedule33[[#This Row],[Payment Number]]&lt;&gt;"",PaymentSchedule33[[#This Row],[Total
Payment]]-PaymentSchedule33[[#This Row],[Interest]],"")</f>
        <v>485.7423618763678</v>
      </c>
      <c r="I61" s="25">
        <f ca="1">IF(PaymentSchedule33[[#This Row],[Payment Number]]&lt;&gt;"",PaymentSchedule33[[#This Row],[Beginning
Balance]]*(InterestRate/PaymentsPerYear),"")</f>
        <v>1299.1895346389945</v>
      </c>
      <c r="J61" s="25">
        <f ca="1">IF(PaymentSchedule33[[#This Row],[Payment Number]]&lt;&gt;"",IF(PaymentSchedule33[[#This Row],[Scheduled Payment]]+PaymentSchedule33[[#This Row],[Extra
Payment]]&lt;=PaymentSchedule33[[#This Row],[Beginning
Balance]],PaymentSchedule33[[#This Row],[Beginning
Balance]]-PaymentSchedule33[[#This Row],[Principal]],0),"")</f>
        <v>311319.74595148233</v>
      </c>
      <c r="K61" s="25">
        <f ca="1">IF(PaymentSchedule33[[#This Row],[Payment Number]]&lt;&gt;"",SUM(INDEX(PaymentSchedule33[Interest],1,1):PaymentSchedule33[[#This Row],[Interest]]),"")</f>
        <v>64496.476984219815</v>
      </c>
      <c r="L61" s="25">
        <f ca="1">IF(PaymentSchedule33[[#This Row],[Payment Number]]&lt;&gt;"",SUM(INDEX(PaymentSchedule33[Principal],1,1):PaymentSchedule33[[#This Row],[Principal]]),"")</f>
        <v>21180.254048517581</v>
      </c>
      <c r="M61" s="25">
        <f ca="1">PaymentSchedule3[[#This Row],[Total
Payment]]-PaymentSchedule33[[#This Row],[Total
Payment]]</f>
        <v>427.19889995542212</v>
      </c>
      <c r="N61" s="25">
        <f ca="1">PaymentSchedule3[[#This Row],[Interest]]-PaymentSchedule33[[#This Row],[Interest]]</f>
        <v>554.70852226392026</v>
      </c>
      <c r="O61" s="25">
        <f ca="1">PaymentSchedule3[[#This Row],[Cumulative
Interest]]-PaymentSchedule33[[#This Row],[Cumulative
Interest]]</f>
        <v>26638.663975880903</v>
      </c>
    </row>
    <row r="62" spans="2:15" x14ac:dyDescent="0.25">
      <c r="B62" s="23">
        <f ca="1">IF(LoanIsGood,IF(ROW()-ROW(PaymentSchedule33[[#Headers],[Payment Number]])&gt;ScheduledNumberOfPayments,"",ROW()-ROW(PaymentSchedule33[[#Headers],[Payment Number]])),"")</f>
        <v>49</v>
      </c>
      <c r="C62" s="24">
        <f ca="1">IF(PaymentSchedule33[[#This Row],[Payment Number]]&lt;&gt;"",EOMONTH(LoanStartDate,ROW(PaymentSchedule33[[#This Row],[Payment Number]])-ROW(PaymentSchedule33[[#Headers],[Payment Number]])-2)+DAY(LoanStartDate),"")</f>
        <v>46928</v>
      </c>
      <c r="D62" s="25">
        <f ca="1">IF(PaymentSchedule33[[#This Row],[Payment Number]]&lt;&gt;"",IF(ROW()-ROW(PaymentSchedule33[[#Headers],[Beginning
Balance]])=1,LoanAmount,INDEX(PaymentSchedule33[Ending
Balance],ROW()-ROW(PaymentSchedule33[[#Headers],[Beginning
Balance]])-1)),"")</f>
        <v>311319.74595148233</v>
      </c>
      <c r="E62" s="25">
        <f ca="1">IF(PaymentSchedule33[[#This Row],[Payment Number]]&lt;&gt;"",ScheduledPayment,"")</f>
        <v>1784.9318965153623</v>
      </c>
      <c r="F6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2" s="25">
        <f ca="1">IF(PaymentSchedule33[[#This Row],[Payment Number]]&lt;&gt;"",PaymentSchedule33[[#This Row],[Total
Payment]]-PaymentSchedule33[[#This Row],[Interest]],"")</f>
        <v>487.76628838418583</v>
      </c>
      <c r="I62" s="25">
        <f ca="1">IF(PaymentSchedule33[[#This Row],[Payment Number]]&lt;&gt;"",PaymentSchedule33[[#This Row],[Beginning
Balance]]*(InterestRate/PaymentsPerYear),"")</f>
        <v>1297.1656081311764</v>
      </c>
      <c r="J62" s="25">
        <f ca="1">IF(PaymentSchedule33[[#This Row],[Payment Number]]&lt;&gt;"",IF(PaymentSchedule33[[#This Row],[Scheduled Payment]]+PaymentSchedule33[[#This Row],[Extra
Payment]]&lt;=PaymentSchedule33[[#This Row],[Beginning
Balance]],PaymentSchedule33[[#This Row],[Beginning
Balance]]-PaymentSchedule33[[#This Row],[Principal]],0),"")</f>
        <v>310831.97966309811</v>
      </c>
      <c r="K62" s="25">
        <f ca="1">IF(PaymentSchedule33[[#This Row],[Payment Number]]&lt;&gt;"",SUM(INDEX(PaymentSchedule33[Interest],1,1):PaymentSchedule33[[#This Row],[Interest]]),"")</f>
        <v>65793.642592350996</v>
      </c>
      <c r="L62" s="25">
        <f ca="1">IF(PaymentSchedule33[[#This Row],[Payment Number]]&lt;&gt;"",SUM(INDEX(PaymentSchedule33[Principal],1,1):PaymentSchedule33[[#This Row],[Principal]]),"")</f>
        <v>21668.020336901769</v>
      </c>
      <c r="M62" s="25">
        <f ca="1">PaymentSchedule3[[#This Row],[Total
Payment]]-PaymentSchedule33[[#This Row],[Total
Payment]]</f>
        <v>427.19889995542212</v>
      </c>
      <c r="N62" s="25">
        <f ca="1">PaymentSchedule3[[#This Row],[Interest]]-PaymentSchedule33[[#This Row],[Interest]]</f>
        <v>554.64275779092554</v>
      </c>
      <c r="O62" s="25">
        <f ca="1">PaymentSchedule3[[#This Row],[Cumulative
Interest]]-PaymentSchedule33[[#This Row],[Cumulative
Interest]]</f>
        <v>27193.306733671823</v>
      </c>
    </row>
    <row r="63" spans="2:15" x14ac:dyDescent="0.25">
      <c r="B63" s="23">
        <f ca="1">IF(LoanIsGood,IF(ROW()-ROW(PaymentSchedule33[[#Headers],[Payment Number]])&gt;ScheduledNumberOfPayments,"",ROW()-ROW(PaymentSchedule33[[#Headers],[Payment Number]])),"")</f>
        <v>50</v>
      </c>
      <c r="C63" s="24">
        <f ca="1">IF(PaymentSchedule33[[#This Row],[Payment Number]]&lt;&gt;"",EOMONTH(LoanStartDate,ROW(PaymentSchedule33[[#This Row],[Payment Number]])-ROW(PaymentSchedule33[[#Headers],[Payment Number]])-2)+DAY(LoanStartDate),"")</f>
        <v>46958</v>
      </c>
      <c r="D63" s="25">
        <f ca="1">IF(PaymentSchedule33[[#This Row],[Payment Number]]&lt;&gt;"",IF(ROW()-ROW(PaymentSchedule33[[#Headers],[Beginning
Balance]])=1,LoanAmount,INDEX(PaymentSchedule33[Ending
Balance],ROW()-ROW(PaymentSchedule33[[#Headers],[Beginning
Balance]])-1)),"")</f>
        <v>310831.97966309811</v>
      </c>
      <c r="E63" s="25">
        <f ca="1">IF(PaymentSchedule33[[#This Row],[Payment Number]]&lt;&gt;"",ScheduledPayment,"")</f>
        <v>1784.9318965153623</v>
      </c>
      <c r="F6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3" s="25">
        <f ca="1">IF(PaymentSchedule33[[#This Row],[Payment Number]]&lt;&gt;"",PaymentSchedule33[[#This Row],[Total
Payment]]-PaymentSchedule33[[#This Row],[Interest]],"")</f>
        <v>489.79864791912019</v>
      </c>
      <c r="I63" s="25">
        <f ca="1">IF(PaymentSchedule33[[#This Row],[Payment Number]]&lt;&gt;"",PaymentSchedule33[[#This Row],[Beginning
Balance]]*(InterestRate/PaymentsPerYear),"")</f>
        <v>1295.1332485962421</v>
      </c>
      <c r="J63" s="25">
        <f ca="1">IF(PaymentSchedule33[[#This Row],[Payment Number]]&lt;&gt;"",IF(PaymentSchedule33[[#This Row],[Scheduled Payment]]+PaymentSchedule33[[#This Row],[Extra
Payment]]&lt;=PaymentSchedule33[[#This Row],[Beginning
Balance]],PaymentSchedule33[[#This Row],[Beginning
Balance]]-PaymentSchedule33[[#This Row],[Principal]],0),"")</f>
        <v>310342.18101517897</v>
      </c>
      <c r="K63" s="25">
        <f ca="1">IF(PaymentSchedule33[[#This Row],[Payment Number]]&lt;&gt;"",SUM(INDEX(PaymentSchedule33[Interest],1,1):PaymentSchedule33[[#This Row],[Interest]]),"")</f>
        <v>67088.775840947244</v>
      </c>
      <c r="L63" s="25">
        <f ca="1">IF(PaymentSchedule33[[#This Row],[Payment Number]]&lt;&gt;"",SUM(INDEX(PaymentSchedule33[Principal],1,1):PaymentSchedule33[[#This Row],[Principal]]),"")</f>
        <v>22157.818984820889</v>
      </c>
      <c r="M63" s="25">
        <f ca="1">PaymentSchedule3[[#This Row],[Total
Payment]]-PaymentSchedule33[[#This Row],[Total
Payment]]</f>
        <v>427.19889995542212</v>
      </c>
      <c r="N63" s="25">
        <f ca="1">PaymentSchedule3[[#This Row],[Interest]]-PaymentSchedule33[[#This Row],[Interest]]</f>
        <v>554.57323648099282</v>
      </c>
      <c r="O63" s="25">
        <f ca="1">PaymentSchedule3[[#This Row],[Cumulative
Interest]]-PaymentSchedule33[[#This Row],[Cumulative
Interest]]</f>
        <v>27747.879970152804</v>
      </c>
    </row>
    <row r="64" spans="2:15" x14ac:dyDescent="0.25">
      <c r="B64" s="23">
        <f ca="1">IF(LoanIsGood,IF(ROW()-ROW(PaymentSchedule33[[#Headers],[Payment Number]])&gt;ScheduledNumberOfPayments,"",ROW()-ROW(PaymentSchedule33[[#Headers],[Payment Number]])),"")</f>
        <v>51</v>
      </c>
      <c r="C64" s="24">
        <f ca="1">IF(PaymentSchedule33[[#This Row],[Payment Number]]&lt;&gt;"",EOMONTH(LoanStartDate,ROW(PaymentSchedule33[[#This Row],[Payment Number]])-ROW(PaymentSchedule33[[#Headers],[Payment Number]])-2)+DAY(LoanStartDate),"")</f>
        <v>46989</v>
      </c>
      <c r="D64" s="25">
        <f ca="1">IF(PaymentSchedule33[[#This Row],[Payment Number]]&lt;&gt;"",IF(ROW()-ROW(PaymentSchedule33[[#Headers],[Beginning
Balance]])=1,LoanAmount,INDEX(PaymentSchedule33[Ending
Balance],ROW()-ROW(PaymentSchedule33[[#Headers],[Beginning
Balance]])-1)),"")</f>
        <v>310342.18101517897</v>
      </c>
      <c r="E64" s="25">
        <f ca="1">IF(PaymentSchedule33[[#This Row],[Payment Number]]&lt;&gt;"",ScheduledPayment,"")</f>
        <v>1784.9318965153623</v>
      </c>
      <c r="F6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4" s="25">
        <f ca="1">IF(PaymentSchedule33[[#This Row],[Payment Number]]&lt;&gt;"",PaymentSchedule33[[#This Row],[Total
Payment]]-PaymentSchedule33[[#This Row],[Interest]],"")</f>
        <v>491.83947561878335</v>
      </c>
      <c r="I64" s="25">
        <f ca="1">IF(PaymentSchedule33[[#This Row],[Payment Number]]&lt;&gt;"",PaymentSchedule33[[#This Row],[Beginning
Balance]]*(InterestRate/PaymentsPerYear),"")</f>
        <v>1293.0924208965789</v>
      </c>
      <c r="J64" s="25">
        <f ca="1">IF(PaymentSchedule33[[#This Row],[Payment Number]]&lt;&gt;"",IF(PaymentSchedule33[[#This Row],[Scheduled Payment]]+PaymentSchedule33[[#This Row],[Extra
Payment]]&lt;=PaymentSchedule33[[#This Row],[Beginning
Balance]],PaymentSchedule33[[#This Row],[Beginning
Balance]]-PaymentSchedule33[[#This Row],[Principal]],0),"")</f>
        <v>309850.34153956018</v>
      </c>
      <c r="K64" s="25">
        <f ca="1">IF(PaymentSchedule33[[#This Row],[Payment Number]]&lt;&gt;"",SUM(INDEX(PaymentSchedule33[Interest],1,1):PaymentSchedule33[[#This Row],[Interest]]),"")</f>
        <v>68381.868261843818</v>
      </c>
      <c r="L64" s="25">
        <f ca="1">IF(PaymentSchedule33[[#This Row],[Payment Number]]&lt;&gt;"",SUM(INDEX(PaymentSchedule33[Principal],1,1):PaymentSchedule33[[#This Row],[Principal]]),"")</f>
        <v>22649.658460439674</v>
      </c>
      <c r="M64" s="25">
        <f ca="1">PaymentSchedule3[[#This Row],[Total
Payment]]-PaymentSchedule33[[#This Row],[Total
Payment]]</f>
        <v>427.19889995542212</v>
      </c>
      <c r="N64" s="25">
        <f ca="1">PaymentSchedule3[[#This Row],[Interest]]-PaymentSchedule33[[#This Row],[Interest]]</f>
        <v>554.49992236419371</v>
      </c>
      <c r="O64" s="25">
        <f ca="1">PaymentSchedule3[[#This Row],[Cumulative
Interest]]-PaymentSchedule33[[#This Row],[Cumulative
Interest]]</f>
        <v>28302.379892516998</v>
      </c>
    </row>
    <row r="65" spans="2:15" x14ac:dyDescent="0.25">
      <c r="B65" s="23">
        <f ca="1">IF(LoanIsGood,IF(ROW()-ROW(PaymentSchedule33[[#Headers],[Payment Number]])&gt;ScheduledNumberOfPayments,"",ROW()-ROW(PaymentSchedule33[[#Headers],[Payment Number]])),"")</f>
        <v>52</v>
      </c>
      <c r="C65" s="24">
        <f ca="1">IF(PaymentSchedule33[[#This Row],[Payment Number]]&lt;&gt;"",EOMONTH(LoanStartDate,ROW(PaymentSchedule33[[#This Row],[Payment Number]])-ROW(PaymentSchedule33[[#Headers],[Payment Number]])-2)+DAY(LoanStartDate),"")</f>
        <v>47020</v>
      </c>
      <c r="D65" s="25">
        <f ca="1">IF(PaymentSchedule33[[#This Row],[Payment Number]]&lt;&gt;"",IF(ROW()-ROW(PaymentSchedule33[[#Headers],[Beginning
Balance]])=1,LoanAmount,INDEX(PaymentSchedule33[Ending
Balance],ROW()-ROW(PaymentSchedule33[[#Headers],[Beginning
Balance]])-1)),"")</f>
        <v>309850.34153956018</v>
      </c>
      <c r="E65" s="25">
        <f ca="1">IF(PaymentSchedule33[[#This Row],[Payment Number]]&lt;&gt;"",ScheduledPayment,"")</f>
        <v>1784.9318965153623</v>
      </c>
      <c r="F6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5" s="25">
        <f ca="1">IF(PaymentSchedule33[[#This Row],[Payment Number]]&lt;&gt;"",PaymentSchedule33[[#This Row],[Total
Payment]]-PaymentSchedule33[[#This Row],[Interest]],"")</f>
        <v>493.88880676719486</v>
      </c>
      <c r="I65" s="25">
        <f ca="1">IF(PaymentSchedule33[[#This Row],[Payment Number]]&lt;&gt;"",PaymentSchedule33[[#This Row],[Beginning
Balance]]*(InterestRate/PaymentsPerYear),"")</f>
        <v>1291.0430897481674</v>
      </c>
      <c r="J65" s="25">
        <f ca="1">IF(PaymentSchedule33[[#This Row],[Payment Number]]&lt;&gt;"",IF(PaymentSchedule33[[#This Row],[Scheduled Payment]]+PaymentSchedule33[[#This Row],[Extra
Payment]]&lt;=PaymentSchedule33[[#This Row],[Beginning
Balance]],PaymentSchedule33[[#This Row],[Beginning
Balance]]-PaymentSchedule33[[#This Row],[Principal]],0),"")</f>
        <v>309356.452732793</v>
      </c>
      <c r="K65" s="25">
        <f ca="1">IF(PaymentSchedule33[[#This Row],[Payment Number]]&lt;&gt;"",SUM(INDEX(PaymentSchedule33[Interest],1,1):PaymentSchedule33[[#This Row],[Interest]]),"")</f>
        <v>69672.911351591989</v>
      </c>
      <c r="L65" s="25">
        <f ca="1">IF(PaymentSchedule33[[#This Row],[Payment Number]]&lt;&gt;"",SUM(INDEX(PaymentSchedule33[Principal],1,1):PaymentSchedule33[[#This Row],[Principal]]),"")</f>
        <v>23143.547267206868</v>
      </c>
      <c r="M65" s="25">
        <f ca="1">PaymentSchedule3[[#This Row],[Total
Payment]]-PaymentSchedule33[[#This Row],[Total
Payment]]</f>
        <v>427.19889995542212</v>
      </c>
      <c r="N65" s="25">
        <f ca="1">PaymentSchedule3[[#This Row],[Interest]]-PaymentSchedule33[[#This Row],[Interest]]</f>
        <v>554.42277920221341</v>
      </c>
      <c r="O65" s="25">
        <f ca="1">PaymentSchedule3[[#This Row],[Cumulative
Interest]]-PaymentSchedule33[[#This Row],[Cumulative
Interest]]</f>
        <v>28856.802671719212</v>
      </c>
    </row>
    <row r="66" spans="2:15" x14ac:dyDescent="0.25">
      <c r="B66" s="23">
        <f ca="1">IF(LoanIsGood,IF(ROW()-ROW(PaymentSchedule33[[#Headers],[Payment Number]])&gt;ScheduledNumberOfPayments,"",ROW()-ROW(PaymentSchedule33[[#Headers],[Payment Number]])),"")</f>
        <v>53</v>
      </c>
      <c r="C66" s="24">
        <f ca="1">IF(PaymentSchedule33[[#This Row],[Payment Number]]&lt;&gt;"",EOMONTH(LoanStartDate,ROW(PaymentSchedule33[[#This Row],[Payment Number]])-ROW(PaymentSchedule33[[#Headers],[Payment Number]])-2)+DAY(LoanStartDate),"")</f>
        <v>47050</v>
      </c>
      <c r="D66" s="25">
        <f ca="1">IF(PaymentSchedule33[[#This Row],[Payment Number]]&lt;&gt;"",IF(ROW()-ROW(PaymentSchedule33[[#Headers],[Beginning
Balance]])=1,LoanAmount,INDEX(PaymentSchedule33[Ending
Balance],ROW()-ROW(PaymentSchedule33[[#Headers],[Beginning
Balance]])-1)),"")</f>
        <v>309356.452732793</v>
      </c>
      <c r="E66" s="25">
        <f ca="1">IF(PaymentSchedule33[[#This Row],[Payment Number]]&lt;&gt;"",ScheduledPayment,"")</f>
        <v>1784.9318965153623</v>
      </c>
      <c r="F6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6" s="25">
        <f ca="1">IF(PaymentSchedule33[[#This Row],[Payment Number]]&lt;&gt;"",PaymentSchedule33[[#This Row],[Total
Payment]]-PaymentSchedule33[[#This Row],[Interest]],"")</f>
        <v>495.94667679539157</v>
      </c>
      <c r="I66" s="25">
        <f ca="1">IF(PaymentSchedule33[[#This Row],[Payment Number]]&lt;&gt;"",PaymentSchedule33[[#This Row],[Beginning
Balance]]*(InterestRate/PaymentsPerYear),"")</f>
        <v>1288.9852197199707</v>
      </c>
      <c r="J66" s="25">
        <f ca="1">IF(PaymentSchedule33[[#This Row],[Payment Number]]&lt;&gt;"",IF(PaymentSchedule33[[#This Row],[Scheduled Payment]]+PaymentSchedule33[[#This Row],[Extra
Payment]]&lt;=PaymentSchedule33[[#This Row],[Beginning
Balance]],PaymentSchedule33[[#This Row],[Beginning
Balance]]-PaymentSchedule33[[#This Row],[Principal]],0),"")</f>
        <v>308860.50605599763</v>
      </c>
      <c r="K66" s="25">
        <f ca="1">IF(PaymentSchedule33[[#This Row],[Payment Number]]&lt;&gt;"",SUM(INDEX(PaymentSchedule33[Interest],1,1):PaymentSchedule33[[#This Row],[Interest]]),"")</f>
        <v>70961.896571311954</v>
      </c>
      <c r="L66" s="25">
        <f ca="1">IF(PaymentSchedule33[[#This Row],[Payment Number]]&lt;&gt;"",SUM(INDEX(PaymentSchedule33[Principal],1,1):PaymentSchedule33[[#This Row],[Principal]]),"")</f>
        <v>23639.493944002261</v>
      </c>
      <c r="M66" s="25">
        <f ca="1">PaymentSchedule3[[#This Row],[Total
Payment]]-PaymentSchedule33[[#This Row],[Total
Payment]]</f>
        <v>427.19889995542212</v>
      </c>
      <c r="N66" s="25">
        <f ca="1">PaymentSchedule3[[#This Row],[Interest]]-PaymentSchedule33[[#This Row],[Interest]]</f>
        <v>554.34177048654124</v>
      </c>
      <c r="O66" s="25">
        <f ca="1">PaymentSchedule3[[#This Row],[Cumulative
Interest]]-PaymentSchedule33[[#This Row],[Cumulative
Interest]]</f>
        <v>29411.144442205754</v>
      </c>
    </row>
    <row r="67" spans="2:15" x14ac:dyDescent="0.25">
      <c r="B67" s="23">
        <f ca="1">IF(LoanIsGood,IF(ROW()-ROW(PaymentSchedule33[[#Headers],[Payment Number]])&gt;ScheduledNumberOfPayments,"",ROW()-ROW(PaymentSchedule33[[#Headers],[Payment Number]])),"")</f>
        <v>54</v>
      </c>
      <c r="C67" s="24">
        <f ca="1">IF(PaymentSchedule33[[#This Row],[Payment Number]]&lt;&gt;"",EOMONTH(LoanStartDate,ROW(PaymentSchedule33[[#This Row],[Payment Number]])-ROW(PaymentSchedule33[[#Headers],[Payment Number]])-2)+DAY(LoanStartDate),"")</f>
        <v>47081</v>
      </c>
      <c r="D67" s="25">
        <f ca="1">IF(PaymentSchedule33[[#This Row],[Payment Number]]&lt;&gt;"",IF(ROW()-ROW(PaymentSchedule33[[#Headers],[Beginning
Balance]])=1,LoanAmount,INDEX(PaymentSchedule33[Ending
Balance],ROW()-ROW(PaymentSchedule33[[#Headers],[Beginning
Balance]])-1)),"")</f>
        <v>308860.50605599763</v>
      </c>
      <c r="E67" s="25">
        <f ca="1">IF(PaymentSchedule33[[#This Row],[Payment Number]]&lt;&gt;"",ScheduledPayment,"")</f>
        <v>1784.9318965153623</v>
      </c>
      <c r="F6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7" s="25">
        <f ca="1">IF(PaymentSchedule33[[#This Row],[Payment Number]]&lt;&gt;"",PaymentSchedule33[[#This Row],[Total
Payment]]-PaymentSchedule33[[#This Row],[Interest]],"")</f>
        <v>498.01312128203881</v>
      </c>
      <c r="I67" s="25">
        <f ca="1">IF(PaymentSchedule33[[#This Row],[Payment Number]]&lt;&gt;"",PaymentSchedule33[[#This Row],[Beginning
Balance]]*(InterestRate/PaymentsPerYear),"")</f>
        <v>1286.9187752333235</v>
      </c>
      <c r="J67" s="25">
        <f ca="1">IF(PaymentSchedule33[[#This Row],[Payment Number]]&lt;&gt;"",IF(PaymentSchedule33[[#This Row],[Scheduled Payment]]+PaymentSchedule33[[#This Row],[Extra
Payment]]&lt;=PaymentSchedule33[[#This Row],[Beginning
Balance]],PaymentSchedule33[[#This Row],[Beginning
Balance]]-PaymentSchedule33[[#This Row],[Principal]],0),"")</f>
        <v>308362.49293471558</v>
      </c>
      <c r="K67" s="25">
        <f ca="1">IF(PaymentSchedule33[[#This Row],[Payment Number]]&lt;&gt;"",SUM(INDEX(PaymentSchedule33[Interest],1,1):PaymentSchedule33[[#This Row],[Interest]]),"")</f>
        <v>72248.815346545278</v>
      </c>
      <c r="L67" s="25">
        <f ca="1">IF(PaymentSchedule33[[#This Row],[Payment Number]]&lt;&gt;"",SUM(INDEX(PaymentSchedule33[Principal],1,1):PaymentSchedule33[[#This Row],[Principal]]),"")</f>
        <v>24137.507065284299</v>
      </c>
      <c r="M67" s="25">
        <f ca="1">PaymentSchedule3[[#This Row],[Total
Payment]]-PaymentSchedule33[[#This Row],[Total
Payment]]</f>
        <v>427.19889995542212</v>
      </c>
      <c r="N67" s="25">
        <f ca="1">PaymentSchedule3[[#This Row],[Interest]]-PaymentSchedule33[[#This Row],[Interest]]</f>
        <v>554.25685943664689</v>
      </c>
      <c r="O67" s="25">
        <f ca="1">PaymentSchedule3[[#This Row],[Cumulative
Interest]]-PaymentSchedule33[[#This Row],[Cumulative
Interest]]</f>
        <v>29965.4013016424</v>
      </c>
    </row>
    <row r="68" spans="2:15" x14ac:dyDescent="0.25">
      <c r="B68" s="23">
        <f ca="1">IF(LoanIsGood,IF(ROW()-ROW(PaymentSchedule33[[#Headers],[Payment Number]])&gt;ScheduledNumberOfPayments,"",ROW()-ROW(PaymentSchedule33[[#Headers],[Payment Number]])),"")</f>
        <v>55</v>
      </c>
      <c r="C68" s="24">
        <f ca="1">IF(PaymentSchedule33[[#This Row],[Payment Number]]&lt;&gt;"",EOMONTH(LoanStartDate,ROW(PaymentSchedule33[[#This Row],[Payment Number]])-ROW(PaymentSchedule33[[#Headers],[Payment Number]])-2)+DAY(LoanStartDate),"")</f>
        <v>47111</v>
      </c>
      <c r="D68" s="25">
        <f ca="1">IF(PaymentSchedule33[[#This Row],[Payment Number]]&lt;&gt;"",IF(ROW()-ROW(PaymentSchedule33[[#Headers],[Beginning
Balance]])=1,LoanAmount,INDEX(PaymentSchedule33[Ending
Balance],ROW()-ROW(PaymentSchedule33[[#Headers],[Beginning
Balance]])-1)),"")</f>
        <v>308362.49293471558</v>
      </c>
      <c r="E68" s="25">
        <f ca="1">IF(PaymentSchedule33[[#This Row],[Payment Number]]&lt;&gt;"",ScheduledPayment,"")</f>
        <v>1784.9318965153623</v>
      </c>
      <c r="F6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8" s="25">
        <f ca="1">IF(PaymentSchedule33[[#This Row],[Payment Number]]&lt;&gt;"",PaymentSchedule33[[#This Row],[Total
Payment]]-PaymentSchedule33[[#This Row],[Interest]],"")</f>
        <v>500.0881759540473</v>
      </c>
      <c r="I68" s="25">
        <f ca="1">IF(PaymentSchedule33[[#This Row],[Payment Number]]&lt;&gt;"",PaymentSchedule33[[#This Row],[Beginning
Balance]]*(InterestRate/PaymentsPerYear),"")</f>
        <v>1284.843720561315</v>
      </c>
      <c r="J68" s="25">
        <f ca="1">IF(PaymentSchedule33[[#This Row],[Payment Number]]&lt;&gt;"",IF(PaymentSchedule33[[#This Row],[Scheduled Payment]]+PaymentSchedule33[[#This Row],[Extra
Payment]]&lt;=PaymentSchedule33[[#This Row],[Beginning
Balance]],PaymentSchedule33[[#This Row],[Beginning
Balance]]-PaymentSchedule33[[#This Row],[Principal]],0),"")</f>
        <v>307862.40475876152</v>
      </c>
      <c r="K68" s="25">
        <f ca="1">IF(PaymentSchedule33[[#This Row],[Payment Number]]&lt;&gt;"",SUM(INDEX(PaymentSchedule33[Interest],1,1):PaymentSchedule33[[#This Row],[Interest]]),"")</f>
        <v>73533.659067106593</v>
      </c>
      <c r="L68" s="25">
        <f ca="1">IF(PaymentSchedule33[[#This Row],[Payment Number]]&lt;&gt;"",SUM(INDEX(PaymentSchedule33[Principal],1,1):PaymentSchedule33[[#This Row],[Principal]]),"")</f>
        <v>24637.595241238345</v>
      </c>
      <c r="M68" s="25">
        <f ca="1">PaymentSchedule3[[#This Row],[Total
Payment]]-PaymentSchedule33[[#This Row],[Total
Payment]]</f>
        <v>427.19889995542212</v>
      </c>
      <c r="N68" s="25">
        <f ca="1">PaymentSchedule3[[#This Row],[Interest]]-PaymentSchedule33[[#This Row],[Interest]]</f>
        <v>554.16800899815053</v>
      </c>
      <c r="O68" s="25">
        <f ca="1">PaymentSchedule3[[#This Row],[Cumulative
Interest]]-PaymentSchedule33[[#This Row],[Cumulative
Interest]]</f>
        <v>30519.569310640552</v>
      </c>
    </row>
    <row r="69" spans="2:15" x14ac:dyDescent="0.25">
      <c r="B69" s="23">
        <f ca="1">IF(LoanIsGood,IF(ROW()-ROW(PaymentSchedule33[[#Headers],[Payment Number]])&gt;ScheduledNumberOfPayments,"",ROW()-ROW(PaymentSchedule33[[#Headers],[Payment Number]])),"")</f>
        <v>56</v>
      </c>
      <c r="C69" s="24">
        <f ca="1">IF(PaymentSchedule33[[#This Row],[Payment Number]]&lt;&gt;"",EOMONTH(LoanStartDate,ROW(PaymentSchedule33[[#This Row],[Payment Number]])-ROW(PaymentSchedule33[[#Headers],[Payment Number]])-2)+DAY(LoanStartDate),"")</f>
        <v>47142</v>
      </c>
      <c r="D69" s="25">
        <f ca="1">IF(PaymentSchedule33[[#This Row],[Payment Number]]&lt;&gt;"",IF(ROW()-ROW(PaymentSchedule33[[#Headers],[Beginning
Balance]])=1,LoanAmount,INDEX(PaymentSchedule33[Ending
Balance],ROW()-ROW(PaymentSchedule33[[#Headers],[Beginning
Balance]])-1)),"")</f>
        <v>307862.40475876152</v>
      </c>
      <c r="E69" s="25">
        <f ca="1">IF(PaymentSchedule33[[#This Row],[Payment Number]]&lt;&gt;"",ScheduledPayment,"")</f>
        <v>1784.9318965153623</v>
      </c>
      <c r="F6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6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69" s="25">
        <f ca="1">IF(PaymentSchedule33[[#This Row],[Payment Number]]&lt;&gt;"",PaymentSchedule33[[#This Row],[Total
Payment]]-PaymentSchedule33[[#This Row],[Interest]],"")</f>
        <v>502.1718766871893</v>
      </c>
      <c r="I69" s="25">
        <f ca="1">IF(PaymentSchedule33[[#This Row],[Payment Number]]&lt;&gt;"",PaymentSchedule33[[#This Row],[Beginning
Balance]]*(InterestRate/PaymentsPerYear),"")</f>
        <v>1282.760019828173</v>
      </c>
      <c r="J69" s="25">
        <f ca="1">IF(PaymentSchedule33[[#This Row],[Payment Number]]&lt;&gt;"",IF(PaymentSchedule33[[#This Row],[Scheduled Payment]]+PaymentSchedule33[[#This Row],[Extra
Payment]]&lt;=PaymentSchedule33[[#This Row],[Beginning
Balance]],PaymentSchedule33[[#This Row],[Beginning
Balance]]-PaymentSchedule33[[#This Row],[Principal]],0),"")</f>
        <v>307360.23288207431</v>
      </c>
      <c r="K69" s="25">
        <f ca="1">IF(PaymentSchedule33[[#This Row],[Payment Number]]&lt;&gt;"",SUM(INDEX(PaymentSchedule33[Interest],1,1):PaymentSchedule33[[#This Row],[Interest]]),"")</f>
        <v>74816.419086934766</v>
      </c>
      <c r="L69" s="25">
        <f ca="1">IF(PaymentSchedule33[[#This Row],[Payment Number]]&lt;&gt;"",SUM(INDEX(PaymentSchedule33[Principal],1,1):PaymentSchedule33[[#This Row],[Principal]]),"")</f>
        <v>25139.767117925534</v>
      </c>
      <c r="M69" s="25">
        <f ca="1">PaymentSchedule3[[#This Row],[Total
Payment]]-PaymentSchedule33[[#This Row],[Total
Payment]]</f>
        <v>427.19889995542212</v>
      </c>
      <c r="N69" s="25">
        <f ca="1">PaymentSchedule3[[#This Row],[Interest]]-PaymentSchedule33[[#This Row],[Interest]]</f>
        <v>554.07518184097648</v>
      </c>
      <c r="O69" s="25">
        <f ca="1">PaymentSchedule3[[#This Row],[Cumulative
Interest]]-PaymentSchedule33[[#This Row],[Cumulative
Interest]]</f>
        <v>31073.64449248153</v>
      </c>
    </row>
    <row r="70" spans="2:15" x14ac:dyDescent="0.25">
      <c r="B70" s="23">
        <f ca="1">IF(LoanIsGood,IF(ROW()-ROW(PaymentSchedule33[[#Headers],[Payment Number]])&gt;ScheduledNumberOfPayments,"",ROW()-ROW(PaymentSchedule33[[#Headers],[Payment Number]])),"")</f>
        <v>57</v>
      </c>
      <c r="C70" s="24">
        <f ca="1">IF(PaymentSchedule33[[#This Row],[Payment Number]]&lt;&gt;"",EOMONTH(LoanStartDate,ROW(PaymentSchedule33[[#This Row],[Payment Number]])-ROW(PaymentSchedule33[[#Headers],[Payment Number]])-2)+DAY(LoanStartDate),"")</f>
        <v>47173</v>
      </c>
      <c r="D70" s="25">
        <f ca="1">IF(PaymentSchedule33[[#This Row],[Payment Number]]&lt;&gt;"",IF(ROW()-ROW(PaymentSchedule33[[#Headers],[Beginning
Balance]])=1,LoanAmount,INDEX(PaymentSchedule33[Ending
Balance],ROW()-ROW(PaymentSchedule33[[#Headers],[Beginning
Balance]])-1)),"")</f>
        <v>307360.23288207431</v>
      </c>
      <c r="E70" s="25">
        <f ca="1">IF(PaymentSchedule33[[#This Row],[Payment Number]]&lt;&gt;"",ScheduledPayment,"")</f>
        <v>1784.9318965153623</v>
      </c>
      <c r="F7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0" s="25">
        <f ca="1">IF(PaymentSchedule33[[#This Row],[Payment Number]]&lt;&gt;"",PaymentSchedule33[[#This Row],[Total
Payment]]-PaymentSchedule33[[#This Row],[Interest]],"")</f>
        <v>504.26425950671933</v>
      </c>
      <c r="I70" s="25">
        <f ca="1">IF(PaymentSchedule33[[#This Row],[Payment Number]]&lt;&gt;"",PaymentSchedule33[[#This Row],[Beginning
Balance]]*(InterestRate/PaymentsPerYear),"")</f>
        <v>1280.6676370086429</v>
      </c>
      <c r="J70" s="25">
        <f ca="1">IF(PaymentSchedule33[[#This Row],[Payment Number]]&lt;&gt;"",IF(PaymentSchedule33[[#This Row],[Scheduled Payment]]+PaymentSchedule33[[#This Row],[Extra
Payment]]&lt;=PaymentSchedule33[[#This Row],[Beginning
Balance]],PaymentSchedule33[[#This Row],[Beginning
Balance]]-PaymentSchedule33[[#This Row],[Principal]],0),"")</f>
        <v>306855.9686225676</v>
      </c>
      <c r="K70" s="25">
        <f ca="1">IF(PaymentSchedule33[[#This Row],[Payment Number]]&lt;&gt;"",SUM(INDEX(PaymentSchedule33[Interest],1,1):PaymentSchedule33[[#This Row],[Interest]]),"")</f>
        <v>76097.086723943416</v>
      </c>
      <c r="L70" s="25">
        <f ca="1">IF(PaymentSchedule33[[#This Row],[Payment Number]]&lt;&gt;"",SUM(INDEX(PaymentSchedule33[Principal],1,1):PaymentSchedule33[[#This Row],[Principal]]),"")</f>
        <v>25644.031377432253</v>
      </c>
      <c r="M70" s="25">
        <f ca="1">PaymentSchedule3[[#This Row],[Total
Payment]]-PaymentSchedule33[[#This Row],[Total
Payment]]</f>
        <v>427.19889995542212</v>
      </c>
      <c r="N70" s="25">
        <f ca="1">PaymentSchedule3[[#This Row],[Interest]]-PaymentSchedule33[[#This Row],[Interest]]</f>
        <v>553.97834035749679</v>
      </c>
      <c r="O70" s="25">
        <f ca="1">PaymentSchedule3[[#This Row],[Cumulative
Interest]]-PaymentSchedule33[[#This Row],[Cumulative
Interest]]</f>
        <v>31627.622832839013</v>
      </c>
    </row>
    <row r="71" spans="2:15" x14ac:dyDescent="0.25">
      <c r="B71" s="23">
        <f ca="1">IF(LoanIsGood,IF(ROW()-ROW(PaymentSchedule33[[#Headers],[Payment Number]])&gt;ScheduledNumberOfPayments,"",ROW()-ROW(PaymentSchedule33[[#Headers],[Payment Number]])),"")</f>
        <v>58</v>
      </c>
      <c r="C71" s="24">
        <f ca="1">IF(PaymentSchedule33[[#This Row],[Payment Number]]&lt;&gt;"",EOMONTH(LoanStartDate,ROW(PaymentSchedule33[[#This Row],[Payment Number]])-ROW(PaymentSchedule33[[#Headers],[Payment Number]])-2)+DAY(LoanStartDate),"")</f>
        <v>47201</v>
      </c>
      <c r="D71" s="25">
        <f ca="1">IF(PaymentSchedule33[[#This Row],[Payment Number]]&lt;&gt;"",IF(ROW()-ROW(PaymentSchedule33[[#Headers],[Beginning
Balance]])=1,LoanAmount,INDEX(PaymentSchedule33[Ending
Balance],ROW()-ROW(PaymentSchedule33[[#Headers],[Beginning
Balance]])-1)),"")</f>
        <v>306855.9686225676</v>
      </c>
      <c r="E71" s="25">
        <f ca="1">IF(PaymentSchedule33[[#This Row],[Payment Number]]&lt;&gt;"",ScheduledPayment,"")</f>
        <v>1784.9318965153623</v>
      </c>
      <c r="F7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1" s="25">
        <f ca="1">IF(PaymentSchedule33[[#This Row],[Payment Number]]&lt;&gt;"",PaymentSchedule33[[#This Row],[Total
Payment]]-PaymentSchedule33[[#This Row],[Interest]],"")</f>
        <v>506.3653605879972</v>
      </c>
      <c r="I71" s="25">
        <f ca="1">IF(PaymentSchedule33[[#This Row],[Payment Number]]&lt;&gt;"",PaymentSchedule33[[#This Row],[Beginning
Balance]]*(InterestRate/PaymentsPerYear),"")</f>
        <v>1278.5665359273651</v>
      </c>
      <c r="J71" s="25">
        <f ca="1">IF(PaymentSchedule33[[#This Row],[Payment Number]]&lt;&gt;"",IF(PaymentSchedule33[[#This Row],[Scheduled Payment]]+PaymentSchedule33[[#This Row],[Extra
Payment]]&lt;=PaymentSchedule33[[#This Row],[Beginning
Balance]],PaymentSchedule33[[#This Row],[Beginning
Balance]]-PaymentSchedule33[[#This Row],[Principal]],0),"")</f>
        <v>306349.60326197959</v>
      </c>
      <c r="K71" s="25">
        <f ca="1">IF(PaymentSchedule33[[#This Row],[Payment Number]]&lt;&gt;"",SUM(INDEX(PaymentSchedule33[Interest],1,1):PaymentSchedule33[[#This Row],[Interest]]),"")</f>
        <v>77375.653259870785</v>
      </c>
      <c r="L71" s="25">
        <f ca="1">IF(PaymentSchedule33[[#This Row],[Payment Number]]&lt;&gt;"",SUM(INDEX(PaymentSchedule33[Principal],1,1):PaymentSchedule33[[#This Row],[Principal]]),"")</f>
        <v>26150.396738020252</v>
      </c>
      <c r="M71" s="25">
        <f ca="1">PaymentSchedule3[[#This Row],[Total
Payment]]-PaymentSchedule33[[#This Row],[Total
Payment]]</f>
        <v>427.19889995542212</v>
      </c>
      <c r="N71" s="25">
        <f ca="1">PaymentSchedule3[[#This Row],[Interest]]-PaymentSchedule33[[#This Row],[Interest]]</f>
        <v>553.87744666066419</v>
      </c>
      <c r="O71" s="25">
        <f ca="1">PaymentSchedule3[[#This Row],[Cumulative
Interest]]-PaymentSchedule33[[#This Row],[Cumulative
Interest]]</f>
        <v>32181.500279499669</v>
      </c>
    </row>
    <row r="72" spans="2:15" x14ac:dyDescent="0.25">
      <c r="B72" s="23">
        <f ca="1">IF(LoanIsGood,IF(ROW()-ROW(PaymentSchedule33[[#Headers],[Payment Number]])&gt;ScheduledNumberOfPayments,"",ROW()-ROW(PaymentSchedule33[[#Headers],[Payment Number]])),"")</f>
        <v>59</v>
      </c>
      <c r="C72" s="24">
        <f ca="1">IF(PaymentSchedule33[[#This Row],[Payment Number]]&lt;&gt;"",EOMONTH(LoanStartDate,ROW(PaymentSchedule33[[#This Row],[Payment Number]])-ROW(PaymentSchedule33[[#Headers],[Payment Number]])-2)+DAY(LoanStartDate),"")</f>
        <v>47232</v>
      </c>
      <c r="D72" s="25">
        <f ca="1">IF(PaymentSchedule33[[#This Row],[Payment Number]]&lt;&gt;"",IF(ROW()-ROW(PaymentSchedule33[[#Headers],[Beginning
Balance]])=1,LoanAmount,INDEX(PaymentSchedule33[Ending
Balance],ROW()-ROW(PaymentSchedule33[[#Headers],[Beginning
Balance]])-1)),"")</f>
        <v>306349.60326197959</v>
      </c>
      <c r="E72" s="25">
        <f ca="1">IF(PaymentSchedule33[[#This Row],[Payment Number]]&lt;&gt;"",ScheduledPayment,"")</f>
        <v>1784.9318965153623</v>
      </c>
      <c r="F7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2" s="25">
        <f ca="1">IF(PaymentSchedule33[[#This Row],[Payment Number]]&lt;&gt;"",PaymentSchedule33[[#This Row],[Total
Payment]]-PaymentSchedule33[[#This Row],[Interest]],"")</f>
        <v>508.47521625711397</v>
      </c>
      <c r="I72" s="25">
        <f ca="1">IF(PaymentSchedule33[[#This Row],[Payment Number]]&lt;&gt;"",PaymentSchedule33[[#This Row],[Beginning
Balance]]*(InterestRate/PaymentsPerYear),"")</f>
        <v>1276.4566802582483</v>
      </c>
      <c r="J72" s="25">
        <f ca="1">IF(PaymentSchedule33[[#This Row],[Payment Number]]&lt;&gt;"",IF(PaymentSchedule33[[#This Row],[Scheduled Payment]]+PaymentSchedule33[[#This Row],[Extra
Payment]]&lt;=PaymentSchedule33[[#This Row],[Beginning
Balance]],PaymentSchedule33[[#This Row],[Beginning
Balance]]-PaymentSchedule33[[#This Row],[Principal]],0),"")</f>
        <v>305841.12804572249</v>
      </c>
      <c r="K72" s="25">
        <f ca="1">IF(PaymentSchedule33[[#This Row],[Payment Number]]&lt;&gt;"",SUM(INDEX(PaymentSchedule33[Interest],1,1):PaymentSchedule33[[#This Row],[Interest]]),"")</f>
        <v>78652.109940129027</v>
      </c>
      <c r="L72" s="25">
        <f ca="1">IF(PaymentSchedule33[[#This Row],[Payment Number]]&lt;&gt;"",SUM(INDEX(PaymentSchedule33[Principal],1,1):PaymentSchedule33[[#This Row],[Principal]]),"")</f>
        <v>26658.871954277365</v>
      </c>
      <c r="M72" s="25">
        <f ca="1">PaymentSchedule3[[#This Row],[Total
Payment]]-PaymentSchedule33[[#This Row],[Total
Payment]]</f>
        <v>427.19889995542212</v>
      </c>
      <c r="N72" s="25">
        <f ca="1">PaymentSchedule3[[#This Row],[Interest]]-PaymentSchedule33[[#This Row],[Interest]]</f>
        <v>553.77246258213154</v>
      </c>
      <c r="O72" s="25">
        <f ca="1">PaymentSchedule3[[#This Row],[Cumulative
Interest]]-PaymentSchedule33[[#This Row],[Cumulative
Interest]]</f>
        <v>32735.272742081812</v>
      </c>
    </row>
    <row r="73" spans="2:15" x14ac:dyDescent="0.25">
      <c r="B73" s="23">
        <f ca="1">IF(LoanIsGood,IF(ROW()-ROW(PaymentSchedule33[[#Headers],[Payment Number]])&gt;ScheduledNumberOfPayments,"",ROW()-ROW(PaymentSchedule33[[#Headers],[Payment Number]])),"")</f>
        <v>60</v>
      </c>
      <c r="C73" s="24">
        <f ca="1">IF(PaymentSchedule33[[#This Row],[Payment Number]]&lt;&gt;"",EOMONTH(LoanStartDate,ROW(PaymentSchedule33[[#This Row],[Payment Number]])-ROW(PaymentSchedule33[[#Headers],[Payment Number]])-2)+DAY(LoanStartDate),"")</f>
        <v>47262</v>
      </c>
      <c r="D73" s="25">
        <f ca="1">IF(PaymentSchedule33[[#This Row],[Payment Number]]&lt;&gt;"",IF(ROW()-ROW(PaymentSchedule33[[#Headers],[Beginning
Balance]])=1,LoanAmount,INDEX(PaymentSchedule33[Ending
Balance],ROW()-ROW(PaymentSchedule33[[#Headers],[Beginning
Balance]])-1)),"")</f>
        <v>305841.12804572249</v>
      </c>
      <c r="E73" s="25">
        <f ca="1">IF(PaymentSchedule33[[#This Row],[Payment Number]]&lt;&gt;"",ScheduledPayment,"")</f>
        <v>1784.9318965153623</v>
      </c>
      <c r="F7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3" s="25">
        <f ca="1">IF(PaymentSchedule33[[#This Row],[Payment Number]]&lt;&gt;"",PaymentSchedule33[[#This Row],[Total
Payment]]-PaymentSchedule33[[#This Row],[Interest]],"")</f>
        <v>510.59386299151856</v>
      </c>
      <c r="I73" s="25">
        <f ca="1">IF(PaymentSchedule33[[#This Row],[Payment Number]]&lt;&gt;"",PaymentSchedule33[[#This Row],[Beginning
Balance]]*(InterestRate/PaymentsPerYear),"")</f>
        <v>1274.3380335238437</v>
      </c>
      <c r="J73" s="25">
        <f ca="1">IF(PaymentSchedule33[[#This Row],[Payment Number]]&lt;&gt;"",IF(PaymentSchedule33[[#This Row],[Scheduled Payment]]+PaymentSchedule33[[#This Row],[Extra
Payment]]&lt;=PaymentSchedule33[[#This Row],[Beginning
Balance]],PaymentSchedule33[[#This Row],[Beginning
Balance]]-PaymentSchedule33[[#This Row],[Principal]],0),"")</f>
        <v>305330.53418273095</v>
      </c>
      <c r="K73" s="25">
        <f ca="1">IF(PaymentSchedule33[[#This Row],[Payment Number]]&lt;&gt;"",SUM(INDEX(PaymentSchedule33[Interest],1,1):PaymentSchedule33[[#This Row],[Interest]]),"")</f>
        <v>79926.447973652874</v>
      </c>
      <c r="L73" s="25">
        <f ca="1">IF(PaymentSchedule33[[#This Row],[Payment Number]]&lt;&gt;"",SUM(INDEX(PaymentSchedule33[Principal],1,1):PaymentSchedule33[[#This Row],[Principal]]),"")</f>
        <v>27169.465817268883</v>
      </c>
      <c r="M73" s="25">
        <f ca="1">PaymentSchedule3[[#This Row],[Total
Payment]]-PaymentSchedule33[[#This Row],[Total
Payment]]</f>
        <v>427.19889995542212</v>
      </c>
      <c r="N73" s="25">
        <f ca="1">PaymentSchedule3[[#This Row],[Interest]]-PaymentSchedule33[[#This Row],[Interest]]</f>
        <v>553.66334967035868</v>
      </c>
      <c r="O73" s="25">
        <f ca="1">PaymentSchedule3[[#This Row],[Cumulative
Interest]]-PaymentSchedule33[[#This Row],[Cumulative
Interest]]</f>
        <v>33288.93609175217</v>
      </c>
    </row>
    <row r="74" spans="2:15" x14ac:dyDescent="0.25">
      <c r="B74" s="23">
        <f ca="1">IF(LoanIsGood,IF(ROW()-ROW(PaymentSchedule33[[#Headers],[Payment Number]])&gt;ScheduledNumberOfPayments,"",ROW()-ROW(PaymentSchedule33[[#Headers],[Payment Number]])),"")</f>
        <v>61</v>
      </c>
      <c r="C74" s="24">
        <f ca="1">IF(PaymentSchedule33[[#This Row],[Payment Number]]&lt;&gt;"",EOMONTH(LoanStartDate,ROW(PaymentSchedule33[[#This Row],[Payment Number]])-ROW(PaymentSchedule33[[#Headers],[Payment Number]])-2)+DAY(LoanStartDate),"")</f>
        <v>47293</v>
      </c>
      <c r="D74" s="25">
        <f ca="1">IF(PaymentSchedule33[[#This Row],[Payment Number]]&lt;&gt;"",IF(ROW()-ROW(PaymentSchedule33[[#Headers],[Beginning
Balance]])=1,LoanAmount,INDEX(PaymentSchedule33[Ending
Balance],ROW()-ROW(PaymentSchedule33[[#Headers],[Beginning
Balance]])-1)),"")</f>
        <v>305330.53418273095</v>
      </c>
      <c r="E74" s="25">
        <f ca="1">IF(PaymentSchedule33[[#This Row],[Payment Number]]&lt;&gt;"",ScheduledPayment,"")</f>
        <v>1784.9318965153623</v>
      </c>
      <c r="F7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4" s="25">
        <f ca="1">IF(PaymentSchedule33[[#This Row],[Payment Number]]&lt;&gt;"",PaymentSchedule33[[#This Row],[Total
Payment]]-PaymentSchedule33[[#This Row],[Interest]],"")</f>
        <v>512.72133742065012</v>
      </c>
      <c r="I74" s="25">
        <f ca="1">IF(PaymentSchedule33[[#This Row],[Payment Number]]&lt;&gt;"",PaymentSchedule33[[#This Row],[Beginning
Balance]]*(InterestRate/PaymentsPerYear),"")</f>
        <v>1272.2105590947122</v>
      </c>
      <c r="J74" s="25">
        <f ca="1">IF(PaymentSchedule33[[#This Row],[Payment Number]]&lt;&gt;"",IF(PaymentSchedule33[[#This Row],[Scheduled Payment]]+PaymentSchedule33[[#This Row],[Extra
Payment]]&lt;=PaymentSchedule33[[#This Row],[Beginning
Balance]],PaymentSchedule33[[#This Row],[Beginning
Balance]]-PaymentSchedule33[[#This Row],[Principal]],0),"")</f>
        <v>304817.81284531031</v>
      </c>
      <c r="K74" s="25">
        <f ca="1">IF(PaymentSchedule33[[#This Row],[Payment Number]]&lt;&gt;"",SUM(INDEX(PaymentSchedule33[Interest],1,1):PaymentSchedule33[[#This Row],[Interest]]),"")</f>
        <v>81198.658532747591</v>
      </c>
      <c r="L74" s="25">
        <f ca="1">IF(PaymentSchedule33[[#This Row],[Payment Number]]&lt;&gt;"",SUM(INDEX(PaymentSchedule33[Principal],1,1):PaymentSchedule33[[#This Row],[Principal]]),"")</f>
        <v>27682.187154689535</v>
      </c>
      <c r="M74" s="25">
        <f ca="1">PaymentSchedule3[[#This Row],[Total
Payment]]-PaymentSchedule33[[#This Row],[Total
Payment]]</f>
        <v>427.19889995542212</v>
      </c>
      <c r="N74" s="25">
        <f ca="1">PaymentSchedule3[[#This Row],[Interest]]-PaymentSchedule33[[#This Row],[Interest]]</f>
        <v>553.55006918871027</v>
      </c>
      <c r="O74" s="25">
        <f ca="1">PaymentSchedule3[[#This Row],[Cumulative
Interest]]-PaymentSchedule33[[#This Row],[Cumulative
Interest]]</f>
        <v>33842.486160940869</v>
      </c>
    </row>
    <row r="75" spans="2:15" x14ac:dyDescent="0.25">
      <c r="B75" s="23">
        <f ca="1">IF(LoanIsGood,IF(ROW()-ROW(PaymentSchedule33[[#Headers],[Payment Number]])&gt;ScheduledNumberOfPayments,"",ROW()-ROW(PaymentSchedule33[[#Headers],[Payment Number]])),"")</f>
        <v>62</v>
      </c>
      <c r="C75" s="24">
        <f ca="1">IF(PaymentSchedule33[[#This Row],[Payment Number]]&lt;&gt;"",EOMONTH(LoanStartDate,ROW(PaymentSchedule33[[#This Row],[Payment Number]])-ROW(PaymentSchedule33[[#Headers],[Payment Number]])-2)+DAY(LoanStartDate),"")</f>
        <v>47323</v>
      </c>
      <c r="D75" s="25">
        <f ca="1">IF(PaymentSchedule33[[#This Row],[Payment Number]]&lt;&gt;"",IF(ROW()-ROW(PaymentSchedule33[[#Headers],[Beginning
Balance]])=1,LoanAmount,INDEX(PaymentSchedule33[Ending
Balance],ROW()-ROW(PaymentSchedule33[[#Headers],[Beginning
Balance]])-1)),"")</f>
        <v>304817.81284531031</v>
      </c>
      <c r="E75" s="25">
        <f ca="1">IF(PaymentSchedule33[[#This Row],[Payment Number]]&lt;&gt;"",ScheduledPayment,"")</f>
        <v>1784.9318965153623</v>
      </c>
      <c r="F7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5" s="25">
        <f ca="1">IF(PaymentSchedule33[[#This Row],[Payment Number]]&lt;&gt;"",PaymentSchedule33[[#This Row],[Total
Payment]]-PaymentSchedule33[[#This Row],[Interest]],"")</f>
        <v>514.85767632656939</v>
      </c>
      <c r="I75" s="25">
        <f ca="1">IF(PaymentSchedule33[[#This Row],[Payment Number]]&lt;&gt;"",PaymentSchedule33[[#This Row],[Beginning
Balance]]*(InterestRate/PaymentsPerYear),"")</f>
        <v>1270.0742201887929</v>
      </c>
      <c r="J75" s="25">
        <f ca="1">IF(PaymentSchedule33[[#This Row],[Payment Number]]&lt;&gt;"",IF(PaymentSchedule33[[#This Row],[Scheduled Payment]]+PaymentSchedule33[[#This Row],[Extra
Payment]]&lt;=PaymentSchedule33[[#This Row],[Beginning
Balance]],PaymentSchedule33[[#This Row],[Beginning
Balance]]-PaymentSchedule33[[#This Row],[Principal]],0),"")</f>
        <v>304302.95516898372</v>
      </c>
      <c r="K75" s="25">
        <f ca="1">IF(PaymentSchedule33[[#This Row],[Payment Number]]&lt;&gt;"",SUM(INDEX(PaymentSchedule33[Interest],1,1):PaymentSchedule33[[#This Row],[Interest]]),"")</f>
        <v>82468.732752936383</v>
      </c>
      <c r="L75" s="25">
        <f ca="1">IF(PaymentSchedule33[[#This Row],[Payment Number]]&lt;&gt;"",SUM(INDEX(PaymentSchedule33[Principal],1,1):PaymentSchedule33[[#This Row],[Principal]]),"")</f>
        <v>28197.044831016105</v>
      </c>
      <c r="M75" s="25">
        <f ca="1">PaymentSchedule3[[#This Row],[Total
Payment]]-PaymentSchedule33[[#This Row],[Total
Payment]]</f>
        <v>427.19889995542212</v>
      </c>
      <c r="N75" s="25">
        <f ca="1">PaymentSchedule3[[#This Row],[Interest]]-PaymentSchedule33[[#This Row],[Interest]]</f>
        <v>553.43258211353668</v>
      </c>
      <c r="O75" s="25">
        <f ca="1">PaymentSchedule3[[#This Row],[Cumulative
Interest]]-PaymentSchedule33[[#This Row],[Cumulative
Interest]]</f>
        <v>34395.918743054412</v>
      </c>
    </row>
    <row r="76" spans="2:15" x14ac:dyDescent="0.25">
      <c r="B76" s="23">
        <f ca="1">IF(LoanIsGood,IF(ROW()-ROW(PaymentSchedule33[[#Headers],[Payment Number]])&gt;ScheduledNumberOfPayments,"",ROW()-ROW(PaymentSchedule33[[#Headers],[Payment Number]])),"")</f>
        <v>63</v>
      </c>
      <c r="C76" s="24">
        <f ca="1">IF(PaymentSchedule33[[#This Row],[Payment Number]]&lt;&gt;"",EOMONTH(LoanStartDate,ROW(PaymentSchedule33[[#This Row],[Payment Number]])-ROW(PaymentSchedule33[[#Headers],[Payment Number]])-2)+DAY(LoanStartDate),"")</f>
        <v>47354</v>
      </c>
      <c r="D76" s="25">
        <f ca="1">IF(PaymentSchedule33[[#This Row],[Payment Number]]&lt;&gt;"",IF(ROW()-ROW(PaymentSchedule33[[#Headers],[Beginning
Balance]])=1,LoanAmount,INDEX(PaymentSchedule33[Ending
Balance],ROW()-ROW(PaymentSchedule33[[#Headers],[Beginning
Balance]])-1)),"")</f>
        <v>304302.95516898372</v>
      </c>
      <c r="E76" s="25">
        <f ca="1">IF(PaymentSchedule33[[#This Row],[Payment Number]]&lt;&gt;"",ScheduledPayment,"")</f>
        <v>1784.9318965153623</v>
      </c>
      <c r="F7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6" s="25">
        <f ca="1">IF(PaymentSchedule33[[#This Row],[Payment Number]]&lt;&gt;"",PaymentSchedule33[[#This Row],[Total
Payment]]-PaymentSchedule33[[#This Row],[Interest]],"")</f>
        <v>517.00291664459678</v>
      </c>
      <c r="I76" s="25">
        <f ca="1">IF(PaymentSchedule33[[#This Row],[Payment Number]]&lt;&gt;"",PaymentSchedule33[[#This Row],[Beginning
Balance]]*(InterestRate/PaymentsPerYear),"")</f>
        <v>1267.9289798707655</v>
      </c>
      <c r="J76" s="25">
        <f ca="1">IF(PaymentSchedule33[[#This Row],[Payment Number]]&lt;&gt;"",IF(PaymentSchedule33[[#This Row],[Scheduled Payment]]+PaymentSchedule33[[#This Row],[Extra
Payment]]&lt;=PaymentSchedule33[[#This Row],[Beginning
Balance]],PaymentSchedule33[[#This Row],[Beginning
Balance]]-PaymentSchedule33[[#This Row],[Principal]],0),"")</f>
        <v>303785.95225233911</v>
      </c>
      <c r="K76" s="25">
        <f ca="1">IF(PaymentSchedule33[[#This Row],[Payment Number]]&lt;&gt;"",SUM(INDEX(PaymentSchedule33[Interest],1,1):PaymentSchedule33[[#This Row],[Interest]]),"")</f>
        <v>83736.661732807144</v>
      </c>
      <c r="L76" s="25">
        <f ca="1">IF(PaymentSchedule33[[#This Row],[Payment Number]]&lt;&gt;"",SUM(INDEX(PaymentSchedule33[Principal],1,1):PaymentSchedule33[[#This Row],[Principal]]),"")</f>
        <v>28714.047747660701</v>
      </c>
      <c r="M76" s="25">
        <f ca="1">PaymentSchedule3[[#This Row],[Total
Payment]]-PaymentSchedule33[[#This Row],[Total
Payment]]</f>
        <v>427.19889995542212</v>
      </c>
      <c r="N76" s="25">
        <f ca="1">PaymentSchedule3[[#This Row],[Interest]]-PaymentSchedule33[[#This Row],[Interest]]</f>
        <v>553.31084913224799</v>
      </c>
      <c r="O76" s="25">
        <f ca="1">PaymentSchedule3[[#This Row],[Cumulative
Interest]]-PaymentSchedule33[[#This Row],[Cumulative
Interest]]</f>
        <v>34949.229592186661</v>
      </c>
    </row>
    <row r="77" spans="2:15" x14ac:dyDescent="0.25">
      <c r="B77" s="23">
        <f ca="1">IF(LoanIsGood,IF(ROW()-ROW(PaymentSchedule33[[#Headers],[Payment Number]])&gt;ScheduledNumberOfPayments,"",ROW()-ROW(PaymentSchedule33[[#Headers],[Payment Number]])),"")</f>
        <v>64</v>
      </c>
      <c r="C77" s="24">
        <f ca="1">IF(PaymentSchedule33[[#This Row],[Payment Number]]&lt;&gt;"",EOMONTH(LoanStartDate,ROW(PaymentSchedule33[[#This Row],[Payment Number]])-ROW(PaymentSchedule33[[#Headers],[Payment Number]])-2)+DAY(LoanStartDate),"")</f>
        <v>47385</v>
      </c>
      <c r="D77" s="25">
        <f ca="1">IF(PaymentSchedule33[[#This Row],[Payment Number]]&lt;&gt;"",IF(ROW()-ROW(PaymentSchedule33[[#Headers],[Beginning
Balance]])=1,LoanAmount,INDEX(PaymentSchedule33[Ending
Balance],ROW()-ROW(PaymentSchedule33[[#Headers],[Beginning
Balance]])-1)),"")</f>
        <v>303785.95225233911</v>
      </c>
      <c r="E77" s="25">
        <f ca="1">IF(PaymentSchedule33[[#This Row],[Payment Number]]&lt;&gt;"",ScheduledPayment,"")</f>
        <v>1784.9318965153623</v>
      </c>
      <c r="F7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7" s="25">
        <f ca="1">IF(PaymentSchedule33[[#This Row],[Payment Number]]&lt;&gt;"",PaymentSchedule33[[#This Row],[Total
Payment]]-PaymentSchedule33[[#This Row],[Interest]],"")</f>
        <v>519.15709546394942</v>
      </c>
      <c r="I77" s="25">
        <f ca="1">IF(PaymentSchedule33[[#This Row],[Payment Number]]&lt;&gt;"",PaymentSchedule33[[#This Row],[Beginning
Balance]]*(InterestRate/PaymentsPerYear),"")</f>
        <v>1265.7748010514129</v>
      </c>
      <c r="J77" s="25">
        <f ca="1">IF(PaymentSchedule33[[#This Row],[Payment Number]]&lt;&gt;"",IF(PaymentSchedule33[[#This Row],[Scheduled Payment]]+PaymentSchedule33[[#This Row],[Extra
Payment]]&lt;=PaymentSchedule33[[#This Row],[Beginning
Balance]],PaymentSchedule33[[#This Row],[Beginning
Balance]]-PaymentSchedule33[[#This Row],[Principal]],0),"")</f>
        <v>303266.79515687516</v>
      </c>
      <c r="K77" s="25">
        <f ca="1">IF(PaymentSchedule33[[#This Row],[Payment Number]]&lt;&gt;"",SUM(INDEX(PaymentSchedule33[Interest],1,1):PaymentSchedule33[[#This Row],[Interest]]),"")</f>
        <v>85002.436533858563</v>
      </c>
      <c r="L77" s="25">
        <f ca="1">IF(PaymentSchedule33[[#This Row],[Payment Number]]&lt;&gt;"",SUM(INDEX(PaymentSchedule33[Principal],1,1):PaymentSchedule33[[#This Row],[Principal]]),"")</f>
        <v>29233.204843124651</v>
      </c>
      <c r="M77" s="25">
        <f ca="1">PaymentSchedule3[[#This Row],[Total
Payment]]-PaymentSchedule33[[#This Row],[Total
Payment]]</f>
        <v>427.19889995542212</v>
      </c>
      <c r="N77" s="25">
        <f ca="1">PaymentSchedule3[[#This Row],[Interest]]-PaymentSchedule33[[#This Row],[Interest]]</f>
        <v>553.18483064137172</v>
      </c>
      <c r="O77" s="25">
        <f ca="1">PaymentSchedule3[[#This Row],[Cumulative
Interest]]-PaymentSchedule33[[#This Row],[Cumulative
Interest]]</f>
        <v>35502.41442282802</v>
      </c>
    </row>
    <row r="78" spans="2:15" x14ac:dyDescent="0.25">
      <c r="B78" s="23">
        <f ca="1">IF(LoanIsGood,IF(ROW()-ROW(PaymentSchedule33[[#Headers],[Payment Number]])&gt;ScheduledNumberOfPayments,"",ROW()-ROW(PaymentSchedule33[[#Headers],[Payment Number]])),"")</f>
        <v>65</v>
      </c>
      <c r="C78" s="24">
        <f ca="1">IF(PaymentSchedule33[[#This Row],[Payment Number]]&lt;&gt;"",EOMONTH(LoanStartDate,ROW(PaymentSchedule33[[#This Row],[Payment Number]])-ROW(PaymentSchedule33[[#Headers],[Payment Number]])-2)+DAY(LoanStartDate),"")</f>
        <v>47415</v>
      </c>
      <c r="D78" s="25">
        <f ca="1">IF(PaymentSchedule33[[#This Row],[Payment Number]]&lt;&gt;"",IF(ROW()-ROW(PaymentSchedule33[[#Headers],[Beginning
Balance]])=1,LoanAmount,INDEX(PaymentSchedule33[Ending
Balance],ROW()-ROW(PaymentSchedule33[[#Headers],[Beginning
Balance]])-1)),"")</f>
        <v>303266.79515687516</v>
      </c>
      <c r="E78" s="25">
        <f ca="1">IF(PaymentSchedule33[[#This Row],[Payment Number]]&lt;&gt;"",ScheduledPayment,"")</f>
        <v>1784.9318965153623</v>
      </c>
      <c r="F7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8" s="25">
        <f ca="1">IF(PaymentSchedule33[[#This Row],[Payment Number]]&lt;&gt;"",PaymentSchedule33[[#This Row],[Total
Payment]]-PaymentSchedule33[[#This Row],[Interest]],"")</f>
        <v>521.32025002838236</v>
      </c>
      <c r="I78" s="25">
        <f ca="1">IF(PaymentSchedule33[[#This Row],[Payment Number]]&lt;&gt;"",PaymentSchedule33[[#This Row],[Beginning
Balance]]*(InterestRate/PaymentsPerYear),"")</f>
        <v>1263.6116464869799</v>
      </c>
      <c r="J78" s="25">
        <f ca="1">IF(PaymentSchedule33[[#This Row],[Payment Number]]&lt;&gt;"",IF(PaymentSchedule33[[#This Row],[Scheduled Payment]]+PaymentSchedule33[[#This Row],[Extra
Payment]]&lt;=PaymentSchedule33[[#This Row],[Beginning
Balance]],PaymentSchedule33[[#This Row],[Beginning
Balance]]-PaymentSchedule33[[#This Row],[Principal]],0),"")</f>
        <v>302745.47490684676</v>
      </c>
      <c r="K78" s="25">
        <f ca="1">IF(PaymentSchedule33[[#This Row],[Payment Number]]&lt;&gt;"",SUM(INDEX(PaymentSchedule33[Interest],1,1):PaymentSchedule33[[#This Row],[Interest]]),"")</f>
        <v>86266.048180345548</v>
      </c>
      <c r="L78" s="25">
        <f ca="1">IF(PaymentSchedule33[[#This Row],[Payment Number]]&lt;&gt;"",SUM(INDEX(PaymentSchedule33[Principal],1,1):PaymentSchedule33[[#This Row],[Principal]]),"")</f>
        <v>29754.525093153032</v>
      </c>
      <c r="M78" s="25">
        <f ca="1">PaymentSchedule3[[#This Row],[Total
Payment]]-PaymentSchedule33[[#This Row],[Total
Payment]]</f>
        <v>427.19889995542212</v>
      </c>
      <c r="N78" s="25">
        <f ca="1">PaymentSchedule3[[#This Row],[Interest]]-PaymentSchedule33[[#This Row],[Interest]]</f>
        <v>553.05448674459967</v>
      </c>
      <c r="O78" s="25">
        <f ca="1">PaymentSchedule3[[#This Row],[Cumulative
Interest]]-PaymentSchedule33[[#This Row],[Cumulative
Interest]]</f>
        <v>36055.468909572621</v>
      </c>
    </row>
    <row r="79" spans="2:15" x14ac:dyDescent="0.25">
      <c r="B79" s="23">
        <f ca="1">IF(LoanIsGood,IF(ROW()-ROW(PaymentSchedule33[[#Headers],[Payment Number]])&gt;ScheduledNumberOfPayments,"",ROW()-ROW(PaymentSchedule33[[#Headers],[Payment Number]])),"")</f>
        <v>66</v>
      </c>
      <c r="C79" s="24">
        <f ca="1">IF(PaymentSchedule33[[#This Row],[Payment Number]]&lt;&gt;"",EOMONTH(LoanStartDate,ROW(PaymentSchedule33[[#This Row],[Payment Number]])-ROW(PaymentSchedule33[[#Headers],[Payment Number]])-2)+DAY(LoanStartDate),"")</f>
        <v>47446</v>
      </c>
      <c r="D79" s="25">
        <f ca="1">IF(PaymentSchedule33[[#This Row],[Payment Number]]&lt;&gt;"",IF(ROW()-ROW(PaymentSchedule33[[#Headers],[Beginning
Balance]])=1,LoanAmount,INDEX(PaymentSchedule33[Ending
Balance],ROW()-ROW(PaymentSchedule33[[#Headers],[Beginning
Balance]])-1)),"")</f>
        <v>302745.47490684676</v>
      </c>
      <c r="E79" s="25">
        <f ca="1">IF(PaymentSchedule33[[#This Row],[Payment Number]]&lt;&gt;"",ScheduledPayment,"")</f>
        <v>1784.9318965153623</v>
      </c>
      <c r="F7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7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79" s="25">
        <f ca="1">IF(PaymentSchedule33[[#This Row],[Payment Number]]&lt;&gt;"",PaymentSchedule33[[#This Row],[Total
Payment]]-PaymentSchedule33[[#This Row],[Interest]],"")</f>
        <v>523.49241773683411</v>
      </c>
      <c r="I79" s="25">
        <f ca="1">IF(PaymentSchedule33[[#This Row],[Payment Number]]&lt;&gt;"",PaymentSchedule33[[#This Row],[Beginning
Balance]]*(InterestRate/PaymentsPerYear),"")</f>
        <v>1261.4394787785282</v>
      </c>
      <c r="J79" s="25">
        <f ca="1">IF(PaymentSchedule33[[#This Row],[Payment Number]]&lt;&gt;"",IF(PaymentSchedule33[[#This Row],[Scheduled Payment]]+PaymentSchedule33[[#This Row],[Extra
Payment]]&lt;=PaymentSchedule33[[#This Row],[Beginning
Balance]],PaymentSchedule33[[#This Row],[Beginning
Balance]]-PaymentSchedule33[[#This Row],[Principal]],0),"")</f>
        <v>302221.98248910991</v>
      </c>
      <c r="K79" s="25">
        <f ca="1">IF(PaymentSchedule33[[#This Row],[Payment Number]]&lt;&gt;"",SUM(INDEX(PaymentSchedule33[Interest],1,1):PaymentSchedule33[[#This Row],[Interest]]),"")</f>
        <v>87527.487659124075</v>
      </c>
      <c r="L79" s="25">
        <f ca="1">IF(PaymentSchedule33[[#This Row],[Payment Number]]&lt;&gt;"",SUM(INDEX(PaymentSchedule33[Principal],1,1):PaymentSchedule33[[#This Row],[Principal]]),"")</f>
        <v>30278.017510889866</v>
      </c>
      <c r="M79" s="25">
        <f ca="1">PaymentSchedule3[[#This Row],[Total
Payment]]-PaymentSchedule33[[#This Row],[Total
Payment]]</f>
        <v>427.19889995542212</v>
      </c>
      <c r="N79" s="25">
        <f ca="1">PaymentSchedule3[[#This Row],[Interest]]-PaymentSchedule33[[#This Row],[Interest]]</f>
        <v>552.91977725082279</v>
      </c>
      <c r="O79" s="25">
        <f ca="1">PaymentSchedule3[[#This Row],[Cumulative
Interest]]-PaymentSchedule33[[#This Row],[Cumulative
Interest]]</f>
        <v>36608.38868682344</v>
      </c>
    </row>
    <row r="80" spans="2:15" x14ac:dyDescent="0.25">
      <c r="B80" s="23">
        <f ca="1">IF(LoanIsGood,IF(ROW()-ROW(PaymentSchedule33[[#Headers],[Payment Number]])&gt;ScheduledNumberOfPayments,"",ROW()-ROW(PaymentSchedule33[[#Headers],[Payment Number]])),"")</f>
        <v>67</v>
      </c>
      <c r="C80" s="24">
        <f ca="1">IF(PaymentSchedule33[[#This Row],[Payment Number]]&lt;&gt;"",EOMONTH(LoanStartDate,ROW(PaymentSchedule33[[#This Row],[Payment Number]])-ROW(PaymentSchedule33[[#Headers],[Payment Number]])-2)+DAY(LoanStartDate),"")</f>
        <v>47476</v>
      </c>
      <c r="D80" s="25">
        <f ca="1">IF(PaymentSchedule33[[#This Row],[Payment Number]]&lt;&gt;"",IF(ROW()-ROW(PaymentSchedule33[[#Headers],[Beginning
Balance]])=1,LoanAmount,INDEX(PaymentSchedule33[Ending
Balance],ROW()-ROW(PaymentSchedule33[[#Headers],[Beginning
Balance]])-1)),"")</f>
        <v>302221.98248910991</v>
      </c>
      <c r="E80" s="25">
        <f ca="1">IF(PaymentSchedule33[[#This Row],[Payment Number]]&lt;&gt;"",ScheduledPayment,"")</f>
        <v>1784.9318965153623</v>
      </c>
      <c r="F8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0" s="25">
        <f ca="1">IF(PaymentSchedule33[[#This Row],[Payment Number]]&lt;&gt;"",PaymentSchedule33[[#This Row],[Total
Payment]]-PaymentSchedule33[[#This Row],[Interest]],"")</f>
        <v>525.673636144071</v>
      </c>
      <c r="I80" s="25">
        <f ca="1">IF(PaymentSchedule33[[#This Row],[Payment Number]]&lt;&gt;"",PaymentSchedule33[[#This Row],[Beginning
Balance]]*(InterestRate/PaymentsPerYear),"")</f>
        <v>1259.2582603712913</v>
      </c>
      <c r="J80" s="25">
        <f ca="1">IF(PaymentSchedule33[[#This Row],[Payment Number]]&lt;&gt;"",IF(PaymentSchedule33[[#This Row],[Scheduled Payment]]+PaymentSchedule33[[#This Row],[Extra
Payment]]&lt;=PaymentSchedule33[[#This Row],[Beginning
Balance]],PaymentSchedule33[[#This Row],[Beginning
Balance]]-PaymentSchedule33[[#This Row],[Principal]],0),"")</f>
        <v>301696.30885296583</v>
      </c>
      <c r="K80" s="25">
        <f ca="1">IF(PaymentSchedule33[[#This Row],[Payment Number]]&lt;&gt;"",SUM(INDEX(PaymentSchedule33[Interest],1,1):PaymentSchedule33[[#This Row],[Interest]]),"")</f>
        <v>88786.74591949537</v>
      </c>
      <c r="L80" s="25">
        <f ca="1">IF(PaymentSchedule33[[#This Row],[Payment Number]]&lt;&gt;"",SUM(INDEX(PaymentSchedule33[Principal],1,1):PaymentSchedule33[[#This Row],[Principal]]),"")</f>
        <v>30803.691147033936</v>
      </c>
      <c r="M80" s="25">
        <f ca="1">PaymentSchedule3[[#This Row],[Total
Payment]]-PaymentSchedule33[[#This Row],[Total
Payment]]</f>
        <v>427.19889995542212</v>
      </c>
      <c r="N80" s="25">
        <f ca="1">PaymentSchedule3[[#This Row],[Interest]]-PaymentSchedule33[[#This Row],[Interest]]</f>
        <v>552.78066167215138</v>
      </c>
      <c r="O80" s="25">
        <f ca="1">PaymentSchedule3[[#This Row],[Cumulative
Interest]]-PaymentSchedule33[[#This Row],[Cumulative
Interest]]</f>
        <v>37161.16934849559</v>
      </c>
    </row>
    <row r="81" spans="2:15" x14ac:dyDescent="0.25">
      <c r="B81" s="23">
        <f ca="1">IF(LoanIsGood,IF(ROW()-ROW(PaymentSchedule33[[#Headers],[Payment Number]])&gt;ScheduledNumberOfPayments,"",ROW()-ROW(PaymentSchedule33[[#Headers],[Payment Number]])),"")</f>
        <v>68</v>
      </c>
      <c r="C81" s="24">
        <f ca="1">IF(PaymentSchedule33[[#This Row],[Payment Number]]&lt;&gt;"",EOMONTH(LoanStartDate,ROW(PaymentSchedule33[[#This Row],[Payment Number]])-ROW(PaymentSchedule33[[#Headers],[Payment Number]])-2)+DAY(LoanStartDate),"")</f>
        <v>47507</v>
      </c>
      <c r="D81" s="25">
        <f ca="1">IF(PaymentSchedule33[[#This Row],[Payment Number]]&lt;&gt;"",IF(ROW()-ROW(PaymentSchedule33[[#Headers],[Beginning
Balance]])=1,LoanAmount,INDEX(PaymentSchedule33[Ending
Balance],ROW()-ROW(PaymentSchedule33[[#Headers],[Beginning
Balance]])-1)),"")</f>
        <v>301696.30885296583</v>
      </c>
      <c r="E81" s="25">
        <f ca="1">IF(PaymentSchedule33[[#This Row],[Payment Number]]&lt;&gt;"",ScheduledPayment,"")</f>
        <v>1784.9318965153623</v>
      </c>
      <c r="F8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1" s="25">
        <f ca="1">IF(PaymentSchedule33[[#This Row],[Payment Number]]&lt;&gt;"",PaymentSchedule33[[#This Row],[Total
Payment]]-PaymentSchedule33[[#This Row],[Interest]],"")</f>
        <v>527.8639429613379</v>
      </c>
      <c r="I81" s="25">
        <f ca="1">IF(PaymentSchedule33[[#This Row],[Payment Number]]&lt;&gt;"",PaymentSchedule33[[#This Row],[Beginning
Balance]]*(InterestRate/PaymentsPerYear),"")</f>
        <v>1257.0679535540244</v>
      </c>
      <c r="J81" s="25">
        <f ca="1">IF(PaymentSchedule33[[#This Row],[Payment Number]]&lt;&gt;"",IF(PaymentSchedule33[[#This Row],[Scheduled Payment]]+PaymentSchedule33[[#This Row],[Extra
Payment]]&lt;=PaymentSchedule33[[#This Row],[Beginning
Balance]],PaymentSchedule33[[#This Row],[Beginning
Balance]]-PaymentSchedule33[[#This Row],[Principal]],0),"")</f>
        <v>301168.4449100045</v>
      </c>
      <c r="K81" s="25">
        <f ca="1">IF(PaymentSchedule33[[#This Row],[Payment Number]]&lt;&gt;"",SUM(INDEX(PaymentSchedule33[Interest],1,1):PaymentSchedule33[[#This Row],[Interest]]),"")</f>
        <v>90043.813873049396</v>
      </c>
      <c r="L81" s="25">
        <f ca="1">IF(PaymentSchedule33[[#This Row],[Payment Number]]&lt;&gt;"",SUM(INDEX(PaymentSchedule33[Principal],1,1):PaymentSchedule33[[#This Row],[Principal]]),"")</f>
        <v>31331.555089995276</v>
      </c>
      <c r="M81" s="25">
        <f ca="1">PaymentSchedule3[[#This Row],[Total
Payment]]-PaymentSchedule33[[#This Row],[Total
Payment]]</f>
        <v>427.19889995542212</v>
      </c>
      <c r="N81" s="25">
        <f ca="1">PaymentSchedule3[[#This Row],[Interest]]-PaymentSchedule33[[#This Row],[Interest]]</f>
        <v>552.63709922192538</v>
      </c>
      <c r="O81" s="25">
        <f ca="1">PaymentSchedule3[[#This Row],[Cumulative
Interest]]-PaymentSchedule33[[#This Row],[Cumulative
Interest]]</f>
        <v>37713.806447717521</v>
      </c>
    </row>
    <row r="82" spans="2:15" x14ac:dyDescent="0.25">
      <c r="B82" s="23">
        <f ca="1">IF(LoanIsGood,IF(ROW()-ROW(PaymentSchedule33[[#Headers],[Payment Number]])&gt;ScheduledNumberOfPayments,"",ROW()-ROW(PaymentSchedule33[[#Headers],[Payment Number]])),"")</f>
        <v>69</v>
      </c>
      <c r="C82" s="24">
        <f ca="1">IF(PaymentSchedule33[[#This Row],[Payment Number]]&lt;&gt;"",EOMONTH(LoanStartDate,ROW(PaymentSchedule33[[#This Row],[Payment Number]])-ROW(PaymentSchedule33[[#Headers],[Payment Number]])-2)+DAY(LoanStartDate),"")</f>
        <v>47538</v>
      </c>
      <c r="D82" s="25">
        <f ca="1">IF(PaymentSchedule33[[#This Row],[Payment Number]]&lt;&gt;"",IF(ROW()-ROW(PaymentSchedule33[[#Headers],[Beginning
Balance]])=1,LoanAmount,INDEX(PaymentSchedule33[Ending
Balance],ROW()-ROW(PaymentSchedule33[[#Headers],[Beginning
Balance]])-1)),"")</f>
        <v>301168.4449100045</v>
      </c>
      <c r="E82" s="25">
        <f ca="1">IF(PaymentSchedule33[[#This Row],[Payment Number]]&lt;&gt;"",ScheduledPayment,"")</f>
        <v>1784.9318965153623</v>
      </c>
      <c r="F8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2" s="25">
        <f ca="1">IF(PaymentSchedule33[[#This Row],[Payment Number]]&lt;&gt;"",PaymentSchedule33[[#This Row],[Total
Payment]]-PaymentSchedule33[[#This Row],[Interest]],"")</f>
        <v>530.06337605701015</v>
      </c>
      <c r="I82" s="25">
        <f ca="1">IF(PaymentSchedule33[[#This Row],[Payment Number]]&lt;&gt;"",PaymentSchedule33[[#This Row],[Beginning
Balance]]*(InterestRate/PaymentsPerYear),"")</f>
        <v>1254.8685204583521</v>
      </c>
      <c r="J82" s="25">
        <f ca="1">IF(PaymentSchedule33[[#This Row],[Payment Number]]&lt;&gt;"",IF(PaymentSchedule33[[#This Row],[Scheduled Payment]]+PaymentSchedule33[[#This Row],[Extra
Payment]]&lt;=PaymentSchedule33[[#This Row],[Beginning
Balance]],PaymentSchedule33[[#This Row],[Beginning
Balance]]-PaymentSchedule33[[#This Row],[Principal]],0),"")</f>
        <v>300638.38153394748</v>
      </c>
      <c r="K82" s="25">
        <f ca="1">IF(PaymentSchedule33[[#This Row],[Payment Number]]&lt;&gt;"",SUM(INDEX(PaymentSchedule33[Interest],1,1):PaymentSchedule33[[#This Row],[Interest]]),"")</f>
        <v>91298.682393507741</v>
      </c>
      <c r="L82" s="25">
        <f ca="1">IF(PaymentSchedule33[[#This Row],[Payment Number]]&lt;&gt;"",SUM(INDEX(PaymentSchedule33[Principal],1,1):PaymentSchedule33[[#This Row],[Principal]]),"")</f>
        <v>31861.618466052285</v>
      </c>
      <c r="M82" s="25">
        <f ca="1">PaymentSchedule3[[#This Row],[Total
Payment]]-PaymentSchedule33[[#This Row],[Total
Payment]]</f>
        <v>427.19889995542212</v>
      </c>
      <c r="N82" s="25">
        <f ca="1">PaymentSchedule3[[#This Row],[Interest]]-PaymentSchedule33[[#This Row],[Interest]]</f>
        <v>552.48904881271119</v>
      </c>
      <c r="O82" s="25">
        <f ca="1">PaymentSchedule3[[#This Row],[Cumulative
Interest]]-PaymentSchedule33[[#This Row],[Cumulative
Interest]]</f>
        <v>38266.295496530234</v>
      </c>
    </row>
    <row r="83" spans="2:15" x14ac:dyDescent="0.25">
      <c r="B83" s="23">
        <f ca="1">IF(LoanIsGood,IF(ROW()-ROW(PaymentSchedule33[[#Headers],[Payment Number]])&gt;ScheduledNumberOfPayments,"",ROW()-ROW(PaymentSchedule33[[#Headers],[Payment Number]])),"")</f>
        <v>70</v>
      </c>
      <c r="C83" s="24">
        <f ca="1">IF(PaymentSchedule33[[#This Row],[Payment Number]]&lt;&gt;"",EOMONTH(LoanStartDate,ROW(PaymentSchedule33[[#This Row],[Payment Number]])-ROW(PaymentSchedule33[[#Headers],[Payment Number]])-2)+DAY(LoanStartDate),"")</f>
        <v>47566</v>
      </c>
      <c r="D83" s="25">
        <f ca="1">IF(PaymentSchedule33[[#This Row],[Payment Number]]&lt;&gt;"",IF(ROW()-ROW(PaymentSchedule33[[#Headers],[Beginning
Balance]])=1,LoanAmount,INDEX(PaymentSchedule33[Ending
Balance],ROW()-ROW(PaymentSchedule33[[#Headers],[Beginning
Balance]])-1)),"")</f>
        <v>300638.38153394748</v>
      </c>
      <c r="E83" s="25">
        <f ca="1">IF(PaymentSchedule33[[#This Row],[Payment Number]]&lt;&gt;"",ScheduledPayment,"")</f>
        <v>1784.9318965153623</v>
      </c>
      <c r="F8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3" s="25">
        <f ca="1">IF(PaymentSchedule33[[#This Row],[Payment Number]]&lt;&gt;"",PaymentSchedule33[[#This Row],[Total
Payment]]-PaymentSchedule33[[#This Row],[Interest]],"")</f>
        <v>532.27197345724767</v>
      </c>
      <c r="I83" s="25">
        <f ca="1">IF(PaymentSchedule33[[#This Row],[Payment Number]]&lt;&gt;"",PaymentSchedule33[[#This Row],[Beginning
Balance]]*(InterestRate/PaymentsPerYear),"")</f>
        <v>1252.6599230581146</v>
      </c>
      <c r="J83" s="25">
        <f ca="1">IF(PaymentSchedule33[[#This Row],[Payment Number]]&lt;&gt;"",IF(PaymentSchedule33[[#This Row],[Scheduled Payment]]+PaymentSchedule33[[#This Row],[Extra
Payment]]&lt;=PaymentSchedule33[[#This Row],[Beginning
Balance]],PaymentSchedule33[[#This Row],[Beginning
Balance]]-PaymentSchedule33[[#This Row],[Principal]],0),"")</f>
        <v>300106.10956049024</v>
      </c>
      <c r="K83" s="25">
        <f ca="1">IF(PaymentSchedule33[[#This Row],[Payment Number]]&lt;&gt;"",SUM(INDEX(PaymentSchedule33[Interest],1,1):PaymentSchedule33[[#This Row],[Interest]]),"")</f>
        <v>92551.342316565861</v>
      </c>
      <c r="L83" s="25">
        <f ca="1">IF(PaymentSchedule33[[#This Row],[Payment Number]]&lt;&gt;"",SUM(INDEX(PaymentSchedule33[Principal],1,1):PaymentSchedule33[[#This Row],[Principal]]),"")</f>
        <v>32393.890439509534</v>
      </c>
      <c r="M83" s="25">
        <f ca="1">PaymentSchedule3[[#This Row],[Total
Payment]]-PaymentSchedule33[[#This Row],[Total
Payment]]</f>
        <v>427.19889995542212</v>
      </c>
      <c r="N83" s="25">
        <f ca="1">PaymentSchedule3[[#This Row],[Interest]]-PaymentSchedule33[[#This Row],[Interest]]</f>
        <v>552.3364690542835</v>
      </c>
      <c r="O83" s="25">
        <f ca="1">PaymentSchedule3[[#This Row],[Cumulative
Interest]]-PaymentSchedule33[[#This Row],[Cumulative
Interest]]</f>
        <v>38818.6319655845</v>
      </c>
    </row>
    <row r="84" spans="2:15" x14ac:dyDescent="0.25">
      <c r="B84" s="23">
        <f ca="1">IF(LoanIsGood,IF(ROW()-ROW(PaymentSchedule33[[#Headers],[Payment Number]])&gt;ScheduledNumberOfPayments,"",ROW()-ROW(PaymentSchedule33[[#Headers],[Payment Number]])),"")</f>
        <v>71</v>
      </c>
      <c r="C84" s="24">
        <f ca="1">IF(PaymentSchedule33[[#This Row],[Payment Number]]&lt;&gt;"",EOMONTH(LoanStartDate,ROW(PaymentSchedule33[[#This Row],[Payment Number]])-ROW(PaymentSchedule33[[#Headers],[Payment Number]])-2)+DAY(LoanStartDate),"")</f>
        <v>47597</v>
      </c>
      <c r="D84" s="25">
        <f ca="1">IF(PaymentSchedule33[[#This Row],[Payment Number]]&lt;&gt;"",IF(ROW()-ROW(PaymentSchedule33[[#Headers],[Beginning
Balance]])=1,LoanAmount,INDEX(PaymentSchedule33[Ending
Balance],ROW()-ROW(PaymentSchedule33[[#Headers],[Beginning
Balance]])-1)),"")</f>
        <v>300106.10956049024</v>
      </c>
      <c r="E84" s="25">
        <f ca="1">IF(PaymentSchedule33[[#This Row],[Payment Number]]&lt;&gt;"",ScheduledPayment,"")</f>
        <v>1784.9318965153623</v>
      </c>
      <c r="F8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4" s="25">
        <f ca="1">IF(PaymentSchedule33[[#This Row],[Payment Number]]&lt;&gt;"",PaymentSchedule33[[#This Row],[Total
Payment]]-PaymentSchedule33[[#This Row],[Interest]],"")</f>
        <v>534.48977334665301</v>
      </c>
      <c r="I84" s="25">
        <f ca="1">IF(PaymentSchedule33[[#This Row],[Payment Number]]&lt;&gt;"",PaymentSchedule33[[#This Row],[Beginning
Balance]]*(InterestRate/PaymentsPerYear),"")</f>
        <v>1250.4421231687093</v>
      </c>
      <c r="J84" s="25">
        <f ca="1">IF(PaymentSchedule33[[#This Row],[Payment Number]]&lt;&gt;"",IF(PaymentSchedule33[[#This Row],[Scheduled Payment]]+PaymentSchedule33[[#This Row],[Extra
Payment]]&lt;=PaymentSchedule33[[#This Row],[Beginning
Balance]],PaymentSchedule33[[#This Row],[Beginning
Balance]]-PaymentSchedule33[[#This Row],[Principal]],0),"")</f>
        <v>299571.6197871436</v>
      </c>
      <c r="K84" s="25">
        <f ca="1">IF(PaymentSchedule33[[#This Row],[Payment Number]]&lt;&gt;"",SUM(INDEX(PaymentSchedule33[Interest],1,1):PaymentSchedule33[[#This Row],[Interest]]),"")</f>
        <v>93801.784439734576</v>
      </c>
      <c r="L84" s="25">
        <f ca="1">IF(PaymentSchedule33[[#This Row],[Payment Number]]&lt;&gt;"",SUM(INDEX(PaymentSchedule33[Principal],1,1):PaymentSchedule33[[#This Row],[Principal]]),"")</f>
        <v>32928.380212856187</v>
      </c>
      <c r="M84" s="25">
        <f ca="1">PaymentSchedule3[[#This Row],[Total
Payment]]-PaymentSchedule33[[#This Row],[Total
Payment]]</f>
        <v>427.19889995542212</v>
      </c>
      <c r="N84" s="25">
        <f ca="1">PaymentSchedule3[[#This Row],[Interest]]-PaymentSchedule33[[#This Row],[Interest]]</f>
        <v>552.17931825159826</v>
      </c>
      <c r="O84" s="25">
        <f ca="1">PaymentSchedule3[[#This Row],[Cumulative
Interest]]-PaymentSchedule33[[#This Row],[Cumulative
Interest]]</f>
        <v>39370.811283836098</v>
      </c>
    </row>
    <row r="85" spans="2:15" x14ac:dyDescent="0.25">
      <c r="B85" s="23">
        <f ca="1">IF(LoanIsGood,IF(ROW()-ROW(PaymentSchedule33[[#Headers],[Payment Number]])&gt;ScheduledNumberOfPayments,"",ROW()-ROW(PaymentSchedule33[[#Headers],[Payment Number]])),"")</f>
        <v>72</v>
      </c>
      <c r="C85" s="24">
        <f ca="1">IF(PaymentSchedule33[[#This Row],[Payment Number]]&lt;&gt;"",EOMONTH(LoanStartDate,ROW(PaymentSchedule33[[#This Row],[Payment Number]])-ROW(PaymentSchedule33[[#Headers],[Payment Number]])-2)+DAY(LoanStartDate),"")</f>
        <v>47627</v>
      </c>
      <c r="D85" s="25">
        <f ca="1">IF(PaymentSchedule33[[#This Row],[Payment Number]]&lt;&gt;"",IF(ROW()-ROW(PaymentSchedule33[[#Headers],[Beginning
Balance]])=1,LoanAmount,INDEX(PaymentSchedule33[Ending
Balance],ROW()-ROW(PaymentSchedule33[[#Headers],[Beginning
Balance]])-1)),"")</f>
        <v>299571.6197871436</v>
      </c>
      <c r="E85" s="25">
        <f ca="1">IF(PaymentSchedule33[[#This Row],[Payment Number]]&lt;&gt;"",ScheduledPayment,"")</f>
        <v>1784.9318965153623</v>
      </c>
      <c r="F8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5" s="25">
        <f ca="1">IF(PaymentSchedule33[[#This Row],[Payment Number]]&lt;&gt;"",PaymentSchedule33[[#This Row],[Total
Payment]]-PaymentSchedule33[[#This Row],[Interest]],"")</f>
        <v>536.71681406893072</v>
      </c>
      <c r="I85" s="25">
        <f ca="1">IF(PaymentSchedule33[[#This Row],[Payment Number]]&lt;&gt;"",PaymentSchedule33[[#This Row],[Beginning
Balance]]*(InterestRate/PaymentsPerYear),"")</f>
        <v>1248.2150824464316</v>
      </c>
      <c r="J85" s="25">
        <f ca="1">IF(PaymentSchedule33[[#This Row],[Payment Number]]&lt;&gt;"",IF(PaymentSchedule33[[#This Row],[Scheduled Payment]]+PaymentSchedule33[[#This Row],[Extra
Payment]]&lt;=PaymentSchedule33[[#This Row],[Beginning
Balance]],PaymentSchedule33[[#This Row],[Beginning
Balance]]-PaymentSchedule33[[#This Row],[Principal]],0),"")</f>
        <v>299034.9029730747</v>
      </c>
      <c r="K85" s="25">
        <f ca="1">IF(PaymentSchedule33[[#This Row],[Payment Number]]&lt;&gt;"",SUM(INDEX(PaymentSchedule33[Interest],1,1):PaymentSchedule33[[#This Row],[Interest]]),"")</f>
        <v>95049.99952218101</v>
      </c>
      <c r="L85" s="25">
        <f ca="1">IF(PaymentSchedule33[[#This Row],[Payment Number]]&lt;&gt;"",SUM(INDEX(PaymentSchedule33[Principal],1,1):PaymentSchedule33[[#This Row],[Principal]]),"")</f>
        <v>33465.097026925119</v>
      </c>
      <c r="M85" s="25">
        <f ca="1">PaymentSchedule3[[#This Row],[Total
Payment]]-PaymentSchedule33[[#This Row],[Total
Payment]]</f>
        <v>427.19889995542212</v>
      </c>
      <c r="N85" s="25">
        <f ca="1">PaymentSchedule3[[#This Row],[Interest]]-PaymentSchedule33[[#This Row],[Interest]]</f>
        <v>552.01755440274837</v>
      </c>
      <c r="O85" s="25">
        <f ca="1">PaymentSchedule3[[#This Row],[Cumulative
Interest]]-PaymentSchedule33[[#This Row],[Cumulative
Interest]]</f>
        <v>39922.828838238856</v>
      </c>
    </row>
    <row r="86" spans="2:15" x14ac:dyDescent="0.25">
      <c r="B86" s="23">
        <f ca="1">IF(LoanIsGood,IF(ROW()-ROW(PaymentSchedule33[[#Headers],[Payment Number]])&gt;ScheduledNumberOfPayments,"",ROW()-ROW(PaymentSchedule33[[#Headers],[Payment Number]])),"")</f>
        <v>73</v>
      </c>
      <c r="C86" s="24">
        <f ca="1">IF(PaymentSchedule33[[#This Row],[Payment Number]]&lt;&gt;"",EOMONTH(LoanStartDate,ROW(PaymentSchedule33[[#This Row],[Payment Number]])-ROW(PaymentSchedule33[[#Headers],[Payment Number]])-2)+DAY(LoanStartDate),"")</f>
        <v>47658</v>
      </c>
      <c r="D86" s="25">
        <f ca="1">IF(PaymentSchedule33[[#This Row],[Payment Number]]&lt;&gt;"",IF(ROW()-ROW(PaymentSchedule33[[#Headers],[Beginning
Balance]])=1,LoanAmount,INDEX(PaymentSchedule33[Ending
Balance],ROW()-ROW(PaymentSchedule33[[#Headers],[Beginning
Balance]])-1)),"")</f>
        <v>299034.9029730747</v>
      </c>
      <c r="E86" s="25">
        <f ca="1">IF(PaymentSchedule33[[#This Row],[Payment Number]]&lt;&gt;"",ScheduledPayment,"")</f>
        <v>1784.9318965153623</v>
      </c>
      <c r="F8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6" s="25">
        <f ca="1">IF(PaymentSchedule33[[#This Row],[Payment Number]]&lt;&gt;"",PaymentSchedule33[[#This Row],[Total
Payment]]-PaymentSchedule33[[#This Row],[Interest]],"")</f>
        <v>538.95313412755104</v>
      </c>
      <c r="I86" s="25">
        <f ca="1">IF(PaymentSchedule33[[#This Row],[Payment Number]]&lt;&gt;"",PaymentSchedule33[[#This Row],[Beginning
Balance]]*(InterestRate/PaymentsPerYear),"")</f>
        <v>1245.9787623878112</v>
      </c>
      <c r="J86" s="25">
        <f ca="1">IF(PaymentSchedule33[[#This Row],[Payment Number]]&lt;&gt;"",IF(PaymentSchedule33[[#This Row],[Scheduled Payment]]+PaymentSchedule33[[#This Row],[Extra
Payment]]&lt;=PaymentSchedule33[[#This Row],[Beginning
Balance]],PaymentSchedule33[[#This Row],[Beginning
Balance]]-PaymentSchedule33[[#This Row],[Principal]],0),"")</f>
        <v>298495.94983894716</v>
      </c>
      <c r="K86" s="25">
        <f ca="1">IF(PaymentSchedule33[[#This Row],[Payment Number]]&lt;&gt;"",SUM(INDEX(PaymentSchedule33[Interest],1,1):PaymentSchedule33[[#This Row],[Interest]]),"")</f>
        <v>96295.978284568817</v>
      </c>
      <c r="L86" s="25">
        <f ca="1">IF(PaymentSchedule33[[#This Row],[Payment Number]]&lt;&gt;"",SUM(INDEX(PaymentSchedule33[Principal],1,1):PaymentSchedule33[[#This Row],[Principal]]),"")</f>
        <v>34004.05016105267</v>
      </c>
      <c r="M86" s="25">
        <f ca="1">PaymentSchedule3[[#This Row],[Total
Payment]]-PaymentSchedule33[[#This Row],[Total
Payment]]</f>
        <v>427.19889995542212</v>
      </c>
      <c r="N86" s="25">
        <f ca="1">PaymentSchedule3[[#This Row],[Interest]]-PaymentSchedule33[[#This Row],[Interest]]</f>
        <v>551.85113519690913</v>
      </c>
      <c r="O86" s="25">
        <f ca="1">PaymentSchedule3[[#This Row],[Cumulative
Interest]]-PaymentSchedule33[[#This Row],[Cumulative
Interest]]</f>
        <v>40474.679973435763</v>
      </c>
    </row>
    <row r="87" spans="2:15" x14ac:dyDescent="0.25">
      <c r="B87" s="23">
        <f ca="1">IF(LoanIsGood,IF(ROW()-ROW(PaymentSchedule33[[#Headers],[Payment Number]])&gt;ScheduledNumberOfPayments,"",ROW()-ROW(PaymentSchedule33[[#Headers],[Payment Number]])),"")</f>
        <v>74</v>
      </c>
      <c r="C87" s="24">
        <f ca="1">IF(PaymentSchedule33[[#This Row],[Payment Number]]&lt;&gt;"",EOMONTH(LoanStartDate,ROW(PaymentSchedule33[[#This Row],[Payment Number]])-ROW(PaymentSchedule33[[#Headers],[Payment Number]])-2)+DAY(LoanStartDate),"")</f>
        <v>47688</v>
      </c>
      <c r="D87" s="25">
        <f ca="1">IF(PaymentSchedule33[[#This Row],[Payment Number]]&lt;&gt;"",IF(ROW()-ROW(PaymentSchedule33[[#Headers],[Beginning
Balance]])=1,LoanAmount,INDEX(PaymentSchedule33[Ending
Balance],ROW()-ROW(PaymentSchedule33[[#Headers],[Beginning
Balance]])-1)),"")</f>
        <v>298495.94983894716</v>
      </c>
      <c r="E87" s="25">
        <f ca="1">IF(PaymentSchedule33[[#This Row],[Payment Number]]&lt;&gt;"",ScheduledPayment,"")</f>
        <v>1784.9318965153623</v>
      </c>
      <c r="F8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7" s="25">
        <f ca="1">IF(PaymentSchedule33[[#This Row],[Payment Number]]&lt;&gt;"",PaymentSchedule33[[#This Row],[Total
Payment]]-PaymentSchedule33[[#This Row],[Interest]],"")</f>
        <v>541.19877218641591</v>
      </c>
      <c r="I87" s="25">
        <f ca="1">IF(PaymentSchedule33[[#This Row],[Payment Number]]&lt;&gt;"",PaymentSchedule33[[#This Row],[Beginning
Balance]]*(InterestRate/PaymentsPerYear),"")</f>
        <v>1243.7331243289464</v>
      </c>
      <c r="J87" s="25">
        <f ca="1">IF(PaymentSchedule33[[#This Row],[Payment Number]]&lt;&gt;"",IF(PaymentSchedule33[[#This Row],[Scheduled Payment]]+PaymentSchedule33[[#This Row],[Extra
Payment]]&lt;=PaymentSchedule33[[#This Row],[Beginning
Balance]],PaymentSchedule33[[#This Row],[Beginning
Balance]]-PaymentSchedule33[[#This Row],[Principal]],0),"")</f>
        <v>297954.75106676074</v>
      </c>
      <c r="K87" s="25">
        <f ca="1">IF(PaymentSchedule33[[#This Row],[Payment Number]]&lt;&gt;"",SUM(INDEX(PaymentSchedule33[Interest],1,1):PaymentSchedule33[[#This Row],[Interest]]),"")</f>
        <v>97539.711408897769</v>
      </c>
      <c r="L87" s="25">
        <f ca="1">IF(PaymentSchedule33[[#This Row],[Payment Number]]&lt;&gt;"",SUM(INDEX(PaymentSchedule33[Principal],1,1):PaymentSchedule33[[#This Row],[Principal]]),"")</f>
        <v>34545.248933239083</v>
      </c>
      <c r="M87" s="25">
        <f ca="1">PaymentSchedule3[[#This Row],[Total
Payment]]-PaymentSchedule33[[#This Row],[Total
Payment]]</f>
        <v>427.19889995542212</v>
      </c>
      <c r="N87" s="25">
        <f ca="1">PaymentSchedule3[[#This Row],[Interest]]-PaymentSchedule33[[#This Row],[Interest]]</f>
        <v>551.68001801227206</v>
      </c>
      <c r="O87" s="25">
        <f ca="1">PaymentSchedule3[[#This Row],[Cumulative
Interest]]-PaymentSchedule33[[#This Row],[Cumulative
Interest]]</f>
        <v>41026.359991448029</v>
      </c>
    </row>
    <row r="88" spans="2:15" x14ac:dyDescent="0.25">
      <c r="B88" s="23">
        <f ca="1">IF(LoanIsGood,IF(ROW()-ROW(PaymentSchedule33[[#Headers],[Payment Number]])&gt;ScheduledNumberOfPayments,"",ROW()-ROW(PaymentSchedule33[[#Headers],[Payment Number]])),"")</f>
        <v>75</v>
      </c>
      <c r="C88" s="24">
        <f ca="1">IF(PaymentSchedule33[[#This Row],[Payment Number]]&lt;&gt;"",EOMONTH(LoanStartDate,ROW(PaymentSchedule33[[#This Row],[Payment Number]])-ROW(PaymentSchedule33[[#Headers],[Payment Number]])-2)+DAY(LoanStartDate),"")</f>
        <v>47719</v>
      </c>
      <c r="D88" s="25">
        <f ca="1">IF(PaymentSchedule33[[#This Row],[Payment Number]]&lt;&gt;"",IF(ROW()-ROW(PaymentSchedule33[[#Headers],[Beginning
Balance]])=1,LoanAmount,INDEX(PaymentSchedule33[Ending
Balance],ROW()-ROW(PaymentSchedule33[[#Headers],[Beginning
Balance]])-1)),"")</f>
        <v>297954.75106676074</v>
      </c>
      <c r="E88" s="25">
        <f ca="1">IF(PaymentSchedule33[[#This Row],[Payment Number]]&lt;&gt;"",ScheduledPayment,"")</f>
        <v>1784.9318965153623</v>
      </c>
      <c r="F8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8" s="25">
        <f ca="1">IF(PaymentSchedule33[[#This Row],[Payment Number]]&lt;&gt;"",PaymentSchedule33[[#This Row],[Total
Payment]]-PaymentSchedule33[[#This Row],[Interest]],"")</f>
        <v>543.45376707052583</v>
      </c>
      <c r="I88" s="25">
        <f ca="1">IF(PaymentSchedule33[[#This Row],[Payment Number]]&lt;&gt;"",PaymentSchedule33[[#This Row],[Beginning
Balance]]*(InterestRate/PaymentsPerYear),"")</f>
        <v>1241.4781294448364</v>
      </c>
      <c r="J88" s="25">
        <f ca="1">IF(PaymentSchedule33[[#This Row],[Payment Number]]&lt;&gt;"",IF(PaymentSchedule33[[#This Row],[Scheduled Payment]]+PaymentSchedule33[[#This Row],[Extra
Payment]]&lt;=PaymentSchedule33[[#This Row],[Beginning
Balance]],PaymentSchedule33[[#This Row],[Beginning
Balance]]-PaymentSchedule33[[#This Row],[Principal]],0),"")</f>
        <v>297411.2972996902</v>
      </c>
      <c r="K88" s="25">
        <f ca="1">IF(PaymentSchedule33[[#This Row],[Payment Number]]&lt;&gt;"",SUM(INDEX(PaymentSchedule33[Interest],1,1):PaymentSchedule33[[#This Row],[Interest]]),"")</f>
        <v>98781.189538342602</v>
      </c>
      <c r="L88" s="25">
        <f ca="1">IF(PaymentSchedule33[[#This Row],[Payment Number]]&lt;&gt;"",SUM(INDEX(PaymentSchedule33[Principal],1,1):PaymentSchedule33[[#This Row],[Principal]]),"")</f>
        <v>35088.702700309608</v>
      </c>
      <c r="M88" s="25">
        <f ca="1">PaymentSchedule3[[#This Row],[Total
Payment]]-PaymentSchedule33[[#This Row],[Total
Payment]]</f>
        <v>427.19889995542212</v>
      </c>
      <c r="N88" s="25">
        <f ca="1">PaymentSchedule3[[#This Row],[Interest]]-PaymentSchedule33[[#This Row],[Interest]]</f>
        <v>551.50415991395948</v>
      </c>
      <c r="O88" s="25">
        <f ca="1">PaymentSchedule3[[#This Row],[Cumulative
Interest]]-PaymentSchedule33[[#This Row],[Cumulative
Interest]]</f>
        <v>41577.864151361995</v>
      </c>
    </row>
    <row r="89" spans="2:15" x14ac:dyDescent="0.25">
      <c r="B89" s="23">
        <f ca="1">IF(LoanIsGood,IF(ROW()-ROW(PaymentSchedule33[[#Headers],[Payment Number]])&gt;ScheduledNumberOfPayments,"",ROW()-ROW(PaymentSchedule33[[#Headers],[Payment Number]])),"")</f>
        <v>76</v>
      </c>
      <c r="C89" s="24">
        <f ca="1">IF(PaymentSchedule33[[#This Row],[Payment Number]]&lt;&gt;"",EOMONTH(LoanStartDate,ROW(PaymentSchedule33[[#This Row],[Payment Number]])-ROW(PaymentSchedule33[[#Headers],[Payment Number]])-2)+DAY(LoanStartDate),"")</f>
        <v>47750</v>
      </c>
      <c r="D89" s="25">
        <f ca="1">IF(PaymentSchedule33[[#This Row],[Payment Number]]&lt;&gt;"",IF(ROW()-ROW(PaymentSchedule33[[#Headers],[Beginning
Balance]])=1,LoanAmount,INDEX(PaymentSchedule33[Ending
Balance],ROW()-ROW(PaymentSchedule33[[#Headers],[Beginning
Balance]])-1)),"")</f>
        <v>297411.2972996902</v>
      </c>
      <c r="E89" s="25">
        <f ca="1">IF(PaymentSchedule33[[#This Row],[Payment Number]]&lt;&gt;"",ScheduledPayment,"")</f>
        <v>1784.9318965153623</v>
      </c>
      <c r="F8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8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89" s="25">
        <f ca="1">IF(PaymentSchedule33[[#This Row],[Payment Number]]&lt;&gt;"",PaymentSchedule33[[#This Row],[Total
Payment]]-PaymentSchedule33[[#This Row],[Interest]],"")</f>
        <v>545.71815776665312</v>
      </c>
      <c r="I89" s="25">
        <f ca="1">IF(PaymentSchedule33[[#This Row],[Payment Number]]&lt;&gt;"",PaymentSchedule33[[#This Row],[Beginning
Balance]]*(InterestRate/PaymentsPerYear),"")</f>
        <v>1239.2137387487091</v>
      </c>
      <c r="J89" s="25">
        <f ca="1">IF(PaymentSchedule33[[#This Row],[Payment Number]]&lt;&gt;"",IF(PaymentSchedule33[[#This Row],[Scheduled Payment]]+PaymentSchedule33[[#This Row],[Extra
Payment]]&lt;=PaymentSchedule33[[#This Row],[Beginning
Balance]],PaymentSchedule33[[#This Row],[Beginning
Balance]]-PaymentSchedule33[[#This Row],[Principal]],0),"")</f>
        <v>296865.57914192352</v>
      </c>
      <c r="K89" s="25">
        <f ca="1">IF(PaymentSchedule33[[#This Row],[Payment Number]]&lt;&gt;"",SUM(INDEX(PaymentSchedule33[Interest],1,1):PaymentSchedule33[[#This Row],[Interest]]),"")</f>
        <v>100020.4032770913</v>
      </c>
      <c r="L89" s="25">
        <f ca="1">IF(PaymentSchedule33[[#This Row],[Payment Number]]&lt;&gt;"",SUM(INDEX(PaymentSchedule33[Principal],1,1):PaymentSchedule33[[#This Row],[Principal]]),"")</f>
        <v>35634.420858076264</v>
      </c>
      <c r="M89" s="25">
        <f ca="1">PaymentSchedule3[[#This Row],[Total
Payment]]-PaymentSchedule33[[#This Row],[Total
Payment]]</f>
        <v>427.19889995542212</v>
      </c>
      <c r="N89" s="25">
        <f ca="1">PaymentSchedule3[[#This Row],[Interest]]-PaymentSchedule33[[#This Row],[Interest]]</f>
        <v>551.32351765193357</v>
      </c>
      <c r="O89" s="25">
        <f ca="1">PaymentSchedule3[[#This Row],[Cumulative
Interest]]-PaymentSchedule33[[#This Row],[Cumulative
Interest]]</f>
        <v>42129.187669013947</v>
      </c>
    </row>
    <row r="90" spans="2:15" x14ac:dyDescent="0.25">
      <c r="B90" s="23">
        <f ca="1">IF(LoanIsGood,IF(ROW()-ROW(PaymentSchedule33[[#Headers],[Payment Number]])&gt;ScheduledNumberOfPayments,"",ROW()-ROW(PaymentSchedule33[[#Headers],[Payment Number]])),"")</f>
        <v>77</v>
      </c>
      <c r="C90" s="24">
        <f ca="1">IF(PaymentSchedule33[[#This Row],[Payment Number]]&lt;&gt;"",EOMONTH(LoanStartDate,ROW(PaymentSchedule33[[#This Row],[Payment Number]])-ROW(PaymentSchedule33[[#Headers],[Payment Number]])-2)+DAY(LoanStartDate),"")</f>
        <v>47780</v>
      </c>
      <c r="D90" s="25">
        <f ca="1">IF(PaymentSchedule33[[#This Row],[Payment Number]]&lt;&gt;"",IF(ROW()-ROW(PaymentSchedule33[[#Headers],[Beginning
Balance]])=1,LoanAmount,INDEX(PaymentSchedule33[Ending
Balance],ROW()-ROW(PaymentSchedule33[[#Headers],[Beginning
Balance]])-1)),"")</f>
        <v>296865.57914192352</v>
      </c>
      <c r="E90" s="25">
        <f ca="1">IF(PaymentSchedule33[[#This Row],[Payment Number]]&lt;&gt;"",ScheduledPayment,"")</f>
        <v>1784.9318965153623</v>
      </c>
      <c r="F9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0" s="25">
        <f ca="1">IF(PaymentSchedule33[[#This Row],[Payment Number]]&lt;&gt;"",PaymentSchedule33[[#This Row],[Total
Payment]]-PaymentSchedule33[[#This Row],[Interest]],"")</f>
        <v>547.99198342401428</v>
      </c>
      <c r="I90" s="25">
        <f ca="1">IF(PaymentSchedule33[[#This Row],[Payment Number]]&lt;&gt;"",PaymentSchedule33[[#This Row],[Beginning
Balance]]*(InterestRate/PaymentsPerYear),"")</f>
        <v>1236.939913091348</v>
      </c>
      <c r="J90" s="25">
        <f ca="1">IF(PaymentSchedule33[[#This Row],[Payment Number]]&lt;&gt;"",IF(PaymentSchedule33[[#This Row],[Scheduled Payment]]+PaymentSchedule33[[#This Row],[Extra
Payment]]&lt;=PaymentSchedule33[[#This Row],[Beginning
Balance]],PaymentSchedule33[[#This Row],[Beginning
Balance]]-PaymentSchedule33[[#This Row],[Principal]],0),"")</f>
        <v>296317.58715849952</v>
      </c>
      <c r="K90" s="25">
        <f ca="1">IF(PaymentSchedule33[[#This Row],[Payment Number]]&lt;&gt;"",SUM(INDEX(PaymentSchedule33[Interest],1,1):PaymentSchedule33[[#This Row],[Interest]]),"")</f>
        <v>101257.34319018266</v>
      </c>
      <c r="L90" s="25">
        <f ca="1">IF(PaymentSchedule33[[#This Row],[Payment Number]]&lt;&gt;"",SUM(INDEX(PaymentSchedule33[Principal],1,1):PaymentSchedule33[[#This Row],[Principal]]),"")</f>
        <v>36182.412841500278</v>
      </c>
      <c r="M90" s="25">
        <f ca="1">PaymentSchedule3[[#This Row],[Total
Payment]]-PaymentSchedule33[[#This Row],[Total
Payment]]</f>
        <v>427.19889995542212</v>
      </c>
      <c r="N90" s="25">
        <f ca="1">PaymentSchedule3[[#This Row],[Interest]]-PaymentSchedule33[[#This Row],[Interest]]</f>
        <v>551.13804765888563</v>
      </c>
      <c r="O90" s="25">
        <f ca="1">PaymentSchedule3[[#This Row],[Cumulative
Interest]]-PaymentSchedule33[[#This Row],[Cumulative
Interest]]</f>
        <v>42680.325716672829</v>
      </c>
    </row>
    <row r="91" spans="2:15" x14ac:dyDescent="0.25">
      <c r="B91" s="23">
        <f ca="1">IF(LoanIsGood,IF(ROW()-ROW(PaymentSchedule33[[#Headers],[Payment Number]])&gt;ScheduledNumberOfPayments,"",ROW()-ROW(PaymentSchedule33[[#Headers],[Payment Number]])),"")</f>
        <v>78</v>
      </c>
      <c r="C91" s="24">
        <f ca="1">IF(PaymentSchedule33[[#This Row],[Payment Number]]&lt;&gt;"",EOMONTH(LoanStartDate,ROW(PaymentSchedule33[[#This Row],[Payment Number]])-ROW(PaymentSchedule33[[#Headers],[Payment Number]])-2)+DAY(LoanStartDate),"")</f>
        <v>47811</v>
      </c>
      <c r="D91" s="25">
        <f ca="1">IF(PaymentSchedule33[[#This Row],[Payment Number]]&lt;&gt;"",IF(ROW()-ROW(PaymentSchedule33[[#Headers],[Beginning
Balance]])=1,LoanAmount,INDEX(PaymentSchedule33[Ending
Balance],ROW()-ROW(PaymentSchedule33[[#Headers],[Beginning
Balance]])-1)),"")</f>
        <v>296317.58715849952</v>
      </c>
      <c r="E91" s="25">
        <f ca="1">IF(PaymentSchedule33[[#This Row],[Payment Number]]&lt;&gt;"",ScheduledPayment,"")</f>
        <v>1784.9318965153623</v>
      </c>
      <c r="F9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1" s="25">
        <f ca="1">IF(PaymentSchedule33[[#This Row],[Payment Number]]&lt;&gt;"",PaymentSchedule33[[#This Row],[Total
Payment]]-PaymentSchedule33[[#This Row],[Interest]],"")</f>
        <v>550.27528335494753</v>
      </c>
      <c r="I91" s="25">
        <f ca="1">IF(PaymentSchedule33[[#This Row],[Payment Number]]&lt;&gt;"",PaymentSchedule33[[#This Row],[Beginning
Balance]]*(InterestRate/PaymentsPerYear),"")</f>
        <v>1234.6566131604147</v>
      </c>
      <c r="J91" s="25">
        <f ca="1">IF(PaymentSchedule33[[#This Row],[Payment Number]]&lt;&gt;"",IF(PaymentSchedule33[[#This Row],[Scheduled Payment]]+PaymentSchedule33[[#This Row],[Extra
Payment]]&lt;=PaymentSchedule33[[#This Row],[Beginning
Balance]],PaymentSchedule33[[#This Row],[Beginning
Balance]]-PaymentSchedule33[[#This Row],[Principal]],0),"")</f>
        <v>295767.31187514454</v>
      </c>
      <c r="K91" s="25">
        <f ca="1">IF(PaymentSchedule33[[#This Row],[Payment Number]]&lt;&gt;"",SUM(INDEX(PaymentSchedule33[Interest],1,1):PaymentSchedule33[[#This Row],[Interest]]),"")</f>
        <v>102491.99980334307</v>
      </c>
      <c r="L91" s="25">
        <f ca="1">IF(PaymentSchedule33[[#This Row],[Payment Number]]&lt;&gt;"",SUM(INDEX(PaymentSchedule33[Principal],1,1):PaymentSchedule33[[#This Row],[Principal]]),"")</f>
        <v>36732.688124855224</v>
      </c>
      <c r="M91" s="25">
        <f ca="1">PaymentSchedule3[[#This Row],[Total
Payment]]-PaymentSchedule33[[#This Row],[Total
Payment]]</f>
        <v>427.19889995542212</v>
      </c>
      <c r="N91" s="25">
        <f ca="1">PaymentSchedule3[[#This Row],[Interest]]-PaymentSchedule33[[#This Row],[Interest]]</f>
        <v>550.94770604811583</v>
      </c>
      <c r="O91" s="25">
        <f ca="1">PaymentSchedule3[[#This Row],[Cumulative
Interest]]-PaymentSchedule33[[#This Row],[Cumulative
Interest]]</f>
        <v>43231.273422720944</v>
      </c>
    </row>
    <row r="92" spans="2:15" x14ac:dyDescent="0.25">
      <c r="B92" s="23">
        <f ca="1">IF(LoanIsGood,IF(ROW()-ROW(PaymentSchedule33[[#Headers],[Payment Number]])&gt;ScheduledNumberOfPayments,"",ROW()-ROW(PaymentSchedule33[[#Headers],[Payment Number]])),"")</f>
        <v>79</v>
      </c>
      <c r="C92" s="24">
        <f ca="1">IF(PaymentSchedule33[[#This Row],[Payment Number]]&lt;&gt;"",EOMONTH(LoanStartDate,ROW(PaymentSchedule33[[#This Row],[Payment Number]])-ROW(PaymentSchedule33[[#Headers],[Payment Number]])-2)+DAY(LoanStartDate),"")</f>
        <v>47841</v>
      </c>
      <c r="D92" s="25">
        <f ca="1">IF(PaymentSchedule33[[#This Row],[Payment Number]]&lt;&gt;"",IF(ROW()-ROW(PaymentSchedule33[[#Headers],[Beginning
Balance]])=1,LoanAmount,INDEX(PaymentSchedule33[Ending
Balance],ROW()-ROW(PaymentSchedule33[[#Headers],[Beginning
Balance]])-1)),"")</f>
        <v>295767.31187514454</v>
      </c>
      <c r="E92" s="25">
        <f ca="1">IF(PaymentSchedule33[[#This Row],[Payment Number]]&lt;&gt;"",ScheduledPayment,"")</f>
        <v>1784.9318965153623</v>
      </c>
      <c r="F9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2" s="25">
        <f ca="1">IF(PaymentSchedule33[[#This Row],[Payment Number]]&lt;&gt;"",PaymentSchedule33[[#This Row],[Total
Payment]]-PaymentSchedule33[[#This Row],[Interest]],"")</f>
        <v>552.56809703559338</v>
      </c>
      <c r="I92" s="25">
        <f ca="1">IF(PaymentSchedule33[[#This Row],[Payment Number]]&lt;&gt;"",PaymentSchedule33[[#This Row],[Beginning
Balance]]*(InterestRate/PaymentsPerYear),"")</f>
        <v>1232.3637994797689</v>
      </c>
      <c r="J92" s="25">
        <f ca="1">IF(PaymentSchedule33[[#This Row],[Payment Number]]&lt;&gt;"",IF(PaymentSchedule33[[#This Row],[Scheduled Payment]]+PaymentSchedule33[[#This Row],[Extra
Payment]]&lt;=PaymentSchedule33[[#This Row],[Beginning
Balance]],PaymentSchedule33[[#This Row],[Beginning
Balance]]-PaymentSchedule33[[#This Row],[Principal]],0),"")</f>
        <v>295214.74377810897</v>
      </c>
      <c r="K92" s="25">
        <f ca="1">IF(PaymentSchedule33[[#This Row],[Payment Number]]&lt;&gt;"",SUM(INDEX(PaymentSchedule33[Interest],1,1):PaymentSchedule33[[#This Row],[Interest]]),"")</f>
        <v>103724.36360282285</v>
      </c>
      <c r="L92" s="25">
        <f ca="1">IF(PaymentSchedule33[[#This Row],[Payment Number]]&lt;&gt;"",SUM(INDEX(PaymentSchedule33[Principal],1,1):PaymentSchedule33[[#This Row],[Principal]]),"")</f>
        <v>37285.256221890813</v>
      </c>
      <c r="M92" s="25">
        <f ca="1">PaymentSchedule3[[#This Row],[Total
Payment]]-PaymentSchedule33[[#This Row],[Total
Payment]]</f>
        <v>427.19889995542212</v>
      </c>
      <c r="N92" s="25">
        <f ca="1">PaymentSchedule3[[#This Row],[Interest]]-PaymentSchedule33[[#This Row],[Interest]]</f>
        <v>550.75244861139845</v>
      </c>
      <c r="O92" s="25">
        <f ca="1">PaymentSchedule3[[#This Row],[Cumulative
Interest]]-PaymentSchedule33[[#This Row],[Cumulative
Interest]]</f>
        <v>43782.025871332327</v>
      </c>
    </row>
    <row r="93" spans="2:15" x14ac:dyDescent="0.25">
      <c r="B93" s="23">
        <f ca="1">IF(LoanIsGood,IF(ROW()-ROW(PaymentSchedule33[[#Headers],[Payment Number]])&gt;ScheduledNumberOfPayments,"",ROW()-ROW(PaymentSchedule33[[#Headers],[Payment Number]])),"")</f>
        <v>80</v>
      </c>
      <c r="C93" s="24">
        <f ca="1">IF(PaymentSchedule33[[#This Row],[Payment Number]]&lt;&gt;"",EOMONTH(LoanStartDate,ROW(PaymentSchedule33[[#This Row],[Payment Number]])-ROW(PaymentSchedule33[[#Headers],[Payment Number]])-2)+DAY(LoanStartDate),"")</f>
        <v>47872</v>
      </c>
      <c r="D93" s="25">
        <f ca="1">IF(PaymentSchedule33[[#This Row],[Payment Number]]&lt;&gt;"",IF(ROW()-ROW(PaymentSchedule33[[#Headers],[Beginning
Balance]])=1,LoanAmount,INDEX(PaymentSchedule33[Ending
Balance],ROW()-ROW(PaymentSchedule33[[#Headers],[Beginning
Balance]])-1)),"")</f>
        <v>295214.74377810897</v>
      </c>
      <c r="E93" s="25">
        <f ca="1">IF(PaymentSchedule33[[#This Row],[Payment Number]]&lt;&gt;"",ScheduledPayment,"")</f>
        <v>1784.9318965153623</v>
      </c>
      <c r="F9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3" s="25">
        <f ca="1">IF(PaymentSchedule33[[#This Row],[Payment Number]]&lt;&gt;"",PaymentSchedule33[[#This Row],[Total
Payment]]-PaymentSchedule33[[#This Row],[Interest]],"")</f>
        <v>554.8704641065749</v>
      </c>
      <c r="I93" s="25">
        <f ca="1">IF(PaymentSchedule33[[#This Row],[Payment Number]]&lt;&gt;"",PaymentSchedule33[[#This Row],[Beginning
Balance]]*(InterestRate/PaymentsPerYear),"")</f>
        <v>1230.0614324087874</v>
      </c>
      <c r="J93" s="25">
        <f ca="1">IF(PaymentSchedule33[[#This Row],[Payment Number]]&lt;&gt;"",IF(PaymentSchedule33[[#This Row],[Scheduled Payment]]+PaymentSchedule33[[#This Row],[Extra
Payment]]&lt;=PaymentSchedule33[[#This Row],[Beginning
Balance]],PaymentSchedule33[[#This Row],[Beginning
Balance]]-PaymentSchedule33[[#This Row],[Principal]],0),"")</f>
        <v>294659.87331400241</v>
      </c>
      <c r="K93" s="25">
        <f ca="1">IF(PaymentSchedule33[[#This Row],[Payment Number]]&lt;&gt;"",SUM(INDEX(PaymentSchedule33[Interest],1,1):PaymentSchedule33[[#This Row],[Interest]]),"")</f>
        <v>104954.42503523163</v>
      </c>
      <c r="L93" s="25">
        <f ca="1">IF(PaymentSchedule33[[#This Row],[Payment Number]]&lt;&gt;"",SUM(INDEX(PaymentSchedule33[Principal],1,1):PaymentSchedule33[[#This Row],[Principal]]),"")</f>
        <v>37840.126685997391</v>
      </c>
      <c r="M93" s="25">
        <f ca="1">PaymentSchedule3[[#This Row],[Total
Payment]]-PaymentSchedule33[[#This Row],[Total
Payment]]</f>
        <v>427.19889995542212</v>
      </c>
      <c r="N93" s="25">
        <f ca="1">PaymentSchedule3[[#This Row],[Interest]]-PaymentSchedule33[[#This Row],[Interest]]</f>
        <v>550.55223081683221</v>
      </c>
      <c r="O93" s="25">
        <f ca="1">PaymentSchedule3[[#This Row],[Cumulative
Interest]]-PaymentSchedule33[[#This Row],[Cumulative
Interest]]</f>
        <v>44332.578102149157</v>
      </c>
    </row>
    <row r="94" spans="2:15" x14ac:dyDescent="0.25">
      <c r="B94" s="23">
        <f ca="1">IF(LoanIsGood,IF(ROW()-ROW(PaymentSchedule33[[#Headers],[Payment Number]])&gt;ScheduledNumberOfPayments,"",ROW()-ROW(PaymentSchedule33[[#Headers],[Payment Number]])),"")</f>
        <v>81</v>
      </c>
      <c r="C94" s="24">
        <f ca="1">IF(PaymentSchedule33[[#This Row],[Payment Number]]&lt;&gt;"",EOMONTH(LoanStartDate,ROW(PaymentSchedule33[[#This Row],[Payment Number]])-ROW(PaymentSchedule33[[#Headers],[Payment Number]])-2)+DAY(LoanStartDate),"")</f>
        <v>47903</v>
      </c>
      <c r="D94" s="25">
        <f ca="1">IF(PaymentSchedule33[[#This Row],[Payment Number]]&lt;&gt;"",IF(ROW()-ROW(PaymentSchedule33[[#Headers],[Beginning
Balance]])=1,LoanAmount,INDEX(PaymentSchedule33[Ending
Balance],ROW()-ROW(PaymentSchedule33[[#Headers],[Beginning
Balance]])-1)),"")</f>
        <v>294659.87331400241</v>
      </c>
      <c r="E94" s="25">
        <f ca="1">IF(PaymentSchedule33[[#This Row],[Payment Number]]&lt;&gt;"",ScheduledPayment,"")</f>
        <v>1784.9318965153623</v>
      </c>
      <c r="F9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4" s="25">
        <f ca="1">IF(PaymentSchedule33[[#This Row],[Payment Number]]&lt;&gt;"",PaymentSchedule33[[#This Row],[Total
Payment]]-PaymentSchedule33[[#This Row],[Interest]],"")</f>
        <v>557.18242437368554</v>
      </c>
      <c r="I94" s="25">
        <f ca="1">IF(PaymentSchedule33[[#This Row],[Payment Number]]&lt;&gt;"",PaymentSchedule33[[#This Row],[Beginning
Balance]]*(InterestRate/PaymentsPerYear),"")</f>
        <v>1227.7494721416767</v>
      </c>
      <c r="J94" s="25">
        <f ca="1">IF(PaymentSchedule33[[#This Row],[Payment Number]]&lt;&gt;"",IF(PaymentSchedule33[[#This Row],[Scheduled Payment]]+PaymentSchedule33[[#This Row],[Extra
Payment]]&lt;=PaymentSchedule33[[#This Row],[Beginning
Balance]],PaymentSchedule33[[#This Row],[Beginning
Balance]]-PaymentSchedule33[[#This Row],[Principal]],0),"")</f>
        <v>294102.69088962872</v>
      </c>
      <c r="K94" s="25">
        <f ca="1">IF(PaymentSchedule33[[#This Row],[Payment Number]]&lt;&gt;"",SUM(INDEX(PaymentSchedule33[Interest],1,1):PaymentSchedule33[[#This Row],[Interest]]),"")</f>
        <v>106182.1745073733</v>
      </c>
      <c r="L94" s="25">
        <f ca="1">IF(PaymentSchedule33[[#This Row],[Payment Number]]&lt;&gt;"",SUM(INDEX(PaymentSchedule33[Principal],1,1):PaymentSchedule33[[#This Row],[Principal]]),"")</f>
        <v>38397.309110371076</v>
      </c>
      <c r="M94" s="25">
        <f ca="1">PaymentSchedule3[[#This Row],[Total
Payment]]-PaymentSchedule33[[#This Row],[Total
Payment]]</f>
        <v>427.19889995542212</v>
      </c>
      <c r="N94" s="25">
        <f ca="1">PaymentSchedule3[[#This Row],[Interest]]-PaymentSchedule33[[#This Row],[Interest]]</f>
        <v>550.34700780667913</v>
      </c>
      <c r="O94" s="25">
        <f ca="1">PaymentSchedule3[[#This Row],[Cumulative
Interest]]-PaymentSchedule33[[#This Row],[Cumulative
Interest]]</f>
        <v>44882.925109955831</v>
      </c>
    </row>
    <row r="95" spans="2:15" x14ac:dyDescent="0.25">
      <c r="B95" s="23">
        <f ca="1">IF(LoanIsGood,IF(ROW()-ROW(PaymentSchedule33[[#Headers],[Payment Number]])&gt;ScheduledNumberOfPayments,"",ROW()-ROW(PaymentSchedule33[[#Headers],[Payment Number]])),"")</f>
        <v>82</v>
      </c>
      <c r="C95" s="24">
        <f ca="1">IF(PaymentSchedule33[[#This Row],[Payment Number]]&lt;&gt;"",EOMONTH(LoanStartDate,ROW(PaymentSchedule33[[#This Row],[Payment Number]])-ROW(PaymentSchedule33[[#Headers],[Payment Number]])-2)+DAY(LoanStartDate),"")</f>
        <v>47931</v>
      </c>
      <c r="D95" s="25">
        <f ca="1">IF(PaymentSchedule33[[#This Row],[Payment Number]]&lt;&gt;"",IF(ROW()-ROW(PaymentSchedule33[[#Headers],[Beginning
Balance]])=1,LoanAmount,INDEX(PaymentSchedule33[Ending
Balance],ROW()-ROW(PaymentSchedule33[[#Headers],[Beginning
Balance]])-1)),"")</f>
        <v>294102.69088962872</v>
      </c>
      <c r="E95" s="25">
        <f ca="1">IF(PaymentSchedule33[[#This Row],[Payment Number]]&lt;&gt;"",ScheduledPayment,"")</f>
        <v>1784.9318965153623</v>
      </c>
      <c r="F9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5" s="25">
        <f ca="1">IF(PaymentSchedule33[[#This Row],[Payment Number]]&lt;&gt;"",PaymentSchedule33[[#This Row],[Total
Payment]]-PaymentSchedule33[[#This Row],[Interest]],"")</f>
        <v>559.50401780857601</v>
      </c>
      <c r="I95" s="25">
        <f ca="1">IF(PaymentSchedule33[[#This Row],[Payment Number]]&lt;&gt;"",PaymentSchedule33[[#This Row],[Beginning
Balance]]*(InterestRate/PaymentsPerYear),"")</f>
        <v>1225.4278787067863</v>
      </c>
      <c r="J95" s="25">
        <f ca="1">IF(PaymentSchedule33[[#This Row],[Payment Number]]&lt;&gt;"",IF(PaymentSchedule33[[#This Row],[Scheduled Payment]]+PaymentSchedule33[[#This Row],[Extra
Payment]]&lt;=PaymentSchedule33[[#This Row],[Beginning
Balance]],PaymentSchedule33[[#This Row],[Beginning
Balance]]-PaymentSchedule33[[#This Row],[Principal]],0),"")</f>
        <v>293543.18687182013</v>
      </c>
      <c r="K95" s="25">
        <f ca="1">IF(PaymentSchedule33[[#This Row],[Payment Number]]&lt;&gt;"",SUM(INDEX(PaymentSchedule33[Interest],1,1):PaymentSchedule33[[#This Row],[Interest]]),"")</f>
        <v>107407.60238608009</v>
      </c>
      <c r="L95" s="25">
        <f ca="1">IF(PaymentSchedule33[[#This Row],[Payment Number]]&lt;&gt;"",SUM(INDEX(PaymentSchedule33[Principal],1,1):PaymentSchedule33[[#This Row],[Principal]]),"")</f>
        <v>38956.813128179652</v>
      </c>
      <c r="M95" s="25">
        <f ca="1">PaymentSchedule3[[#This Row],[Total
Payment]]-PaymentSchedule33[[#This Row],[Total
Payment]]</f>
        <v>427.19889995542212</v>
      </c>
      <c r="N95" s="25">
        <f ca="1">PaymentSchedule3[[#This Row],[Interest]]-PaymentSchedule33[[#This Row],[Interest]]</f>
        <v>550.1367343951888</v>
      </c>
      <c r="O95" s="25">
        <f ca="1">PaymentSchedule3[[#This Row],[Cumulative
Interest]]-PaymentSchedule33[[#This Row],[Cumulative
Interest]]</f>
        <v>45433.061844351017</v>
      </c>
    </row>
    <row r="96" spans="2:15" x14ac:dyDescent="0.25">
      <c r="B96" s="23">
        <f ca="1">IF(LoanIsGood,IF(ROW()-ROW(PaymentSchedule33[[#Headers],[Payment Number]])&gt;ScheduledNumberOfPayments,"",ROW()-ROW(PaymentSchedule33[[#Headers],[Payment Number]])),"")</f>
        <v>83</v>
      </c>
      <c r="C96" s="24">
        <f ca="1">IF(PaymentSchedule33[[#This Row],[Payment Number]]&lt;&gt;"",EOMONTH(LoanStartDate,ROW(PaymentSchedule33[[#This Row],[Payment Number]])-ROW(PaymentSchedule33[[#Headers],[Payment Number]])-2)+DAY(LoanStartDate),"")</f>
        <v>47962</v>
      </c>
      <c r="D96" s="25">
        <f ca="1">IF(PaymentSchedule33[[#This Row],[Payment Number]]&lt;&gt;"",IF(ROW()-ROW(PaymentSchedule33[[#Headers],[Beginning
Balance]])=1,LoanAmount,INDEX(PaymentSchedule33[Ending
Balance],ROW()-ROW(PaymentSchedule33[[#Headers],[Beginning
Balance]])-1)),"")</f>
        <v>293543.18687182013</v>
      </c>
      <c r="E96" s="25">
        <f ca="1">IF(PaymentSchedule33[[#This Row],[Payment Number]]&lt;&gt;"",ScheduledPayment,"")</f>
        <v>1784.9318965153623</v>
      </c>
      <c r="F9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6" s="25">
        <f ca="1">IF(PaymentSchedule33[[#This Row],[Payment Number]]&lt;&gt;"",PaymentSchedule33[[#This Row],[Total
Payment]]-PaymentSchedule33[[#This Row],[Interest]],"")</f>
        <v>561.83528454944508</v>
      </c>
      <c r="I96" s="25">
        <f ca="1">IF(PaymentSchedule33[[#This Row],[Payment Number]]&lt;&gt;"",PaymentSchedule33[[#This Row],[Beginning
Balance]]*(InterestRate/PaymentsPerYear),"")</f>
        <v>1223.0966119659172</v>
      </c>
      <c r="J96" s="25">
        <f ca="1">IF(PaymentSchedule33[[#This Row],[Payment Number]]&lt;&gt;"",IF(PaymentSchedule33[[#This Row],[Scheduled Payment]]+PaymentSchedule33[[#This Row],[Extra
Payment]]&lt;=PaymentSchedule33[[#This Row],[Beginning
Balance]],PaymentSchedule33[[#This Row],[Beginning
Balance]]-PaymentSchedule33[[#This Row],[Principal]],0),"")</f>
        <v>292981.35158727068</v>
      </c>
      <c r="K96" s="25">
        <f ca="1">IF(PaymentSchedule33[[#This Row],[Payment Number]]&lt;&gt;"",SUM(INDEX(PaymentSchedule33[Interest],1,1):PaymentSchedule33[[#This Row],[Interest]]),"")</f>
        <v>108630.69899804601</v>
      </c>
      <c r="L96" s="25">
        <f ca="1">IF(PaymentSchedule33[[#This Row],[Payment Number]]&lt;&gt;"",SUM(INDEX(PaymentSchedule33[Principal],1,1):PaymentSchedule33[[#This Row],[Principal]]),"")</f>
        <v>39518.648412729097</v>
      </c>
      <c r="M96" s="25">
        <f ca="1">PaymentSchedule3[[#This Row],[Total
Payment]]-PaymentSchedule33[[#This Row],[Total
Payment]]</f>
        <v>427.19889995542212</v>
      </c>
      <c r="N96" s="25">
        <f ca="1">PaymentSchedule3[[#This Row],[Interest]]-PaymentSchedule33[[#This Row],[Interest]]</f>
        <v>549.92136506640668</v>
      </c>
      <c r="O96" s="25">
        <f ca="1">PaymentSchedule3[[#This Row],[Cumulative
Interest]]-PaymentSchedule33[[#This Row],[Cumulative
Interest]]</f>
        <v>45982.98320941742</v>
      </c>
    </row>
    <row r="97" spans="2:15" x14ac:dyDescent="0.25">
      <c r="B97" s="23">
        <f ca="1">IF(LoanIsGood,IF(ROW()-ROW(PaymentSchedule33[[#Headers],[Payment Number]])&gt;ScheduledNumberOfPayments,"",ROW()-ROW(PaymentSchedule33[[#Headers],[Payment Number]])),"")</f>
        <v>84</v>
      </c>
      <c r="C97" s="24">
        <f ca="1">IF(PaymentSchedule33[[#This Row],[Payment Number]]&lt;&gt;"",EOMONTH(LoanStartDate,ROW(PaymentSchedule33[[#This Row],[Payment Number]])-ROW(PaymentSchedule33[[#Headers],[Payment Number]])-2)+DAY(LoanStartDate),"")</f>
        <v>47992</v>
      </c>
      <c r="D97" s="25">
        <f ca="1">IF(PaymentSchedule33[[#This Row],[Payment Number]]&lt;&gt;"",IF(ROW()-ROW(PaymentSchedule33[[#Headers],[Beginning
Balance]])=1,LoanAmount,INDEX(PaymentSchedule33[Ending
Balance],ROW()-ROW(PaymentSchedule33[[#Headers],[Beginning
Balance]])-1)),"")</f>
        <v>292981.35158727068</v>
      </c>
      <c r="E97" s="25">
        <f ca="1">IF(PaymentSchedule33[[#This Row],[Payment Number]]&lt;&gt;"",ScheduledPayment,"")</f>
        <v>1784.9318965153623</v>
      </c>
      <c r="F9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7" s="25">
        <f ca="1">IF(PaymentSchedule33[[#This Row],[Payment Number]]&lt;&gt;"",PaymentSchedule33[[#This Row],[Total
Payment]]-PaymentSchedule33[[#This Row],[Interest]],"")</f>
        <v>564.17626490173438</v>
      </c>
      <c r="I97" s="25">
        <f ca="1">IF(PaymentSchedule33[[#This Row],[Payment Number]]&lt;&gt;"",PaymentSchedule33[[#This Row],[Beginning
Balance]]*(InterestRate/PaymentsPerYear),"")</f>
        <v>1220.7556316136279</v>
      </c>
      <c r="J97" s="25">
        <f ca="1">IF(PaymentSchedule33[[#This Row],[Payment Number]]&lt;&gt;"",IF(PaymentSchedule33[[#This Row],[Scheduled Payment]]+PaymentSchedule33[[#This Row],[Extra
Payment]]&lt;=PaymentSchedule33[[#This Row],[Beginning
Balance]],PaymentSchedule33[[#This Row],[Beginning
Balance]]-PaymentSchedule33[[#This Row],[Principal]],0),"")</f>
        <v>292417.17532236892</v>
      </c>
      <c r="K97" s="25">
        <f ca="1">IF(PaymentSchedule33[[#This Row],[Payment Number]]&lt;&gt;"",SUM(INDEX(PaymentSchedule33[Interest],1,1):PaymentSchedule33[[#This Row],[Interest]]),"")</f>
        <v>109851.45462965964</v>
      </c>
      <c r="L97" s="25">
        <f ca="1">IF(PaymentSchedule33[[#This Row],[Payment Number]]&lt;&gt;"",SUM(INDEX(PaymentSchedule33[Principal],1,1):PaymentSchedule33[[#This Row],[Principal]]),"")</f>
        <v>40082.82467763083</v>
      </c>
      <c r="M97" s="25">
        <f ca="1">PaymentSchedule3[[#This Row],[Total
Payment]]-PaymentSchedule33[[#This Row],[Total
Payment]]</f>
        <v>427.19889995542212</v>
      </c>
      <c r="N97" s="25">
        <f ca="1">PaymentSchedule3[[#This Row],[Interest]]-PaymentSchedule33[[#This Row],[Interest]]</f>
        <v>549.70085397197158</v>
      </c>
      <c r="O97" s="25">
        <f ca="1">PaymentSchedule3[[#This Row],[Cumulative
Interest]]-PaymentSchedule33[[#This Row],[Cumulative
Interest]]</f>
        <v>46532.684063389388</v>
      </c>
    </row>
    <row r="98" spans="2:15" x14ac:dyDescent="0.25">
      <c r="B98" s="23">
        <f ca="1">IF(LoanIsGood,IF(ROW()-ROW(PaymentSchedule33[[#Headers],[Payment Number]])&gt;ScheduledNumberOfPayments,"",ROW()-ROW(PaymentSchedule33[[#Headers],[Payment Number]])),"")</f>
        <v>85</v>
      </c>
      <c r="C98" s="24">
        <f ca="1">IF(PaymentSchedule33[[#This Row],[Payment Number]]&lt;&gt;"",EOMONTH(LoanStartDate,ROW(PaymentSchedule33[[#This Row],[Payment Number]])-ROW(PaymentSchedule33[[#Headers],[Payment Number]])-2)+DAY(LoanStartDate),"")</f>
        <v>48023</v>
      </c>
      <c r="D98" s="25">
        <f ca="1">IF(PaymentSchedule33[[#This Row],[Payment Number]]&lt;&gt;"",IF(ROW()-ROW(PaymentSchedule33[[#Headers],[Beginning
Balance]])=1,LoanAmount,INDEX(PaymentSchedule33[Ending
Balance],ROW()-ROW(PaymentSchedule33[[#Headers],[Beginning
Balance]])-1)),"")</f>
        <v>292417.17532236892</v>
      </c>
      <c r="E98" s="25">
        <f ca="1">IF(PaymentSchedule33[[#This Row],[Payment Number]]&lt;&gt;"",ScheduledPayment,"")</f>
        <v>1784.9318965153623</v>
      </c>
      <c r="F9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8" s="25">
        <f ca="1">IF(PaymentSchedule33[[#This Row],[Payment Number]]&lt;&gt;"",PaymentSchedule33[[#This Row],[Total
Payment]]-PaymentSchedule33[[#This Row],[Interest]],"")</f>
        <v>566.52699933882514</v>
      </c>
      <c r="I98" s="25">
        <f ca="1">IF(PaymentSchedule33[[#This Row],[Payment Number]]&lt;&gt;"",PaymentSchedule33[[#This Row],[Beginning
Balance]]*(InterestRate/PaymentsPerYear),"")</f>
        <v>1218.4048971765371</v>
      </c>
      <c r="J98" s="25">
        <f ca="1">IF(PaymentSchedule33[[#This Row],[Payment Number]]&lt;&gt;"",IF(PaymentSchedule33[[#This Row],[Scheduled Payment]]+PaymentSchedule33[[#This Row],[Extra
Payment]]&lt;=PaymentSchedule33[[#This Row],[Beginning
Balance]],PaymentSchedule33[[#This Row],[Beginning
Balance]]-PaymentSchedule33[[#This Row],[Principal]],0),"")</f>
        <v>291850.64832303009</v>
      </c>
      <c r="K98" s="25">
        <f ca="1">IF(PaymentSchedule33[[#This Row],[Payment Number]]&lt;&gt;"",SUM(INDEX(PaymentSchedule33[Interest],1,1):PaymentSchedule33[[#This Row],[Interest]]),"")</f>
        <v>111069.85952683618</v>
      </c>
      <c r="L98" s="25">
        <f ca="1">IF(PaymentSchedule33[[#This Row],[Payment Number]]&lt;&gt;"",SUM(INDEX(PaymentSchedule33[Principal],1,1):PaymentSchedule33[[#This Row],[Principal]]),"")</f>
        <v>40649.351676969658</v>
      </c>
      <c r="M98" s="25">
        <f ca="1">PaymentSchedule3[[#This Row],[Total
Payment]]-PaymentSchedule33[[#This Row],[Total
Payment]]</f>
        <v>427.19889995542212</v>
      </c>
      <c r="N98" s="25">
        <f ca="1">PaymentSchedule3[[#This Row],[Interest]]-PaymentSchedule33[[#This Row],[Interest]]</f>
        <v>549.47515492889875</v>
      </c>
      <c r="O98" s="25">
        <f ca="1">PaymentSchedule3[[#This Row],[Cumulative
Interest]]-PaymentSchedule33[[#This Row],[Cumulative
Interest]]</f>
        <v>47082.15921831828</v>
      </c>
    </row>
    <row r="99" spans="2:15" x14ac:dyDescent="0.25">
      <c r="B99" s="23">
        <f ca="1">IF(LoanIsGood,IF(ROW()-ROW(PaymentSchedule33[[#Headers],[Payment Number]])&gt;ScheduledNumberOfPayments,"",ROW()-ROW(PaymentSchedule33[[#Headers],[Payment Number]])),"")</f>
        <v>86</v>
      </c>
      <c r="C99" s="24">
        <f ca="1">IF(PaymentSchedule33[[#This Row],[Payment Number]]&lt;&gt;"",EOMONTH(LoanStartDate,ROW(PaymentSchedule33[[#This Row],[Payment Number]])-ROW(PaymentSchedule33[[#Headers],[Payment Number]])-2)+DAY(LoanStartDate),"")</f>
        <v>48053</v>
      </c>
      <c r="D99" s="25">
        <f ca="1">IF(PaymentSchedule33[[#This Row],[Payment Number]]&lt;&gt;"",IF(ROW()-ROW(PaymentSchedule33[[#Headers],[Beginning
Balance]])=1,LoanAmount,INDEX(PaymentSchedule33[Ending
Balance],ROW()-ROW(PaymentSchedule33[[#Headers],[Beginning
Balance]])-1)),"")</f>
        <v>291850.64832303009</v>
      </c>
      <c r="E99" s="25">
        <f ca="1">IF(PaymentSchedule33[[#This Row],[Payment Number]]&lt;&gt;"",ScheduledPayment,"")</f>
        <v>1784.9318965153623</v>
      </c>
      <c r="F9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9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99" s="25">
        <f ca="1">IF(PaymentSchedule33[[#This Row],[Payment Number]]&lt;&gt;"",PaymentSchedule33[[#This Row],[Total
Payment]]-PaymentSchedule33[[#This Row],[Interest]],"")</f>
        <v>568.88752850273681</v>
      </c>
      <c r="I99" s="25">
        <f ca="1">IF(PaymentSchedule33[[#This Row],[Payment Number]]&lt;&gt;"",PaymentSchedule33[[#This Row],[Beginning
Balance]]*(InterestRate/PaymentsPerYear),"")</f>
        <v>1216.0443680126255</v>
      </c>
      <c r="J99" s="25">
        <f ca="1">IF(PaymentSchedule33[[#This Row],[Payment Number]]&lt;&gt;"",IF(PaymentSchedule33[[#This Row],[Scheduled Payment]]+PaymentSchedule33[[#This Row],[Extra
Payment]]&lt;=PaymentSchedule33[[#This Row],[Beginning
Balance]],PaymentSchedule33[[#This Row],[Beginning
Balance]]-PaymentSchedule33[[#This Row],[Principal]],0),"")</f>
        <v>291281.76079452736</v>
      </c>
      <c r="K99" s="25">
        <f ca="1">IF(PaymentSchedule33[[#This Row],[Payment Number]]&lt;&gt;"",SUM(INDEX(PaymentSchedule33[Interest],1,1):PaymentSchedule33[[#This Row],[Interest]]),"")</f>
        <v>112285.9038948488</v>
      </c>
      <c r="L99" s="25">
        <f ca="1">IF(PaymentSchedule33[[#This Row],[Payment Number]]&lt;&gt;"",SUM(INDEX(PaymentSchedule33[Principal],1,1):PaymentSchedule33[[#This Row],[Principal]]),"")</f>
        <v>41218.239205472397</v>
      </c>
      <c r="M99" s="25">
        <f ca="1">PaymentSchedule3[[#This Row],[Total
Payment]]-PaymentSchedule33[[#This Row],[Total
Payment]]</f>
        <v>427.19889995542212</v>
      </c>
      <c r="N99" s="25">
        <f ca="1">PaymentSchedule3[[#This Row],[Interest]]-PaymentSchedule33[[#This Row],[Interest]]</f>
        <v>549.24422141734613</v>
      </c>
      <c r="O99" s="25">
        <f ca="1">PaymentSchedule3[[#This Row],[Cumulative
Interest]]-PaymentSchedule33[[#This Row],[Cumulative
Interest]]</f>
        <v>47631.403439735644</v>
      </c>
    </row>
    <row r="100" spans="2:15" x14ac:dyDescent="0.25">
      <c r="B100" s="23">
        <f ca="1">IF(LoanIsGood,IF(ROW()-ROW(PaymentSchedule33[[#Headers],[Payment Number]])&gt;ScheduledNumberOfPayments,"",ROW()-ROW(PaymentSchedule33[[#Headers],[Payment Number]])),"")</f>
        <v>87</v>
      </c>
      <c r="C100" s="24">
        <f ca="1">IF(PaymentSchedule33[[#This Row],[Payment Number]]&lt;&gt;"",EOMONTH(LoanStartDate,ROW(PaymentSchedule33[[#This Row],[Payment Number]])-ROW(PaymentSchedule33[[#Headers],[Payment Number]])-2)+DAY(LoanStartDate),"")</f>
        <v>48084</v>
      </c>
      <c r="D100" s="25">
        <f ca="1">IF(PaymentSchedule33[[#This Row],[Payment Number]]&lt;&gt;"",IF(ROW()-ROW(PaymentSchedule33[[#Headers],[Beginning
Balance]])=1,LoanAmount,INDEX(PaymentSchedule33[Ending
Balance],ROW()-ROW(PaymentSchedule33[[#Headers],[Beginning
Balance]])-1)),"")</f>
        <v>291281.76079452736</v>
      </c>
      <c r="E100" s="25">
        <f ca="1">IF(PaymentSchedule33[[#This Row],[Payment Number]]&lt;&gt;"",ScheduledPayment,"")</f>
        <v>1784.9318965153623</v>
      </c>
      <c r="F10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0" s="25">
        <f ca="1">IF(PaymentSchedule33[[#This Row],[Payment Number]]&lt;&gt;"",PaymentSchedule33[[#This Row],[Total
Payment]]-PaymentSchedule33[[#This Row],[Interest]],"")</f>
        <v>571.25789320483159</v>
      </c>
      <c r="I100" s="25">
        <f ca="1">IF(PaymentSchedule33[[#This Row],[Payment Number]]&lt;&gt;"",PaymentSchedule33[[#This Row],[Beginning
Balance]]*(InterestRate/PaymentsPerYear),"")</f>
        <v>1213.6740033105307</v>
      </c>
      <c r="J100" s="25">
        <f ca="1">IF(PaymentSchedule33[[#This Row],[Payment Number]]&lt;&gt;"",IF(PaymentSchedule33[[#This Row],[Scheduled Payment]]+PaymentSchedule33[[#This Row],[Extra
Payment]]&lt;=PaymentSchedule33[[#This Row],[Beginning
Balance]],PaymentSchedule33[[#This Row],[Beginning
Balance]]-PaymentSchedule33[[#This Row],[Principal]],0),"")</f>
        <v>290710.50290132256</v>
      </c>
      <c r="K100" s="25">
        <f ca="1">IF(PaymentSchedule33[[#This Row],[Payment Number]]&lt;&gt;"",SUM(INDEX(PaymentSchedule33[Interest],1,1):PaymentSchedule33[[#This Row],[Interest]]),"")</f>
        <v>113499.57789815933</v>
      </c>
      <c r="L100" s="25">
        <f ca="1">IF(PaymentSchedule33[[#This Row],[Payment Number]]&lt;&gt;"",SUM(INDEX(PaymentSchedule33[Principal],1,1):PaymentSchedule33[[#This Row],[Principal]]),"")</f>
        <v>41789.497098677231</v>
      </c>
      <c r="M100" s="25">
        <f ca="1">PaymentSchedule3[[#This Row],[Total
Payment]]-PaymentSchedule33[[#This Row],[Total
Payment]]</f>
        <v>427.19889995542212</v>
      </c>
      <c r="N100" s="25">
        <f ca="1">PaymentSchedule3[[#This Row],[Interest]]-PaymentSchedule33[[#This Row],[Interest]]</f>
        <v>549.00800657836953</v>
      </c>
      <c r="O100" s="25">
        <f ca="1">PaymentSchedule3[[#This Row],[Cumulative
Interest]]-PaymentSchedule33[[#This Row],[Cumulative
Interest]]</f>
        <v>48180.411446314014</v>
      </c>
    </row>
    <row r="101" spans="2:15" x14ac:dyDescent="0.25">
      <c r="B101" s="23">
        <f ca="1">IF(LoanIsGood,IF(ROW()-ROW(PaymentSchedule33[[#Headers],[Payment Number]])&gt;ScheduledNumberOfPayments,"",ROW()-ROW(PaymentSchedule33[[#Headers],[Payment Number]])),"")</f>
        <v>88</v>
      </c>
      <c r="C101" s="24">
        <f ca="1">IF(PaymentSchedule33[[#This Row],[Payment Number]]&lt;&gt;"",EOMONTH(LoanStartDate,ROW(PaymentSchedule33[[#This Row],[Payment Number]])-ROW(PaymentSchedule33[[#Headers],[Payment Number]])-2)+DAY(LoanStartDate),"")</f>
        <v>48115</v>
      </c>
      <c r="D101" s="25">
        <f ca="1">IF(PaymentSchedule33[[#This Row],[Payment Number]]&lt;&gt;"",IF(ROW()-ROW(PaymentSchedule33[[#Headers],[Beginning
Balance]])=1,LoanAmount,INDEX(PaymentSchedule33[Ending
Balance],ROW()-ROW(PaymentSchedule33[[#Headers],[Beginning
Balance]])-1)),"")</f>
        <v>290710.50290132256</v>
      </c>
      <c r="E101" s="25">
        <f ca="1">IF(PaymentSchedule33[[#This Row],[Payment Number]]&lt;&gt;"",ScheduledPayment,"")</f>
        <v>1784.9318965153623</v>
      </c>
      <c r="F10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1" s="25">
        <f ca="1">IF(PaymentSchedule33[[#This Row],[Payment Number]]&lt;&gt;"",PaymentSchedule33[[#This Row],[Total
Payment]]-PaymentSchedule33[[#This Row],[Interest]],"")</f>
        <v>573.63813442651826</v>
      </c>
      <c r="I101" s="25">
        <f ca="1">IF(PaymentSchedule33[[#This Row],[Payment Number]]&lt;&gt;"",PaymentSchedule33[[#This Row],[Beginning
Balance]]*(InterestRate/PaymentsPerYear),"")</f>
        <v>1211.293762088844</v>
      </c>
      <c r="J101" s="25">
        <f ca="1">IF(PaymentSchedule33[[#This Row],[Payment Number]]&lt;&gt;"",IF(PaymentSchedule33[[#This Row],[Scheduled Payment]]+PaymentSchedule33[[#This Row],[Extra
Payment]]&lt;=PaymentSchedule33[[#This Row],[Beginning
Balance]],PaymentSchedule33[[#This Row],[Beginning
Balance]]-PaymentSchedule33[[#This Row],[Principal]],0),"")</f>
        <v>290136.86476689606</v>
      </c>
      <c r="K101" s="25">
        <f ca="1">IF(PaymentSchedule33[[#This Row],[Payment Number]]&lt;&gt;"",SUM(INDEX(PaymentSchedule33[Interest],1,1):PaymentSchedule33[[#This Row],[Interest]]),"")</f>
        <v>114710.87166024817</v>
      </c>
      <c r="L101" s="25">
        <f ca="1">IF(PaymentSchedule33[[#This Row],[Payment Number]]&lt;&gt;"",SUM(INDEX(PaymentSchedule33[Principal],1,1):PaymentSchedule33[[#This Row],[Principal]]),"")</f>
        <v>42363.135233103749</v>
      </c>
      <c r="M101" s="25">
        <f ca="1">PaymentSchedule3[[#This Row],[Total
Payment]]-PaymentSchedule33[[#This Row],[Total
Payment]]</f>
        <v>427.19889995542212</v>
      </c>
      <c r="N101" s="25">
        <f ca="1">PaymentSchedule3[[#This Row],[Interest]]-PaymentSchedule33[[#This Row],[Interest]]</f>
        <v>548.76646321166186</v>
      </c>
      <c r="O101" s="25">
        <f ca="1">PaymentSchedule3[[#This Row],[Cumulative
Interest]]-PaymentSchedule33[[#This Row],[Cumulative
Interest]]</f>
        <v>48729.177909525693</v>
      </c>
    </row>
    <row r="102" spans="2:15" x14ac:dyDescent="0.25">
      <c r="B102" s="23">
        <f ca="1">IF(LoanIsGood,IF(ROW()-ROW(PaymentSchedule33[[#Headers],[Payment Number]])&gt;ScheduledNumberOfPayments,"",ROW()-ROW(PaymentSchedule33[[#Headers],[Payment Number]])),"")</f>
        <v>89</v>
      </c>
      <c r="C102" s="24">
        <f ca="1">IF(PaymentSchedule33[[#This Row],[Payment Number]]&lt;&gt;"",EOMONTH(LoanStartDate,ROW(PaymentSchedule33[[#This Row],[Payment Number]])-ROW(PaymentSchedule33[[#Headers],[Payment Number]])-2)+DAY(LoanStartDate),"")</f>
        <v>48145</v>
      </c>
      <c r="D102" s="25">
        <f ca="1">IF(PaymentSchedule33[[#This Row],[Payment Number]]&lt;&gt;"",IF(ROW()-ROW(PaymentSchedule33[[#Headers],[Beginning
Balance]])=1,LoanAmount,INDEX(PaymentSchedule33[Ending
Balance],ROW()-ROW(PaymentSchedule33[[#Headers],[Beginning
Balance]])-1)),"")</f>
        <v>290136.86476689606</v>
      </c>
      <c r="E102" s="25">
        <f ca="1">IF(PaymentSchedule33[[#This Row],[Payment Number]]&lt;&gt;"",ScheduledPayment,"")</f>
        <v>1784.9318965153623</v>
      </c>
      <c r="F10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2" s="25">
        <f ca="1">IF(PaymentSchedule33[[#This Row],[Payment Number]]&lt;&gt;"",PaymentSchedule33[[#This Row],[Total
Payment]]-PaymentSchedule33[[#This Row],[Interest]],"")</f>
        <v>576.02829331996213</v>
      </c>
      <c r="I102" s="25">
        <f ca="1">IF(PaymentSchedule33[[#This Row],[Payment Number]]&lt;&gt;"",PaymentSchedule33[[#This Row],[Beginning
Balance]]*(InterestRate/PaymentsPerYear),"")</f>
        <v>1208.9036031954001</v>
      </c>
      <c r="J102" s="25">
        <f ca="1">IF(PaymentSchedule33[[#This Row],[Payment Number]]&lt;&gt;"",IF(PaymentSchedule33[[#This Row],[Scheduled Payment]]+PaymentSchedule33[[#This Row],[Extra
Payment]]&lt;=PaymentSchedule33[[#This Row],[Beginning
Balance]],PaymentSchedule33[[#This Row],[Beginning
Balance]]-PaymentSchedule33[[#This Row],[Principal]],0),"")</f>
        <v>289560.83647357608</v>
      </c>
      <c r="K102" s="25">
        <f ca="1">IF(PaymentSchedule33[[#This Row],[Payment Number]]&lt;&gt;"",SUM(INDEX(PaymentSchedule33[Interest],1,1):PaymentSchedule33[[#This Row],[Interest]]),"")</f>
        <v>115919.77526344357</v>
      </c>
      <c r="L102" s="25">
        <f ca="1">IF(PaymentSchedule33[[#This Row],[Payment Number]]&lt;&gt;"",SUM(INDEX(PaymentSchedule33[Principal],1,1):PaymentSchedule33[[#This Row],[Principal]]),"")</f>
        <v>42939.163526423712</v>
      </c>
      <c r="M102" s="25">
        <f ca="1">PaymentSchedule3[[#This Row],[Total
Payment]]-PaymentSchedule33[[#This Row],[Total
Payment]]</f>
        <v>427.19889995542212</v>
      </c>
      <c r="N102" s="25">
        <f ca="1">PaymentSchedule3[[#This Row],[Interest]]-PaymentSchedule33[[#This Row],[Interest]]</f>
        <v>548.51954377327888</v>
      </c>
      <c r="O102" s="25">
        <f ca="1">PaymentSchedule3[[#This Row],[Cumulative
Interest]]-PaymentSchedule33[[#This Row],[Cumulative
Interest]]</f>
        <v>49277.69745329897</v>
      </c>
    </row>
    <row r="103" spans="2:15" x14ac:dyDescent="0.25">
      <c r="B103" s="23">
        <f ca="1">IF(LoanIsGood,IF(ROW()-ROW(PaymentSchedule33[[#Headers],[Payment Number]])&gt;ScheduledNumberOfPayments,"",ROW()-ROW(PaymentSchedule33[[#Headers],[Payment Number]])),"")</f>
        <v>90</v>
      </c>
      <c r="C103" s="24">
        <f ca="1">IF(PaymentSchedule33[[#This Row],[Payment Number]]&lt;&gt;"",EOMONTH(LoanStartDate,ROW(PaymentSchedule33[[#This Row],[Payment Number]])-ROW(PaymentSchedule33[[#Headers],[Payment Number]])-2)+DAY(LoanStartDate),"")</f>
        <v>48176</v>
      </c>
      <c r="D103" s="25">
        <f ca="1">IF(PaymentSchedule33[[#This Row],[Payment Number]]&lt;&gt;"",IF(ROW()-ROW(PaymentSchedule33[[#Headers],[Beginning
Balance]])=1,LoanAmount,INDEX(PaymentSchedule33[Ending
Balance],ROW()-ROW(PaymentSchedule33[[#Headers],[Beginning
Balance]])-1)),"")</f>
        <v>289560.83647357608</v>
      </c>
      <c r="E103" s="25">
        <f ca="1">IF(PaymentSchedule33[[#This Row],[Payment Number]]&lt;&gt;"",ScheduledPayment,"")</f>
        <v>1784.9318965153623</v>
      </c>
      <c r="F10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3" s="25">
        <f ca="1">IF(PaymentSchedule33[[#This Row],[Payment Number]]&lt;&gt;"",PaymentSchedule33[[#This Row],[Total
Payment]]-PaymentSchedule33[[#This Row],[Interest]],"")</f>
        <v>578.4284112087953</v>
      </c>
      <c r="I103" s="25">
        <f ca="1">IF(PaymentSchedule33[[#This Row],[Payment Number]]&lt;&gt;"",PaymentSchedule33[[#This Row],[Beginning
Balance]]*(InterestRate/PaymentsPerYear),"")</f>
        <v>1206.503485306567</v>
      </c>
      <c r="J103" s="25">
        <f ca="1">IF(PaymentSchedule33[[#This Row],[Payment Number]]&lt;&gt;"",IF(PaymentSchedule33[[#This Row],[Scheduled Payment]]+PaymentSchedule33[[#This Row],[Extra
Payment]]&lt;=PaymentSchedule33[[#This Row],[Beginning
Balance]],PaymentSchedule33[[#This Row],[Beginning
Balance]]-PaymentSchedule33[[#This Row],[Principal]],0),"")</f>
        <v>288982.40806236729</v>
      </c>
      <c r="K103" s="25">
        <f ca="1">IF(PaymentSchedule33[[#This Row],[Payment Number]]&lt;&gt;"",SUM(INDEX(PaymentSchedule33[Interest],1,1):PaymentSchedule33[[#This Row],[Interest]]),"")</f>
        <v>117126.27874875015</v>
      </c>
      <c r="L103" s="25">
        <f ca="1">IF(PaymentSchedule33[[#This Row],[Payment Number]]&lt;&gt;"",SUM(INDEX(PaymentSchedule33[Principal],1,1):PaymentSchedule33[[#This Row],[Principal]]),"")</f>
        <v>43517.591937632504</v>
      </c>
      <c r="M103" s="25">
        <f ca="1">PaymentSchedule3[[#This Row],[Total
Payment]]-PaymentSchedule33[[#This Row],[Total
Payment]]</f>
        <v>427.19889995542212</v>
      </c>
      <c r="N103" s="25">
        <f ca="1">PaymentSchedule3[[#This Row],[Interest]]-PaymentSchedule33[[#This Row],[Interest]]</f>
        <v>548.26720037334985</v>
      </c>
      <c r="O103" s="25">
        <f ca="1">PaymentSchedule3[[#This Row],[Cumulative
Interest]]-PaymentSchedule33[[#This Row],[Cumulative
Interest]]</f>
        <v>49825.964653672316</v>
      </c>
    </row>
    <row r="104" spans="2:15" x14ac:dyDescent="0.25">
      <c r="B104" s="23">
        <f ca="1">IF(LoanIsGood,IF(ROW()-ROW(PaymentSchedule33[[#Headers],[Payment Number]])&gt;ScheduledNumberOfPayments,"",ROW()-ROW(PaymentSchedule33[[#Headers],[Payment Number]])),"")</f>
        <v>91</v>
      </c>
      <c r="C104" s="24">
        <f ca="1">IF(PaymentSchedule33[[#This Row],[Payment Number]]&lt;&gt;"",EOMONTH(LoanStartDate,ROW(PaymentSchedule33[[#This Row],[Payment Number]])-ROW(PaymentSchedule33[[#Headers],[Payment Number]])-2)+DAY(LoanStartDate),"")</f>
        <v>48206</v>
      </c>
      <c r="D104" s="25">
        <f ca="1">IF(PaymentSchedule33[[#This Row],[Payment Number]]&lt;&gt;"",IF(ROW()-ROW(PaymentSchedule33[[#Headers],[Beginning
Balance]])=1,LoanAmount,INDEX(PaymentSchedule33[Ending
Balance],ROW()-ROW(PaymentSchedule33[[#Headers],[Beginning
Balance]])-1)),"")</f>
        <v>288982.40806236729</v>
      </c>
      <c r="E104" s="25">
        <f ca="1">IF(PaymentSchedule33[[#This Row],[Payment Number]]&lt;&gt;"",ScheduledPayment,"")</f>
        <v>1784.9318965153623</v>
      </c>
      <c r="F10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4" s="25">
        <f ca="1">IF(PaymentSchedule33[[#This Row],[Payment Number]]&lt;&gt;"",PaymentSchedule33[[#This Row],[Total
Payment]]-PaymentSchedule33[[#This Row],[Interest]],"")</f>
        <v>580.83852958883199</v>
      </c>
      <c r="I104" s="25">
        <f ca="1">IF(PaymentSchedule33[[#This Row],[Payment Number]]&lt;&gt;"",PaymentSchedule33[[#This Row],[Beginning
Balance]]*(InterestRate/PaymentsPerYear),"")</f>
        <v>1204.0933669265303</v>
      </c>
      <c r="J104" s="25">
        <f ca="1">IF(PaymentSchedule33[[#This Row],[Payment Number]]&lt;&gt;"",IF(PaymentSchedule33[[#This Row],[Scheduled Payment]]+PaymentSchedule33[[#This Row],[Extra
Payment]]&lt;=PaymentSchedule33[[#This Row],[Beginning
Balance]],PaymentSchedule33[[#This Row],[Beginning
Balance]]-PaymentSchedule33[[#This Row],[Principal]],0),"")</f>
        <v>288401.56953277846</v>
      </c>
      <c r="K104" s="25">
        <f ca="1">IF(PaymentSchedule33[[#This Row],[Payment Number]]&lt;&gt;"",SUM(INDEX(PaymentSchedule33[Interest],1,1):PaymentSchedule33[[#This Row],[Interest]]),"")</f>
        <v>118330.37211567668</v>
      </c>
      <c r="L104" s="25">
        <f ca="1">IF(PaymentSchedule33[[#This Row],[Payment Number]]&lt;&gt;"",SUM(INDEX(PaymentSchedule33[Principal],1,1):PaymentSchedule33[[#This Row],[Principal]]),"")</f>
        <v>44098.430467221333</v>
      </c>
      <c r="M104" s="25">
        <f ca="1">PaymentSchedule3[[#This Row],[Total
Payment]]-PaymentSchedule33[[#This Row],[Total
Payment]]</f>
        <v>427.19889995542212</v>
      </c>
      <c r="N104" s="25">
        <f ca="1">PaymentSchedule3[[#This Row],[Interest]]-PaymentSchedule33[[#This Row],[Interest]]</f>
        <v>548.00938477377326</v>
      </c>
      <c r="O104" s="25">
        <f ca="1">PaymentSchedule3[[#This Row],[Cumulative
Interest]]-PaymentSchedule33[[#This Row],[Cumulative
Interest]]</f>
        <v>50373.974038446075</v>
      </c>
    </row>
    <row r="105" spans="2:15" x14ac:dyDescent="0.25">
      <c r="B105" s="23">
        <f ca="1">IF(LoanIsGood,IF(ROW()-ROW(PaymentSchedule33[[#Headers],[Payment Number]])&gt;ScheduledNumberOfPayments,"",ROW()-ROW(PaymentSchedule33[[#Headers],[Payment Number]])),"")</f>
        <v>92</v>
      </c>
      <c r="C105" s="24">
        <f ca="1">IF(PaymentSchedule33[[#This Row],[Payment Number]]&lt;&gt;"",EOMONTH(LoanStartDate,ROW(PaymentSchedule33[[#This Row],[Payment Number]])-ROW(PaymentSchedule33[[#Headers],[Payment Number]])-2)+DAY(LoanStartDate),"")</f>
        <v>48237</v>
      </c>
      <c r="D105" s="25">
        <f ca="1">IF(PaymentSchedule33[[#This Row],[Payment Number]]&lt;&gt;"",IF(ROW()-ROW(PaymentSchedule33[[#Headers],[Beginning
Balance]])=1,LoanAmount,INDEX(PaymentSchedule33[Ending
Balance],ROW()-ROW(PaymentSchedule33[[#Headers],[Beginning
Balance]])-1)),"")</f>
        <v>288401.56953277846</v>
      </c>
      <c r="E105" s="25">
        <f ca="1">IF(PaymentSchedule33[[#This Row],[Payment Number]]&lt;&gt;"",ScheduledPayment,"")</f>
        <v>1784.9318965153623</v>
      </c>
      <c r="F10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5" s="25">
        <f ca="1">IF(PaymentSchedule33[[#This Row],[Payment Number]]&lt;&gt;"",PaymentSchedule33[[#This Row],[Total
Payment]]-PaymentSchedule33[[#This Row],[Interest]],"")</f>
        <v>583.25869012878525</v>
      </c>
      <c r="I105" s="25">
        <f ca="1">IF(PaymentSchedule33[[#This Row],[Payment Number]]&lt;&gt;"",PaymentSchedule33[[#This Row],[Beginning
Balance]]*(InterestRate/PaymentsPerYear),"")</f>
        <v>1201.673206386577</v>
      </c>
      <c r="J105" s="25">
        <f ca="1">IF(PaymentSchedule33[[#This Row],[Payment Number]]&lt;&gt;"",IF(PaymentSchedule33[[#This Row],[Scheduled Payment]]+PaymentSchedule33[[#This Row],[Extra
Payment]]&lt;=PaymentSchedule33[[#This Row],[Beginning
Balance]],PaymentSchedule33[[#This Row],[Beginning
Balance]]-PaymentSchedule33[[#This Row],[Principal]],0),"")</f>
        <v>287818.31084264966</v>
      </c>
      <c r="K105" s="25">
        <f ca="1">IF(PaymentSchedule33[[#This Row],[Payment Number]]&lt;&gt;"",SUM(INDEX(PaymentSchedule33[Interest],1,1):PaymentSchedule33[[#This Row],[Interest]]),"")</f>
        <v>119532.04532206326</v>
      </c>
      <c r="L105" s="25">
        <f ca="1">IF(PaymentSchedule33[[#This Row],[Payment Number]]&lt;&gt;"",SUM(INDEX(PaymentSchedule33[Principal],1,1):PaymentSchedule33[[#This Row],[Principal]]),"")</f>
        <v>44681.68915735012</v>
      </c>
      <c r="M105" s="25">
        <f ca="1">PaymentSchedule3[[#This Row],[Total
Payment]]-PaymentSchedule33[[#This Row],[Total
Payment]]</f>
        <v>427.19889995542212</v>
      </c>
      <c r="N105" s="25">
        <f ca="1">PaymentSchedule3[[#This Row],[Interest]]-PaymentSchedule33[[#This Row],[Interest]]</f>
        <v>547.7460483858988</v>
      </c>
      <c r="O105" s="25">
        <f ca="1">PaymentSchedule3[[#This Row],[Cumulative
Interest]]-PaymentSchedule33[[#This Row],[Cumulative
Interest]]</f>
        <v>50921.720086831978</v>
      </c>
    </row>
    <row r="106" spans="2:15" x14ac:dyDescent="0.25">
      <c r="B106" s="23">
        <f ca="1">IF(LoanIsGood,IF(ROW()-ROW(PaymentSchedule33[[#Headers],[Payment Number]])&gt;ScheduledNumberOfPayments,"",ROW()-ROW(PaymentSchedule33[[#Headers],[Payment Number]])),"")</f>
        <v>93</v>
      </c>
      <c r="C106" s="24">
        <f ca="1">IF(PaymentSchedule33[[#This Row],[Payment Number]]&lt;&gt;"",EOMONTH(LoanStartDate,ROW(PaymentSchedule33[[#This Row],[Payment Number]])-ROW(PaymentSchedule33[[#Headers],[Payment Number]])-2)+DAY(LoanStartDate),"")</f>
        <v>48268</v>
      </c>
      <c r="D106" s="25">
        <f ca="1">IF(PaymentSchedule33[[#This Row],[Payment Number]]&lt;&gt;"",IF(ROW()-ROW(PaymentSchedule33[[#Headers],[Beginning
Balance]])=1,LoanAmount,INDEX(PaymentSchedule33[Ending
Balance],ROW()-ROW(PaymentSchedule33[[#Headers],[Beginning
Balance]])-1)),"")</f>
        <v>287818.31084264966</v>
      </c>
      <c r="E106" s="25">
        <f ca="1">IF(PaymentSchedule33[[#This Row],[Payment Number]]&lt;&gt;"",ScheduledPayment,"")</f>
        <v>1784.9318965153623</v>
      </c>
      <c r="F10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6" s="25">
        <f ca="1">IF(PaymentSchedule33[[#This Row],[Payment Number]]&lt;&gt;"",PaymentSchedule33[[#This Row],[Total
Payment]]-PaymentSchedule33[[#This Row],[Interest]],"")</f>
        <v>585.6889346709886</v>
      </c>
      <c r="I106" s="25">
        <f ca="1">IF(PaymentSchedule33[[#This Row],[Payment Number]]&lt;&gt;"",PaymentSchedule33[[#This Row],[Beginning
Balance]]*(InterestRate/PaymentsPerYear),"")</f>
        <v>1199.2429618443737</v>
      </c>
      <c r="J106" s="25">
        <f ca="1">IF(PaymentSchedule33[[#This Row],[Payment Number]]&lt;&gt;"",IF(PaymentSchedule33[[#This Row],[Scheduled Payment]]+PaymentSchedule33[[#This Row],[Extra
Payment]]&lt;=PaymentSchedule33[[#This Row],[Beginning
Balance]],PaymentSchedule33[[#This Row],[Beginning
Balance]]-PaymentSchedule33[[#This Row],[Principal]],0),"")</f>
        <v>287232.62190797867</v>
      </c>
      <c r="K106" s="25">
        <f ca="1">IF(PaymentSchedule33[[#This Row],[Payment Number]]&lt;&gt;"",SUM(INDEX(PaymentSchedule33[Interest],1,1):PaymentSchedule33[[#This Row],[Interest]]),"")</f>
        <v>120731.28828390763</v>
      </c>
      <c r="L106" s="25">
        <f ca="1">IF(PaymentSchedule33[[#This Row],[Payment Number]]&lt;&gt;"",SUM(INDEX(PaymentSchedule33[Principal],1,1):PaymentSchedule33[[#This Row],[Principal]]),"")</f>
        <v>45267.378092021107</v>
      </c>
      <c r="M106" s="25">
        <f ca="1">PaymentSchedule3[[#This Row],[Total
Payment]]-PaymentSchedule33[[#This Row],[Total
Payment]]</f>
        <v>427.19889995542212</v>
      </c>
      <c r="N106" s="25">
        <f ca="1">PaymentSchedule3[[#This Row],[Interest]]-PaymentSchedule33[[#This Row],[Interest]]</f>
        <v>547.47714226819517</v>
      </c>
      <c r="O106" s="25">
        <f ca="1">PaymentSchedule3[[#This Row],[Cumulative
Interest]]-PaymentSchedule33[[#This Row],[Cumulative
Interest]]</f>
        <v>51469.197229100188</v>
      </c>
    </row>
    <row r="107" spans="2:15" x14ac:dyDescent="0.25">
      <c r="B107" s="23">
        <f ca="1">IF(LoanIsGood,IF(ROW()-ROW(PaymentSchedule33[[#Headers],[Payment Number]])&gt;ScheduledNumberOfPayments,"",ROW()-ROW(PaymentSchedule33[[#Headers],[Payment Number]])),"")</f>
        <v>94</v>
      </c>
      <c r="C107" s="24">
        <f ca="1">IF(PaymentSchedule33[[#This Row],[Payment Number]]&lt;&gt;"",EOMONTH(LoanStartDate,ROW(PaymentSchedule33[[#This Row],[Payment Number]])-ROW(PaymentSchedule33[[#Headers],[Payment Number]])-2)+DAY(LoanStartDate),"")</f>
        <v>48297</v>
      </c>
      <c r="D107" s="25">
        <f ca="1">IF(PaymentSchedule33[[#This Row],[Payment Number]]&lt;&gt;"",IF(ROW()-ROW(PaymentSchedule33[[#Headers],[Beginning
Balance]])=1,LoanAmount,INDEX(PaymentSchedule33[Ending
Balance],ROW()-ROW(PaymentSchedule33[[#Headers],[Beginning
Balance]])-1)),"")</f>
        <v>287232.62190797867</v>
      </c>
      <c r="E107" s="25">
        <f ca="1">IF(PaymentSchedule33[[#This Row],[Payment Number]]&lt;&gt;"",ScheduledPayment,"")</f>
        <v>1784.9318965153623</v>
      </c>
      <c r="F10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7" s="25">
        <f ca="1">IF(PaymentSchedule33[[#This Row],[Payment Number]]&lt;&gt;"",PaymentSchedule33[[#This Row],[Total
Payment]]-PaymentSchedule33[[#This Row],[Interest]],"")</f>
        <v>588.12930523211776</v>
      </c>
      <c r="I107" s="25">
        <f ca="1">IF(PaymentSchedule33[[#This Row],[Payment Number]]&lt;&gt;"",PaymentSchedule33[[#This Row],[Beginning
Balance]]*(InterestRate/PaymentsPerYear),"")</f>
        <v>1196.8025912832445</v>
      </c>
      <c r="J107" s="25">
        <f ca="1">IF(PaymentSchedule33[[#This Row],[Payment Number]]&lt;&gt;"",IF(PaymentSchedule33[[#This Row],[Scheduled Payment]]+PaymentSchedule33[[#This Row],[Extra
Payment]]&lt;=PaymentSchedule33[[#This Row],[Beginning
Balance]],PaymentSchedule33[[#This Row],[Beginning
Balance]]-PaymentSchedule33[[#This Row],[Principal]],0),"")</f>
        <v>286644.49260274653</v>
      </c>
      <c r="K107" s="25">
        <f ca="1">IF(PaymentSchedule33[[#This Row],[Payment Number]]&lt;&gt;"",SUM(INDEX(PaymentSchedule33[Interest],1,1):PaymentSchedule33[[#This Row],[Interest]]),"")</f>
        <v>121928.09087519087</v>
      </c>
      <c r="L107" s="25">
        <f ca="1">IF(PaymentSchedule33[[#This Row],[Payment Number]]&lt;&gt;"",SUM(INDEX(PaymentSchedule33[Principal],1,1):PaymentSchedule33[[#This Row],[Principal]]),"")</f>
        <v>45855.507397253226</v>
      </c>
      <c r="M107" s="25">
        <f ca="1">PaymentSchedule3[[#This Row],[Total
Payment]]-PaymentSchedule33[[#This Row],[Total
Payment]]</f>
        <v>427.19889995542212</v>
      </c>
      <c r="N107" s="25">
        <f ca="1">PaymentSchedule3[[#This Row],[Interest]]-PaymentSchedule33[[#This Row],[Interest]]</f>
        <v>547.20261712390152</v>
      </c>
      <c r="O107" s="25">
        <f ca="1">PaymentSchedule3[[#This Row],[Cumulative
Interest]]-PaymentSchedule33[[#This Row],[Cumulative
Interest]]</f>
        <v>52016.3998462241</v>
      </c>
    </row>
    <row r="108" spans="2:15" x14ac:dyDescent="0.25">
      <c r="B108" s="23">
        <f ca="1">IF(LoanIsGood,IF(ROW()-ROW(PaymentSchedule33[[#Headers],[Payment Number]])&gt;ScheduledNumberOfPayments,"",ROW()-ROW(PaymentSchedule33[[#Headers],[Payment Number]])),"")</f>
        <v>95</v>
      </c>
      <c r="C108" s="24">
        <f ca="1">IF(PaymentSchedule33[[#This Row],[Payment Number]]&lt;&gt;"",EOMONTH(LoanStartDate,ROW(PaymentSchedule33[[#This Row],[Payment Number]])-ROW(PaymentSchedule33[[#Headers],[Payment Number]])-2)+DAY(LoanStartDate),"")</f>
        <v>48328</v>
      </c>
      <c r="D108" s="25">
        <f ca="1">IF(PaymentSchedule33[[#This Row],[Payment Number]]&lt;&gt;"",IF(ROW()-ROW(PaymentSchedule33[[#Headers],[Beginning
Balance]])=1,LoanAmount,INDEX(PaymentSchedule33[Ending
Balance],ROW()-ROW(PaymentSchedule33[[#Headers],[Beginning
Balance]])-1)),"")</f>
        <v>286644.49260274653</v>
      </c>
      <c r="E108" s="25">
        <f ca="1">IF(PaymentSchedule33[[#This Row],[Payment Number]]&lt;&gt;"",ScheduledPayment,"")</f>
        <v>1784.9318965153623</v>
      </c>
      <c r="F10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8" s="25">
        <f ca="1">IF(PaymentSchedule33[[#This Row],[Payment Number]]&lt;&gt;"",PaymentSchedule33[[#This Row],[Total
Payment]]-PaymentSchedule33[[#This Row],[Interest]],"")</f>
        <v>590.57984400391842</v>
      </c>
      <c r="I108" s="25">
        <f ca="1">IF(PaymentSchedule33[[#This Row],[Payment Number]]&lt;&gt;"",PaymentSchedule33[[#This Row],[Beginning
Balance]]*(InterestRate/PaymentsPerYear),"")</f>
        <v>1194.3520525114438</v>
      </c>
      <c r="J108" s="25">
        <f ca="1">IF(PaymentSchedule33[[#This Row],[Payment Number]]&lt;&gt;"",IF(PaymentSchedule33[[#This Row],[Scheduled Payment]]+PaymentSchedule33[[#This Row],[Extra
Payment]]&lt;=PaymentSchedule33[[#This Row],[Beginning
Balance]],PaymentSchedule33[[#This Row],[Beginning
Balance]]-PaymentSchedule33[[#This Row],[Principal]],0),"")</f>
        <v>286053.91275874263</v>
      </c>
      <c r="K108" s="25">
        <f ca="1">IF(PaymentSchedule33[[#This Row],[Payment Number]]&lt;&gt;"",SUM(INDEX(PaymentSchedule33[Interest],1,1):PaymentSchedule33[[#This Row],[Interest]]),"")</f>
        <v>123122.44292770232</v>
      </c>
      <c r="L108" s="25">
        <f ca="1">IF(PaymentSchedule33[[#This Row],[Payment Number]]&lt;&gt;"",SUM(INDEX(PaymentSchedule33[Principal],1,1):PaymentSchedule33[[#This Row],[Principal]]),"")</f>
        <v>46446.087241257148</v>
      </c>
      <c r="M108" s="25">
        <f ca="1">PaymentSchedule3[[#This Row],[Total
Payment]]-PaymentSchedule33[[#This Row],[Total
Payment]]</f>
        <v>427.19889995542212</v>
      </c>
      <c r="N108" s="25">
        <f ca="1">PaymentSchedule3[[#This Row],[Interest]]-PaymentSchedule33[[#This Row],[Interest]]</f>
        <v>546.9224232986644</v>
      </c>
      <c r="O108" s="25">
        <f ca="1">PaymentSchedule3[[#This Row],[Cumulative
Interest]]-PaymentSchedule33[[#This Row],[Cumulative
Interest]]</f>
        <v>52563.322269522774</v>
      </c>
    </row>
    <row r="109" spans="2:15" x14ac:dyDescent="0.25">
      <c r="B109" s="23">
        <f ca="1">IF(LoanIsGood,IF(ROW()-ROW(PaymentSchedule33[[#Headers],[Payment Number]])&gt;ScheduledNumberOfPayments,"",ROW()-ROW(PaymentSchedule33[[#Headers],[Payment Number]])),"")</f>
        <v>96</v>
      </c>
      <c r="C109" s="24">
        <f ca="1">IF(PaymentSchedule33[[#This Row],[Payment Number]]&lt;&gt;"",EOMONTH(LoanStartDate,ROW(PaymentSchedule33[[#This Row],[Payment Number]])-ROW(PaymentSchedule33[[#Headers],[Payment Number]])-2)+DAY(LoanStartDate),"")</f>
        <v>48358</v>
      </c>
      <c r="D109" s="25">
        <f ca="1">IF(PaymentSchedule33[[#This Row],[Payment Number]]&lt;&gt;"",IF(ROW()-ROW(PaymentSchedule33[[#Headers],[Beginning
Balance]])=1,LoanAmount,INDEX(PaymentSchedule33[Ending
Balance],ROW()-ROW(PaymentSchedule33[[#Headers],[Beginning
Balance]])-1)),"")</f>
        <v>286053.91275874263</v>
      </c>
      <c r="E109" s="25">
        <f ca="1">IF(PaymentSchedule33[[#This Row],[Payment Number]]&lt;&gt;"",ScheduledPayment,"")</f>
        <v>1784.9318965153623</v>
      </c>
      <c r="F10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0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09" s="25">
        <f ca="1">IF(PaymentSchedule33[[#This Row],[Payment Number]]&lt;&gt;"",PaymentSchedule33[[#This Row],[Total
Payment]]-PaymentSchedule33[[#This Row],[Interest]],"")</f>
        <v>593.04059335393458</v>
      </c>
      <c r="I109" s="25">
        <f ca="1">IF(PaymentSchedule33[[#This Row],[Payment Number]]&lt;&gt;"",PaymentSchedule33[[#This Row],[Beginning
Balance]]*(InterestRate/PaymentsPerYear),"")</f>
        <v>1191.8913031614277</v>
      </c>
      <c r="J109" s="25">
        <f ca="1">IF(PaymentSchedule33[[#This Row],[Payment Number]]&lt;&gt;"",IF(PaymentSchedule33[[#This Row],[Scheduled Payment]]+PaymentSchedule33[[#This Row],[Extra
Payment]]&lt;=PaymentSchedule33[[#This Row],[Beginning
Balance]],PaymentSchedule33[[#This Row],[Beginning
Balance]]-PaymentSchedule33[[#This Row],[Principal]],0),"")</f>
        <v>285460.87216538872</v>
      </c>
      <c r="K109" s="25">
        <f ca="1">IF(PaymentSchedule33[[#This Row],[Payment Number]]&lt;&gt;"",SUM(INDEX(PaymentSchedule33[Interest],1,1):PaymentSchedule33[[#This Row],[Interest]]),"")</f>
        <v>124314.33423086374</v>
      </c>
      <c r="L109" s="25">
        <f ca="1">IF(PaymentSchedule33[[#This Row],[Payment Number]]&lt;&gt;"",SUM(INDEX(PaymentSchedule33[Principal],1,1):PaymentSchedule33[[#This Row],[Principal]]),"")</f>
        <v>47039.127834611085</v>
      </c>
      <c r="M109" s="25">
        <f ca="1">PaymentSchedule3[[#This Row],[Total
Payment]]-PaymentSchedule33[[#This Row],[Total
Payment]]</f>
        <v>427.19889995542212</v>
      </c>
      <c r="N109" s="25">
        <f ca="1">PaymentSchedule3[[#This Row],[Interest]]-PaymentSchedule33[[#This Row],[Interest]]</f>
        <v>546.63651077815985</v>
      </c>
      <c r="O109" s="25">
        <f ca="1">PaymentSchedule3[[#This Row],[Cumulative
Interest]]-PaymentSchedule33[[#This Row],[Cumulative
Interest]]</f>
        <v>53109.958780300934</v>
      </c>
    </row>
    <row r="110" spans="2:15" x14ac:dyDescent="0.25">
      <c r="B110" s="23">
        <f ca="1">IF(LoanIsGood,IF(ROW()-ROW(PaymentSchedule33[[#Headers],[Payment Number]])&gt;ScheduledNumberOfPayments,"",ROW()-ROW(PaymentSchedule33[[#Headers],[Payment Number]])),"")</f>
        <v>97</v>
      </c>
      <c r="C110" s="24">
        <f ca="1">IF(PaymentSchedule33[[#This Row],[Payment Number]]&lt;&gt;"",EOMONTH(LoanStartDate,ROW(PaymentSchedule33[[#This Row],[Payment Number]])-ROW(PaymentSchedule33[[#Headers],[Payment Number]])-2)+DAY(LoanStartDate),"")</f>
        <v>48389</v>
      </c>
      <c r="D110" s="25">
        <f ca="1">IF(PaymentSchedule33[[#This Row],[Payment Number]]&lt;&gt;"",IF(ROW()-ROW(PaymentSchedule33[[#Headers],[Beginning
Balance]])=1,LoanAmount,INDEX(PaymentSchedule33[Ending
Balance],ROW()-ROW(PaymentSchedule33[[#Headers],[Beginning
Balance]])-1)),"")</f>
        <v>285460.87216538872</v>
      </c>
      <c r="E110" s="25">
        <f ca="1">IF(PaymentSchedule33[[#This Row],[Payment Number]]&lt;&gt;"",ScheduledPayment,"")</f>
        <v>1784.9318965153623</v>
      </c>
      <c r="F11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0" s="25">
        <f ca="1">IF(PaymentSchedule33[[#This Row],[Payment Number]]&lt;&gt;"",PaymentSchedule33[[#This Row],[Total
Payment]]-PaymentSchedule33[[#This Row],[Interest]],"")</f>
        <v>595.51159582624268</v>
      </c>
      <c r="I110" s="25">
        <f ca="1">IF(PaymentSchedule33[[#This Row],[Payment Number]]&lt;&gt;"",PaymentSchedule33[[#This Row],[Beginning
Balance]]*(InterestRate/PaymentsPerYear),"")</f>
        <v>1189.4203006891196</v>
      </c>
      <c r="J110" s="25">
        <f ca="1">IF(PaymentSchedule33[[#This Row],[Payment Number]]&lt;&gt;"",IF(PaymentSchedule33[[#This Row],[Scheduled Payment]]+PaymentSchedule33[[#This Row],[Extra
Payment]]&lt;=PaymentSchedule33[[#This Row],[Beginning
Balance]],PaymentSchedule33[[#This Row],[Beginning
Balance]]-PaymentSchedule33[[#This Row],[Principal]],0),"")</f>
        <v>284865.36056956247</v>
      </c>
      <c r="K110" s="25">
        <f ca="1">IF(PaymentSchedule33[[#This Row],[Payment Number]]&lt;&gt;"",SUM(INDEX(PaymentSchedule33[Interest],1,1):PaymentSchedule33[[#This Row],[Interest]]),"")</f>
        <v>125503.75453155286</v>
      </c>
      <c r="L110" s="25">
        <f ca="1">IF(PaymentSchedule33[[#This Row],[Payment Number]]&lt;&gt;"",SUM(INDEX(PaymentSchedule33[Principal],1,1):PaymentSchedule33[[#This Row],[Principal]]),"")</f>
        <v>47634.639430437324</v>
      </c>
      <c r="M110" s="25">
        <f ca="1">PaymentSchedule3[[#This Row],[Total
Payment]]-PaymentSchedule33[[#This Row],[Total
Payment]]</f>
        <v>427.19889995542212</v>
      </c>
      <c r="N110" s="25">
        <f ca="1">PaymentSchedule3[[#This Row],[Interest]]-PaymentSchedule33[[#This Row],[Interest]]</f>
        <v>546.34482918570279</v>
      </c>
      <c r="O110" s="25">
        <f ca="1">PaymentSchedule3[[#This Row],[Cumulative
Interest]]-PaymentSchedule33[[#This Row],[Cumulative
Interest]]</f>
        <v>53656.303609486626</v>
      </c>
    </row>
    <row r="111" spans="2:15" x14ac:dyDescent="0.25">
      <c r="B111" s="23">
        <f ca="1">IF(LoanIsGood,IF(ROW()-ROW(PaymentSchedule33[[#Headers],[Payment Number]])&gt;ScheduledNumberOfPayments,"",ROW()-ROW(PaymentSchedule33[[#Headers],[Payment Number]])),"")</f>
        <v>98</v>
      </c>
      <c r="C111" s="24">
        <f ca="1">IF(PaymentSchedule33[[#This Row],[Payment Number]]&lt;&gt;"",EOMONTH(LoanStartDate,ROW(PaymentSchedule33[[#This Row],[Payment Number]])-ROW(PaymentSchedule33[[#Headers],[Payment Number]])-2)+DAY(LoanStartDate),"")</f>
        <v>48419</v>
      </c>
      <c r="D111" s="25">
        <f ca="1">IF(PaymentSchedule33[[#This Row],[Payment Number]]&lt;&gt;"",IF(ROW()-ROW(PaymentSchedule33[[#Headers],[Beginning
Balance]])=1,LoanAmount,INDEX(PaymentSchedule33[Ending
Balance],ROW()-ROW(PaymentSchedule33[[#Headers],[Beginning
Balance]])-1)),"")</f>
        <v>284865.36056956247</v>
      </c>
      <c r="E111" s="25">
        <f ca="1">IF(PaymentSchedule33[[#This Row],[Payment Number]]&lt;&gt;"",ScheduledPayment,"")</f>
        <v>1784.9318965153623</v>
      </c>
      <c r="F11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1" s="25">
        <f ca="1">IF(PaymentSchedule33[[#This Row],[Payment Number]]&lt;&gt;"",PaymentSchedule33[[#This Row],[Total
Payment]]-PaymentSchedule33[[#This Row],[Interest]],"")</f>
        <v>597.99289414218538</v>
      </c>
      <c r="I111" s="25">
        <f ca="1">IF(PaymentSchedule33[[#This Row],[Payment Number]]&lt;&gt;"",PaymentSchedule33[[#This Row],[Beginning
Balance]]*(InterestRate/PaymentsPerYear),"")</f>
        <v>1186.9390023731769</v>
      </c>
      <c r="J111" s="25">
        <f ca="1">IF(PaymentSchedule33[[#This Row],[Payment Number]]&lt;&gt;"",IF(PaymentSchedule33[[#This Row],[Scheduled Payment]]+PaymentSchedule33[[#This Row],[Extra
Payment]]&lt;=PaymentSchedule33[[#This Row],[Beginning
Balance]],PaymentSchedule33[[#This Row],[Beginning
Balance]]-PaymentSchedule33[[#This Row],[Principal]],0),"")</f>
        <v>284267.3676754203</v>
      </c>
      <c r="K111" s="25">
        <f ca="1">IF(PaymentSchedule33[[#This Row],[Payment Number]]&lt;&gt;"",SUM(INDEX(PaymentSchedule33[Interest],1,1):PaymentSchedule33[[#This Row],[Interest]]),"")</f>
        <v>126690.69353392604</v>
      </c>
      <c r="L111" s="25">
        <f ca="1">IF(PaymentSchedule33[[#This Row],[Payment Number]]&lt;&gt;"",SUM(INDEX(PaymentSchedule33[Principal],1,1):PaymentSchedule33[[#This Row],[Principal]]),"")</f>
        <v>48232.632324579507</v>
      </c>
      <c r="M111" s="25">
        <f ca="1">PaymentSchedule3[[#This Row],[Total
Payment]]-PaymentSchedule33[[#This Row],[Total
Payment]]</f>
        <v>427.19889995542212</v>
      </c>
      <c r="N111" s="25">
        <f ca="1">PaymentSchedule3[[#This Row],[Interest]]-PaymentSchedule33[[#This Row],[Interest]]</f>
        <v>546.04732777983554</v>
      </c>
      <c r="O111" s="25">
        <f ca="1">PaymentSchedule3[[#This Row],[Cumulative
Interest]]-PaymentSchedule33[[#This Row],[Cumulative
Interest]]</f>
        <v>54202.350937266456</v>
      </c>
    </row>
    <row r="112" spans="2:15" x14ac:dyDescent="0.25">
      <c r="B112" s="23">
        <f ca="1">IF(LoanIsGood,IF(ROW()-ROW(PaymentSchedule33[[#Headers],[Payment Number]])&gt;ScheduledNumberOfPayments,"",ROW()-ROW(PaymentSchedule33[[#Headers],[Payment Number]])),"")</f>
        <v>99</v>
      </c>
      <c r="C112" s="24">
        <f ca="1">IF(PaymentSchedule33[[#This Row],[Payment Number]]&lt;&gt;"",EOMONTH(LoanStartDate,ROW(PaymentSchedule33[[#This Row],[Payment Number]])-ROW(PaymentSchedule33[[#Headers],[Payment Number]])-2)+DAY(LoanStartDate),"")</f>
        <v>48450</v>
      </c>
      <c r="D112" s="25">
        <f ca="1">IF(PaymentSchedule33[[#This Row],[Payment Number]]&lt;&gt;"",IF(ROW()-ROW(PaymentSchedule33[[#Headers],[Beginning
Balance]])=1,LoanAmount,INDEX(PaymentSchedule33[Ending
Balance],ROW()-ROW(PaymentSchedule33[[#Headers],[Beginning
Balance]])-1)),"")</f>
        <v>284267.3676754203</v>
      </c>
      <c r="E112" s="25">
        <f ca="1">IF(PaymentSchedule33[[#This Row],[Payment Number]]&lt;&gt;"",ScheduledPayment,"")</f>
        <v>1784.9318965153623</v>
      </c>
      <c r="F11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2" s="25">
        <f ca="1">IF(PaymentSchedule33[[#This Row],[Payment Number]]&lt;&gt;"",PaymentSchedule33[[#This Row],[Total
Payment]]-PaymentSchedule33[[#This Row],[Interest]],"")</f>
        <v>600.48453120111094</v>
      </c>
      <c r="I112" s="25">
        <f ca="1">IF(PaymentSchedule33[[#This Row],[Payment Number]]&lt;&gt;"",PaymentSchedule33[[#This Row],[Beginning
Balance]]*(InterestRate/PaymentsPerYear),"")</f>
        <v>1184.4473653142513</v>
      </c>
      <c r="J112" s="25">
        <f ca="1">IF(PaymentSchedule33[[#This Row],[Payment Number]]&lt;&gt;"",IF(PaymentSchedule33[[#This Row],[Scheduled Payment]]+PaymentSchedule33[[#This Row],[Extra
Payment]]&lt;=PaymentSchedule33[[#This Row],[Beginning
Balance]],PaymentSchedule33[[#This Row],[Beginning
Balance]]-PaymentSchedule33[[#This Row],[Principal]],0),"")</f>
        <v>283666.88314421917</v>
      </c>
      <c r="K112" s="25">
        <f ca="1">IF(PaymentSchedule33[[#This Row],[Payment Number]]&lt;&gt;"",SUM(INDEX(PaymentSchedule33[Interest],1,1):PaymentSchedule33[[#This Row],[Interest]]),"")</f>
        <v>127875.14089924029</v>
      </c>
      <c r="L112" s="25">
        <f ca="1">IF(PaymentSchedule33[[#This Row],[Payment Number]]&lt;&gt;"",SUM(INDEX(PaymentSchedule33[Principal],1,1):PaymentSchedule33[[#This Row],[Principal]]),"")</f>
        <v>48833.116855780616</v>
      </c>
      <c r="M112" s="25">
        <f ca="1">PaymentSchedule3[[#This Row],[Total
Payment]]-PaymentSchedule33[[#This Row],[Total
Payment]]</f>
        <v>427.19889995542212</v>
      </c>
      <c r="N112" s="25">
        <f ca="1">PaymentSchedule3[[#This Row],[Interest]]-PaymentSchedule33[[#This Row],[Interest]]</f>
        <v>545.74395545190737</v>
      </c>
      <c r="O112" s="25">
        <f ca="1">PaymentSchedule3[[#This Row],[Cumulative
Interest]]-PaymentSchedule33[[#This Row],[Cumulative
Interest]]</f>
        <v>54748.094892718378</v>
      </c>
    </row>
    <row r="113" spans="2:15" x14ac:dyDescent="0.25">
      <c r="B113" s="23">
        <f ca="1">IF(LoanIsGood,IF(ROW()-ROW(PaymentSchedule33[[#Headers],[Payment Number]])&gt;ScheduledNumberOfPayments,"",ROW()-ROW(PaymentSchedule33[[#Headers],[Payment Number]])),"")</f>
        <v>100</v>
      </c>
      <c r="C113" s="24">
        <f ca="1">IF(PaymentSchedule33[[#This Row],[Payment Number]]&lt;&gt;"",EOMONTH(LoanStartDate,ROW(PaymentSchedule33[[#This Row],[Payment Number]])-ROW(PaymentSchedule33[[#Headers],[Payment Number]])-2)+DAY(LoanStartDate),"")</f>
        <v>48481</v>
      </c>
      <c r="D113" s="25">
        <f ca="1">IF(PaymentSchedule33[[#This Row],[Payment Number]]&lt;&gt;"",IF(ROW()-ROW(PaymentSchedule33[[#Headers],[Beginning
Balance]])=1,LoanAmount,INDEX(PaymentSchedule33[Ending
Balance],ROW()-ROW(PaymentSchedule33[[#Headers],[Beginning
Balance]])-1)),"")</f>
        <v>283666.88314421917</v>
      </c>
      <c r="E113" s="25">
        <f ca="1">IF(PaymentSchedule33[[#This Row],[Payment Number]]&lt;&gt;"",ScheduledPayment,"")</f>
        <v>1784.9318965153623</v>
      </c>
      <c r="F11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3" s="25">
        <f ca="1">IF(PaymentSchedule33[[#This Row],[Payment Number]]&lt;&gt;"",PaymentSchedule33[[#This Row],[Total
Payment]]-PaymentSchedule33[[#This Row],[Interest]],"")</f>
        <v>602.98655008111564</v>
      </c>
      <c r="I113" s="25">
        <f ca="1">IF(PaymentSchedule33[[#This Row],[Payment Number]]&lt;&gt;"",PaymentSchedule33[[#This Row],[Beginning
Balance]]*(InterestRate/PaymentsPerYear),"")</f>
        <v>1181.9453464342466</v>
      </c>
      <c r="J113" s="25">
        <f ca="1">IF(PaymentSchedule33[[#This Row],[Payment Number]]&lt;&gt;"",IF(PaymentSchedule33[[#This Row],[Scheduled Payment]]+PaymentSchedule33[[#This Row],[Extra
Payment]]&lt;=PaymentSchedule33[[#This Row],[Beginning
Balance]],PaymentSchedule33[[#This Row],[Beginning
Balance]]-PaymentSchedule33[[#This Row],[Principal]],0),"")</f>
        <v>283063.89659413806</v>
      </c>
      <c r="K113" s="25">
        <f ca="1">IF(PaymentSchedule33[[#This Row],[Payment Number]]&lt;&gt;"",SUM(INDEX(PaymentSchedule33[Interest],1,1):PaymentSchedule33[[#This Row],[Interest]]),"")</f>
        <v>129057.08624567454</v>
      </c>
      <c r="L113" s="25">
        <f ca="1">IF(PaymentSchedule33[[#This Row],[Payment Number]]&lt;&gt;"",SUM(INDEX(PaymentSchedule33[Principal],1,1):PaymentSchedule33[[#This Row],[Principal]]),"")</f>
        <v>49436.10340586173</v>
      </c>
      <c r="M113" s="25">
        <f ca="1">PaymentSchedule3[[#This Row],[Total
Payment]]-PaymentSchedule33[[#This Row],[Total
Payment]]</f>
        <v>427.19889995542212</v>
      </c>
      <c r="N113" s="25">
        <f ca="1">PaymentSchedule3[[#This Row],[Interest]]-PaymentSchedule33[[#This Row],[Interest]]</f>
        <v>545.43466072363503</v>
      </c>
      <c r="O113" s="25">
        <f ca="1">PaymentSchedule3[[#This Row],[Cumulative
Interest]]-PaymentSchedule33[[#This Row],[Cumulative
Interest]]</f>
        <v>55293.529553442015</v>
      </c>
    </row>
    <row r="114" spans="2:15" x14ac:dyDescent="0.25">
      <c r="B114" s="23">
        <f ca="1">IF(LoanIsGood,IF(ROW()-ROW(PaymentSchedule33[[#Headers],[Payment Number]])&gt;ScheduledNumberOfPayments,"",ROW()-ROW(PaymentSchedule33[[#Headers],[Payment Number]])),"")</f>
        <v>101</v>
      </c>
      <c r="C114" s="24">
        <f ca="1">IF(PaymentSchedule33[[#This Row],[Payment Number]]&lt;&gt;"",EOMONTH(LoanStartDate,ROW(PaymentSchedule33[[#This Row],[Payment Number]])-ROW(PaymentSchedule33[[#Headers],[Payment Number]])-2)+DAY(LoanStartDate),"")</f>
        <v>48511</v>
      </c>
      <c r="D114" s="25">
        <f ca="1">IF(PaymentSchedule33[[#This Row],[Payment Number]]&lt;&gt;"",IF(ROW()-ROW(PaymentSchedule33[[#Headers],[Beginning
Balance]])=1,LoanAmount,INDEX(PaymentSchedule33[Ending
Balance],ROW()-ROW(PaymentSchedule33[[#Headers],[Beginning
Balance]])-1)),"")</f>
        <v>283063.89659413806</v>
      </c>
      <c r="E114" s="25">
        <f ca="1">IF(PaymentSchedule33[[#This Row],[Payment Number]]&lt;&gt;"",ScheduledPayment,"")</f>
        <v>1784.9318965153623</v>
      </c>
      <c r="F11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4" s="25">
        <f ca="1">IF(PaymentSchedule33[[#This Row],[Payment Number]]&lt;&gt;"",PaymentSchedule33[[#This Row],[Total
Payment]]-PaymentSchedule33[[#This Row],[Interest]],"")</f>
        <v>605.49899403978702</v>
      </c>
      <c r="I114" s="25">
        <f ca="1">IF(PaymentSchedule33[[#This Row],[Payment Number]]&lt;&gt;"",PaymentSchedule33[[#This Row],[Beginning
Balance]]*(InterestRate/PaymentsPerYear),"")</f>
        <v>1179.4329024755752</v>
      </c>
      <c r="J114" s="25">
        <f ca="1">IF(PaymentSchedule33[[#This Row],[Payment Number]]&lt;&gt;"",IF(PaymentSchedule33[[#This Row],[Scheduled Payment]]+PaymentSchedule33[[#This Row],[Extra
Payment]]&lt;=PaymentSchedule33[[#This Row],[Beginning
Balance]],PaymentSchedule33[[#This Row],[Beginning
Balance]]-PaymentSchedule33[[#This Row],[Principal]],0),"")</f>
        <v>282458.39760009828</v>
      </c>
      <c r="K114" s="25">
        <f ca="1">IF(PaymentSchedule33[[#This Row],[Payment Number]]&lt;&gt;"",SUM(INDEX(PaymentSchedule33[Interest],1,1):PaymentSchedule33[[#This Row],[Interest]]),"")</f>
        <v>130236.51914815011</v>
      </c>
      <c r="L114" s="25">
        <f ca="1">IF(PaymentSchedule33[[#This Row],[Payment Number]]&lt;&gt;"",SUM(INDEX(PaymentSchedule33[Principal],1,1):PaymentSchedule33[[#This Row],[Principal]]),"")</f>
        <v>50041.602399901516</v>
      </c>
      <c r="M114" s="25">
        <f ca="1">PaymentSchedule3[[#This Row],[Total
Payment]]-PaymentSchedule33[[#This Row],[Total
Payment]]</f>
        <v>427.19889995542212</v>
      </c>
      <c r="N114" s="25">
        <f ca="1">PaymentSchedule3[[#This Row],[Interest]]-PaymentSchedule33[[#This Row],[Interest]]</f>
        <v>545.11939174464806</v>
      </c>
      <c r="O114" s="25">
        <f ca="1">PaymentSchedule3[[#This Row],[Cumulative
Interest]]-PaymentSchedule33[[#This Row],[Cumulative
Interest]]</f>
        <v>55838.648945186666</v>
      </c>
    </row>
    <row r="115" spans="2:15" x14ac:dyDescent="0.25">
      <c r="B115" s="23">
        <f ca="1">IF(LoanIsGood,IF(ROW()-ROW(PaymentSchedule33[[#Headers],[Payment Number]])&gt;ScheduledNumberOfPayments,"",ROW()-ROW(PaymentSchedule33[[#Headers],[Payment Number]])),"")</f>
        <v>102</v>
      </c>
      <c r="C115" s="24">
        <f ca="1">IF(PaymentSchedule33[[#This Row],[Payment Number]]&lt;&gt;"",EOMONTH(LoanStartDate,ROW(PaymentSchedule33[[#This Row],[Payment Number]])-ROW(PaymentSchedule33[[#Headers],[Payment Number]])-2)+DAY(LoanStartDate),"")</f>
        <v>48542</v>
      </c>
      <c r="D115" s="25">
        <f ca="1">IF(PaymentSchedule33[[#This Row],[Payment Number]]&lt;&gt;"",IF(ROW()-ROW(PaymentSchedule33[[#Headers],[Beginning
Balance]])=1,LoanAmount,INDEX(PaymentSchedule33[Ending
Balance],ROW()-ROW(PaymentSchedule33[[#Headers],[Beginning
Balance]])-1)),"")</f>
        <v>282458.39760009828</v>
      </c>
      <c r="E115" s="25">
        <f ca="1">IF(PaymentSchedule33[[#This Row],[Payment Number]]&lt;&gt;"",ScheduledPayment,"")</f>
        <v>1784.9318965153623</v>
      </c>
      <c r="F11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5" s="25">
        <f ca="1">IF(PaymentSchedule33[[#This Row],[Payment Number]]&lt;&gt;"",PaymentSchedule33[[#This Row],[Total
Payment]]-PaymentSchedule33[[#This Row],[Interest]],"")</f>
        <v>608.02190651495289</v>
      </c>
      <c r="I115" s="25">
        <f ca="1">IF(PaymentSchedule33[[#This Row],[Payment Number]]&lt;&gt;"",PaymentSchedule33[[#This Row],[Beginning
Balance]]*(InterestRate/PaymentsPerYear),"")</f>
        <v>1176.9099900004094</v>
      </c>
      <c r="J115" s="25">
        <f ca="1">IF(PaymentSchedule33[[#This Row],[Payment Number]]&lt;&gt;"",IF(PaymentSchedule33[[#This Row],[Scheduled Payment]]+PaymentSchedule33[[#This Row],[Extra
Payment]]&lt;=PaymentSchedule33[[#This Row],[Beginning
Balance]],PaymentSchedule33[[#This Row],[Beginning
Balance]]-PaymentSchedule33[[#This Row],[Principal]],0),"")</f>
        <v>281850.37569358334</v>
      </c>
      <c r="K115" s="25">
        <f ca="1">IF(PaymentSchedule33[[#This Row],[Payment Number]]&lt;&gt;"",SUM(INDEX(PaymentSchedule33[Interest],1,1):PaymentSchedule33[[#This Row],[Interest]]),"")</f>
        <v>131413.42913815053</v>
      </c>
      <c r="L115" s="25">
        <f ca="1">IF(PaymentSchedule33[[#This Row],[Payment Number]]&lt;&gt;"",SUM(INDEX(PaymentSchedule33[Principal],1,1):PaymentSchedule33[[#This Row],[Principal]]),"")</f>
        <v>50649.624306416466</v>
      </c>
      <c r="M115" s="25">
        <f ca="1">PaymentSchedule3[[#This Row],[Total
Payment]]-PaymentSchedule33[[#This Row],[Total
Payment]]</f>
        <v>427.19889995542212</v>
      </c>
      <c r="N115" s="25">
        <f ca="1">PaymentSchedule3[[#This Row],[Interest]]-PaymentSchedule33[[#This Row],[Interest]]</f>
        <v>544.79809629001898</v>
      </c>
      <c r="O115" s="25">
        <f ca="1">PaymentSchedule3[[#This Row],[Cumulative
Interest]]-PaymentSchedule33[[#This Row],[Cumulative
Interest]]</f>
        <v>56383.447041476669</v>
      </c>
    </row>
    <row r="116" spans="2:15" x14ac:dyDescent="0.25">
      <c r="B116" s="23">
        <f ca="1">IF(LoanIsGood,IF(ROW()-ROW(PaymentSchedule33[[#Headers],[Payment Number]])&gt;ScheduledNumberOfPayments,"",ROW()-ROW(PaymentSchedule33[[#Headers],[Payment Number]])),"")</f>
        <v>103</v>
      </c>
      <c r="C116" s="24">
        <f ca="1">IF(PaymentSchedule33[[#This Row],[Payment Number]]&lt;&gt;"",EOMONTH(LoanStartDate,ROW(PaymentSchedule33[[#This Row],[Payment Number]])-ROW(PaymentSchedule33[[#Headers],[Payment Number]])-2)+DAY(LoanStartDate),"")</f>
        <v>48572</v>
      </c>
      <c r="D116" s="25">
        <f ca="1">IF(PaymentSchedule33[[#This Row],[Payment Number]]&lt;&gt;"",IF(ROW()-ROW(PaymentSchedule33[[#Headers],[Beginning
Balance]])=1,LoanAmount,INDEX(PaymentSchedule33[Ending
Balance],ROW()-ROW(PaymentSchedule33[[#Headers],[Beginning
Balance]])-1)),"")</f>
        <v>281850.37569358334</v>
      </c>
      <c r="E116" s="25">
        <f ca="1">IF(PaymentSchedule33[[#This Row],[Payment Number]]&lt;&gt;"",ScheduledPayment,"")</f>
        <v>1784.9318965153623</v>
      </c>
      <c r="F11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6" s="25">
        <f ca="1">IF(PaymentSchedule33[[#This Row],[Payment Number]]&lt;&gt;"",PaymentSchedule33[[#This Row],[Total
Payment]]-PaymentSchedule33[[#This Row],[Interest]],"")</f>
        <v>610.55533112543162</v>
      </c>
      <c r="I116" s="25">
        <f ca="1">IF(PaymentSchedule33[[#This Row],[Payment Number]]&lt;&gt;"",PaymentSchedule33[[#This Row],[Beginning
Balance]]*(InterestRate/PaymentsPerYear),"")</f>
        <v>1174.3765653899306</v>
      </c>
      <c r="J116" s="25">
        <f ca="1">IF(PaymentSchedule33[[#This Row],[Payment Number]]&lt;&gt;"",IF(PaymentSchedule33[[#This Row],[Scheduled Payment]]+PaymentSchedule33[[#This Row],[Extra
Payment]]&lt;=PaymentSchedule33[[#This Row],[Beginning
Balance]],PaymentSchedule33[[#This Row],[Beginning
Balance]]-PaymentSchedule33[[#This Row],[Principal]],0),"")</f>
        <v>281239.82036245789</v>
      </c>
      <c r="K116" s="25">
        <f ca="1">IF(PaymentSchedule33[[#This Row],[Payment Number]]&lt;&gt;"",SUM(INDEX(PaymentSchedule33[Interest],1,1):PaymentSchedule33[[#This Row],[Interest]]),"")</f>
        <v>132587.80570354045</v>
      </c>
      <c r="L116" s="25">
        <f ca="1">IF(PaymentSchedule33[[#This Row],[Payment Number]]&lt;&gt;"",SUM(INDEX(PaymentSchedule33[Principal],1,1):PaymentSchedule33[[#This Row],[Principal]]),"")</f>
        <v>51260.1796375419</v>
      </c>
      <c r="M116" s="25">
        <f ca="1">PaymentSchedule3[[#This Row],[Total
Payment]]-PaymentSchedule33[[#This Row],[Total
Payment]]</f>
        <v>427.19889995542212</v>
      </c>
      <c r="N116" s="25">
        <f ca="1">PaymentSchedule3[[#This Row],[Interest]]-PaymentSchedule33[[#This Row],[Interest]]</f>
        <v>544.47072175777907</v>
      </c>
      <c r="O116" s="25">
        <f ca="1">PaymentSchedule3[[#This Row],[Cumulative
Interest]]-PaymentSchedule33[[#This Row],[Cumulative
Interest]]</f>
        <v>56927.917763234465</v>
      </c>
    </row>
    <row r="117" spans="2:15" x14ac:dyDescent="0.25">
      <c r="B117" s="23">
        <f ca="1">IF(LoanIsGood,IF(ROW()-ROW(PaymentSchedule33[[#Headers],[Payment Number]])&gt;ScheduledNumberOfPayments,"",ROW()-ROW(PaymentSchedule33[[#Headers],[Payment Number]])),"")</f>
        <v>104</v>
      </c>
      <c r="C117" s="24">
        <f ca="1">IF(PaymentSchedule33[[#This Row],[Payment Number]]&lt;&gt;"",EOMONTH(LoanStartDate,ROW(PaymentSchedule33[[#This Row],[Payment Number]])-ROW(PaymentSchedule33[[#Headers],[Payment Number]])-2)+DAY(LoanStartDate),"")</f>
        <v>48603</v>
      </c>
      <c r="D117" s="25">
        <f ca="1">IF(PaymentSchedule33[[#This Row],[Payment Number]]&lt;&gt;"",IF(ROW()-ROW(PaymentSchedule33[[#Headers],[Beginning
Balance]])=1,LoanAmount,INDEX(PaymentSchedule33[Ending
Balance],ROW()-ROW(PaymentSchedule33[[#Headers],[Beginning
Balance]])-1)),"")</f>
        <v>281239.82036245789</v>
      </c>
      <c r="E117" s="25">
        <f ca="1">IF(PaymentSchedule33[[#This Row],[Payment Number]]&lt;&gt;"",ScheduledPayment,"")</f>
        <v>1784.9318965153623</v>
      </c>
      <c r="F11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7" s="25">
        <f ca="1">IF(PaymentSchedule33[[#This Row],[Payment Number]]&lt;&gt;"",PaymentSchedule33[[#This Row],[Total
Payment]]-PaymentSchedule33[[#This Row],[Interest]],"")</f>
        <v>613.09931167178775</v>
      </c>
      <c r="I117" s="25">
        <f ca="1">IF(PaymentSchedule33[[#This Row],[Payment Number]]&lt;&gt;"",PaymentSchedule33[[#This Row],[Beginning
Balance]]*(InterestRate/PaymentsPerYear),"")</f>
        <v>1171.8325848435745</v>
      </c>
      <c r="J117" s="25">
        <f ca="1">IF(PaymentSchedule33[[#This Row],[Payment Number]]&lt;&gt;"",IF(PaymentSchedule33[[#This Row],[Scheduled Payment]]+PaymentSchedule33[[#This Row],[Extra
Payment]]&lt;=PaymentSchedule33[[#This Row],[Beginning
Balance]],PaymentSchedule33[[#This Row],[Beginning
Balance]]-PaymentSchedule33[[#This Row],[Principal]],0),"")</f>
        <v>280626.72105078609</v>
      </c>
      <c r="K117" s="25">
        <f ca="1">IF(PaymentSchedule33[[#This Row],[Payment Number]]&lt;&gt;"",SUM(INDEX(PaymentSchedule33[Interest],1,1):PaymentSchedule33[[#This Row],[Interest]]),"")</f>
        <v>133759.63828838401</v>
      </c>
      <c r="L117" s="25">
        <f ca="1">IF(PaymentSchedule33[[#This Row],[Payment Number]]&lt;&gt;"",SUM(INDEX(PaymentSchedule33[Principal],1,1):PaymentSchedule33[[#This Row],[Principal]]),"")</f>
        <v>51873.278949213687</v>
      </c>
      <c r="M117" s="25">
        <f ca="1">PaymentSchedule3[[#This Row],[Total
Payment]]-PaymentSchedule33[[#This Row],[Total
Payment]]</f>
        <v>427.19889995542212</v>
      </c>
      <c r="N117" s="25">
        <f ca="1">PaymentSchedule3[[#This Row],[Interest]]-PaymentSchedule33[[#This Row],[Interest]]</f>
        <v>544.13721516641726</v>
      </c>
      <c r="O117" s="25">
        <f ca="1">PaymentSchedule3[[#This Row],[Cumulative
Interest]]-PaymentSchedule33[[#This Row],[Cumulative
Interest]]</f>
        <v>57472.054978400905</v>
      </c>
    </row>
    <row r="118" spans="2:15" x14ac:dyDescent="0.25">
      <c r="B118" s="23">
        <f ca="1">IF(LoanIsGood,IF(ROW()-ROW(PaymentSchedule33[[#Headers],[Payment Number]])&gt;ScheduledNumberOfPayments,"",ROW()-ROW(PaymentSchedule33[[#Headers],[Payment Number]])),"")</f>
        <v>105</v>
      </c>
      <c r="C118" s="24">
        <f ca="1">IF(PaymentSchedule33[[#This Row],[Payment Number]]&lt;&gt;"",EOMONTH(LoanStartDate,ROW(PaymentSchedule33[[#This Row],[Payment Number]])-ROW(PaymentSchedule33[[#Headers],[Payment Number]])-2)+DAY(LoanStartDate),"")</f>
        <v>48634</v>
      </c>
      <c r="D118" s="25">
        <f ca="1">IF(PaymentSchedule33[[#This Row],[Payment Number]]&lt;&gt;"",IF(ROW()-ROW(PaymentSchedule33[[#Headers],[Beginning
Balance]])=1,LoanAmount,INDEX(PaymentSchedule33[Ending
Balance],ROW()-ROW(PaymentSchedule33[[#Headers],[Beginning
Balance]])-1)),"")</f>
        <v>280626.72105078609</v>
      </c>
      <c r="E118" s="25">
        <f ca="1">IF(PaymentSchedule33[[#This Row],[Payment Number]]&lt;&gt;"",ScheduledPayment,"")</f>
        <v>1784.9318965153623</v>
      </c>
      <c r="F11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8" s="25">
        <f ca="1">IF(PaymentSchedule33[[#This Row],[Payment Number]]&lt;&gt;"",PaymentSchedule33[[#This Row],[Total
Payment]]-PaymentSchedule33[[#This Row],[Interest]],"")</f>
        <v>615.65389213708681</v>
      </c>
      <c r="I118" s="25">
        <f ca="1">IF(PaymentSchedule33[[#This Row],[Payment Number]]&lt;&gt;"",PaymentSchedule33[[#This Row],[Beginning
Balance]]*(InterestRate/PaymentsPerYear),"")</f>
        <v>1169.2780043782755</v>
      </c>
      <c r="J118" s="25">
        <f ca="1">IF(PaymentSchedule33[[#This Row],[Payment Number]]&lt;&gt;"",IF(PaymentSchedule33[[#This Row],[Scheduled Payment]]+PaymentSchedule33[[#This Row],[Extra
Payment]]&lt;=PaymentSchedule33[[#This Row],[Beginning
Balance]],PaymentSchedule33[[#This Row],[Beginning
Balance]]-PaymentSchedule33[[#This Row],[Principal]],0),"")</f>
        <v>280011.06715864898</v>
      </c>
      <c r="K118" s="25">
        <f ca="1">IF(PaymentSchedule33[[#This Row],[Payment Number]]&lt;&gt;"",SUM(INDEX(PaymentSchedule33[Interest],1,1):PaymentSchedule33[[#This Row],[Interest]]),"")</f>
        <v>134928.9162927623</v>
      </c>
      <c r="L118" s="25">
        <f ca="1">IF(PaymentSchedule33[[#This Row],[Payment Number]]&lt;&gt;"",SUM(INDEX(PaymentSchedule33[Principal],1,1):PaymentSchedule33[[#This Row],[Principal]]),"")</f>
        <v>52488.932841350776</v>
      </c>
      <c r="M118" s="25">
        <f ca="1">PaymentSchedule3[[#This Row],[Total
Payment]]-PaymentSchedule33[[#This Row],[Total
Payment]]</f>
        <v>427.19889995542212</v>
      </c>
      <c r="N118" s="25">
        <f ca="1">PaymentSchedule3[[#This Row],[Interest]]-PaymentSchedule33[[#This Row],[Interest]]</f>
        <v>543.79752315236146</v>
      </c>
      <c r="O118" s="25">
        <f ca="1">PaymentSchedule3[[#This Row],[Cumulative
Interest]]-PaymentSchedule33[[#This Row],[Cumulative
Interest]]</f>
        <v>58015.85250155325</v>
      </c>
    </row>
    <row r="119" spans="2:15" x14ac:dyDescent="0.25">
      <c r="B119" s="23">
        <f ca="1">IF(LoanIsGood,IF(ROW()-ROW(PaymentSchedule33[[#Headers],[Payment Number]])&gt;ScheduledNumberOfPayments,"",ROW()-ROW(PaymentSchedule33[[#Headers],[Payment Number]])),"")</f>
        <v>106</v>
      </c>
      <c r="C119" s="24">
        <f ca="1">IF(PaymentSchedule33[[#This Row],[Payment Number]]&lt;&gt;"",EOMONTH(LoanStartDate,ROW(PaymentSchedule33[[#This Row],[Payment Number]])-ROW(PaymentSchedule33[[#Headers],[Payment Number]])-2)+DAY(LoanStartDate),"")</f>
        <v>48662</v>
      </c>
      <c r="D119" s="25">
        <f ca="1">IF(PaymentSchedule33[[#This Row],[Payment Number]]&lt;&gt;"",IF(ROW()-ROW(PaymentSchedule33[[#Headers],[Beginning
Balance]])=1,LoanAmount,INDEX(PaymentSchedule33[Ending
Balance],ROW()-ROW(PaymentSchedule33[[#Headers],[Beginning
Balance]])-1)),"")</f>
        <v>280011.06715864898</v>
      </c>
      <c r="E119" s="25">
        <f ca="1">IF(PaymentSchedule33[[#This Row],[Payment Number]]&lt;&gt;"",ScheduledPayment,"")</f>
        <v>1784.9318965153623</v>
      </c>
      <c r="F11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1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19" s="25">
        <f ca="1">IF(PaymentSchedule33[[#This Row],[Payment Number]]&lt;&gt;"",PaymentSchedule33[[#This Row],[Total
Payment]]-PaymentSchedule33[[#This Row],[Interest]],"")</f>
        <v>618.21911668765824</v>
      </c>
      <c r="I119" s="25">
        <f ca="1">IF(PaymentSchedule33[[#This Row],[Payment Number]]&lt;&gt;"",PaymentSchedule33[[#This Row],[Beginning
Balance]]*(InterestRate/PaymentsPerYear),"")</f>
        <v>1166.712779827704</v>
      </c>
      <c r="J119" s="25">
        <f ca="1">IF(PaymentSchedule33[[#This Row],[Payment Number]]&lt;&gt;"",IF(PaymentSchedule33[[#This Row],[Scheduled Payment]]+PaymentSchedule33[[#This Row],[Extra
Payment]]&lt;=PaymentSchedule33[[#This Row],[Beginning
Balance]],PaymentSchedule33[[#This Row],[Beginning
Balance]]-PaymentSchedule33[[#This Row],[Principal]],0),"")</f>
        <v>279392.84804196132</v>
      </c>
      <c r="K119" s="25">
        <f ca="1">IF(PaymentSchedule33[[#This Row],[Payment Number]]&lt;&gt;"",SUM(INDEX(PaymentSchedule33[Interest],1,1):PaymentSchedule33[[#This Row],[Interest]]),"")</f>
        <v>136095.62907259</v>
      </c>
      <c r="L119" s="25">
        <f ca="1">IF(PaymentSchedule33[[#This Row],[Payment Number]]&lt;&gt;"",SUM(INDEX(PaymentSchedule33[Principal],1,1):PaymentSchedule33[[#This Row],[Principal]]),"")</f>
        <v>53107.151958038434</v>
      </c>
      <c r="M119" s="25">
        <f ca="1">PaymentSchedule3[[#This Row],[Total
Payment]]-PaymentSchedule33[[#This Row],[Total
Payment]]</f>
        <v>427.19889995542212</v>
      </c>
      <c r="N119" s="25">
        <f ca="1">PaymentSchedule3[[#This Row],[Interest]]-PaymentSchedule33[[#This Row],[Interest]]</f>
        <v>543.45159196744862</v>
      </c>
      <c r="O119" s="25">
        <f ca="1">PaymentSchedule3[[#This Row],[Cumulative
Interest]]-PaymentSchedule33[[#This Row],[Cumulative
Interest]]</f>
        <v>58559.30409352071</v>
      </c>
    </row>
    <row r="120" spans="2:15" x14ac:dyDescent="0.25">
      <c r="B120" s="23">
        <f ca="1">IF(LoanIsGood,IF(ROW()-ROW(PaymentSchedule33[[#Headers],[Payment Number]])&gt;ScheduledNumberOfPayments,"",ROW()-ROW(PaymentSchedule33[[#Headers],[Payment Number]])),"")</f>
        <v>107</v>
      </c>
      <c r="C120" s="24">
        <f ca="1">IF(PaymentSchedule33[[#This Row],[Payment Number]]&lt;&gt;"",EOMONTH(LoanStartDate,ROW(PaymentSchedule33[[#This Row],[Payment Number]])-ROW(PaymentSchedule33[[#Headers],[Payment Number]])-2)+DAY(LoanStartDate),"")</f>
        <v>48693</v>
      </c>
      <c r="D120" s="25">
        <f ca="1">IF(PaymentSchedule33[[#This Row],[Payment Number]]&lt;&gt;"",IF(ROW()-ROW(PaymentSchedule33[[#Headers],[Beginning
Balance]])=1,LoanAmount,INDEX(PaymentSchedule33[Ending
Balance],ROW()-ROW(PaymentSchedule33[[#Headers],[Beginning
Balance]])-1)),"")</f>
        <v>279392.84804196132</v>
      </c>
      <c r="E120" s="25">
        <f ca="1">IF(PaymentSchedule33[[#This Row],[Payment Number]]&lt;&gt;"",ScheduledPayment,"")</f>
        <v>1784.9318965153623</v>
      </c>
      <c r="F12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0" s="25">
        <f ca="1">IF(PaymentSchedule33[[#This Row],[Payment Number]]&lt;&gt;"",PaymentSchedule33[[#This Row],[Total
Payment]]-PaymentSchedule33[[#This Row],[Interest]],"")</f>
        <v>620.79502967385679</v>
      </c>
      <c r="I120" s="25">
        <f ca="1">IF(PaymentSchedule33[[#This Row],[Payment Number]]&lt;&gt;"",PaymentSchedule33[[#This Row],[Beginning
Balance]]*(InterestRate/PaymentsPerYear),"")</f>
        <v>1164.1368668415055</v>
      </c>
      <c r="J120" s="25">
        <f ca="1">IF(PaymentSchedule33[[#This Row],[Payment Number]]&lt;&gt;"",IF(PaymentSchedule33[[#This Row],[Scheduled Payment]]+PaymentSchedule33[[#This Row],[Extra
Payment]]&lt;=PaymentSchedule33[[#This Row],[Beginning
Balance]],PaymentSchedule33[[#This Row],[Beginning
Balance]]-PaymentSchedule33[[#This Row],[Principal]],0),"")</f>
        <v>278772.05301228748</v>
      </c>
      <c r="K120" s="25">
        <f ca="1">IF(PaymentSchedule33[[#This Row],[Payment Number]]&lt;&gt;"",SUM(INDEX(PaymentSchedule33[Interest],1,1):PaymentSchedule33[[#This Row],[Interest]]),"")</f>
        <v>137259.7659394315</v>
      </c>
      <c r="L120" s="25">
        <f ca="1">IF(PaymentSchedule33[[#This Row],[Payment Number]]&lt;&gt;"",SUM(INDEX(PaymentSchedule33[Principal],1,1):PaymentSchedule33[[#This Row],[Principal]]),"")</f>
        <v>53727.94698771229</v>
      </c>
      <c r="M120" s="25">
        <f ca="1">PaymentSchedule3[[#This Row],[Total
Payment]]-PaymentSchedule33[[#This Row],[Total
Payment]]</f>
        <v>427.19889995542212</v>
      </c>
      <c r="N120" s="25">
        <f ca="1">PaymentSchedule3[[#This Row],[Interest]]-PaymentSchedule33[[#This Row],[Interest]]</f>
        <v>543.09936747637244</v>
      </c>
      <c r="O120" s="25">
        <f ca="1">PaymentSchedule3[[#This Row],[Cumulative
Interest]]-PaymentSchedule33[[#This Row],[Cumulative
Interest]]</f>
        <v>59102.403460997099</v>
      </c>
    </row>
    <row r="121" spans="2:15" x14ac:dyDescent="0.25">
      <c r="B121" s="23">
        <f ca="1">IF(LoanIsGood,IF(ROW()-ROW(PaymentSchedule33[[#Headers],[Payment Number]])&gt;ScheduledNumberOfPayments,"",ROW()-ROW(PaymentSchedule33[[#Headers],[Payment Number]])),"")</f>
        <v>108</v>
      </c>
      <c r="C121" s="24">
        <f ca="1">IF(PaymentSchedule33[[#This Row],[Payment Number]]&lt;&gt;"",EOMONTH(LoanStartDate,ROW(PaymentSchedule33[[#This Row],[Payment Number]])-ROW(PaymentSchedule33[[#Headers],[Payment Number]])-2)+DAY(LoanStartDate),"")</f>
        <v>48723</v>
      </c>
      <c r="D121" s="25">
        <f ca="1">IF(PaymentSchedule33[[#This Row],[Payment Number]]&lt;&gt;"",IF(ROW()-ROW(PaymentSchedule33[[#Headers],[Beginning
Balance]])=1,LoanAmount,INDEX(PaymentSchedule33[Ending
Balance],ROW()-ROW(PaymentSchedule33[[#Headers],[Beginning
Balance]])-1)),"")</f>
        <v>278772.05301228748</v>
      </c>
      <c r="E121" s="25">
        <f ca="1">IF(PaymentSchedule33[[#This Row],[Payment Number]]&lt;&gt;"",ScheduledPayment,"")</f>
        <v>1784.9318965153623</v>
      </c>
      <c r="F12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1" s="25">
        <f ca="1">IF(PaymentSchedule33[[#This Row],[Payment Number]]&lt;&gt;"",PaymentSchedule33[[#This Row],[Total
Payment]]-PaymentSchedule33[[#This Row],[Interest]],"")</f>
        <v>623.38167563083107</v>
      </c>
      <c r="I121" s="25">
        <f ca="1">IF(PaymentSchedule33[[#This Row],[Payment Number]]&lt;&gt;"",PaymentSchedule33[[#This Row],[Beginning
Balance]]*(InterestRate/PaymentsPerYear),"")</f>
        <v>1161.5502208845312</v>
      </c>
      <c r="J121" s="25">
        <f ca="1">IF(PaymentSchedule33[[#This Row],[Payment Number]]&lt;&gt;"",IF(PaymentSchedule33[[#This Row],[Scheduled Payment]]+PaymentSchedule33[[#This Row],[Extra
Payment]]&lt;=PaymentSchedule33[[#This Row],[Beginning
Balance]],PaymentSchedule33[[#This Row],[Beginning
Balance]]-PaymentSchedule33[[#This Row],[Principal]],0),"")</f>
        <v>278148.67133665667</v>
      </c>
      <c r="K121" s="25">
        <f ca="1">IF(PaymentSchedule33[[#This Row],[Payment Number]]&lt;&gt;"",SUM(INDEX(PaymentSchedule33[Interest],1,1):PaymentSchedule33[[#This Row],[Interest]]),"")</f>
        <v>138421.31616031603</v>
      </c>
      <c r="L121" s="25">
        <f ca="1">IF(PaymentSchedule33[[#This Row],[Payment Number]]&lt;&gt;"",SUM(INDEX(PaymentSchedule33[Principal],1,1):PaymentSchedule33[[#This Row],[Principal]]),"")</f>
        <v>54351.32866334312</v>
      </c>
      <c r="M121" s="25">
        <f ca="1">PaymentSchedule3[[#This Row],[Total
Payment]]-PaymentSchedule33[[#This Row],[Total
Payment]]</f>
        <v>427.19889995542212</v>
      </c>
      <c r="N121" s="25">
        <f ca="1">PaymentSchedule3[[#This Row],[Interest]]-PaymentSchedule33[[#This Row],[Interest]]</f>
        <v>542.74079515412154</v>
      </c>
      <c r="O121" s="25">
        <f ca="1">PaymentSchedule3[[#This Row],[Cumulative
Interest]]-PaymentSchedule33[[#This Row],[Cumulative
Interest]]</f>
        <v>59645.144256151223</v>
      </c>
    </row>
    <row r="122" spans="2:15" x14ac:dyDescent="0.25">
      <c r="B122" s="23">
        <f ca="1">IF(LoanIsGood,IF(ROW()-ROW(PaymentSchedule33[[#Headers],[Payment Number]])&gt;ScheduledNumberOfPayments,"",ROW()-ROW(PaymentSchedule33[[#Headers],[Payment Number]])),"")</f>
        <v>109</v>
      </c>
      <c r="C122" s="24">
        <f ca="1">IF(PaymentSchedule33[[#This Row],[Payment Number]]&lt;&gt;"",EOMONTH(LoanStartDate,ROW(PaymentSchedule33[[#This Row],[Payment Number]])-ROW(PaymentSchedule33[[#Headers],[Payment Number]])-2)+DAY(LoanStartDate),"")</f>
        <v>48754</v>
      </c>
      <c r="D122" s="25">
        <f ca="1">IF(PaymentSchedule33[[#This Row],[Payment Number]]&lt;&gt;"",IF(ROW()-ROW(PaymentSchedule33[[#Headers],[Beginning
Balance]])=1,LoanAmount,INDEX(PaymentSchedule33[Ending
Balance],ROW()-ROW(PaymentSchedule33[[#Headers],[Beginning
Balance]])-1)),"")</f>
        <v>278148.67133665667</v>
      </c>
      <c r="E122" s="25">
        <f ca="1">IF(PaymentSchedule33[[#This Row],[Payment Number]]&lt;&gt;"",ScheduledPayment,"")</f>
        <v>1784.9318965153623</v>
      </c>
      <c r="F12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2" s="25">
        <f ca="1">IF(PaymentSchedule33[[#This Row],[Payment Number]]&lt;&gt;"",PaymentSchedule33[[#This Row],[Total
Payment]]-PaymentSchedule33[[#This Row],[Interest]],"")</f>
        <v>625.97909927929277</v>
      </c>
      <c r="I122" s="25">
        <f ca="1">IF(PaymentSchedule33[[#This Row],[Payment Number]]&lt;&gt;"",PaymentSchedule33[[#This Row],[Beginning
Balance]]*(InterestRate/PaymentsPerYear),"")</f>
        <v>1158.9527972360695</v>
      </c>
      <c r="J122" s="25">
        <f ca="1">IF(PaymentSchedule33[[#This Row],[Payment Number]]&lt;&gt;"",IF(PaymentSchedule33[[#This Row],[Scheduled Payment]]+PaymentSchedule33[[#This Row],[Extra
Payment]]&lt;=PaymentSchedule33[[#This Row],[Beginning
Balance]],PaymentSchedule33[[#This Row],[Beginning
Balance]]-PaymentSchedule33[[#This Row],[Principal]],0),"")</f>
        <v>277522.6922373774</v>
      </c>
      <c r="K122" s="25">
        <f ca="1">IF(PaymentSchedule33[[#This Row],[Payment Number]]&lt;&gt;"",SUM(INDEX(PaymentSchedule33[Interest],1,1):PaymentSchedule33[[#This Row],[Interest]]),"")</f>
        <v>139580.26895755209</v>
      </c>
      <c r="L122" s="25">
        <f ca="1">IF(PaymentSchedule33[[#This Row],[Payment Number]]&lt;&gt;"",SUM(INDEX(PaymentSchedule33[Principal],1,1):PaymentSchedule33[[#This Row],[Principal]]),"")</f>
        <v>54977.307762622411</v>
      </c>
      <c r="M122" s="25">
        <f ca="1">PaymentSchedule3[[#This Row],[Total
Payment]]-PaymentSchedule33[[#This Row],[Total
Payment]]</f>
        <v>427.19889995542212</v>
      </c>
      <c r="N122" s="25">
        <f ca="1">PaymentSchedule3[[#This Row],[Interest]]-PaymentSchedule33[[#This Row],[Interest]]</f>
        <v>542.37582008339587</v>
      </c>
      <c r="O122" s="25">
        <f ca="1">PaymentSchedule3[[#This Row],[Cumulative
Interest]]-PaymentSchedule33[[#This Row],[Cumulative
Interest]]</f>
        <v>60187.520076234621</v>
      </c>
    </row>
    <row r="123" spans="2:15" x14ac:dyDescent="0.25">
      <c r="B123" s="23">
        <f ca="1">IF(LoanIsGood,IF(ROW()-ROW(PaymentSchedule33[[#Headers],[Payment Number]])&gt;ScheduledNumberOfPayments,"",ROW()-ROW(PaymentSchedule33[[#Headers],[Payment Number]])),"")</f>
        <v>110</v>
      </c>
      <c r="C123" s="24">
        <f ca="1">IF(PaymentSchedule33[[#This Row],[Payment Number]]&lt;&gt;"",EOMONTH(LoanStartDate,ROW(PaymentSchedule33[[#This Row],[Payment Number]])-ROW(PaymentSchedule33[[#Headers],[Payment Number]])-2)+DAY(LoanStartDate),"")</f>
        <v>48784</v>
      </c>
      <c r="D123" s="25">
        <f ca="1">IF(PaymentSchedule33[[#This Row],[Payment Number]]&lt;&gt;"",IF(ROW()-ROW(PaymentSchedule33[[#Headers],[Beginning
Balance]])=1,LoanAmount,INDEX(PaymentSchedule33[Ending
Balance],ROW()-ROW(PaymentSchedule33[[#Headers],[Beginning
Balance]])-1)),"")</f>
        <v>277522.6922373774</v>
      </c>
      <c r="E123" s="25">
        <f ca="1">IF(PaymentSchedule33[[#This Row],[Payment Number]]&lt;&gt;"",ScheduledPayment,"")</f>
        <v>1784.9318965153623</v>
      </c>
      <c r="F12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3" s="25">
        <f ca="1">IF(PaymentSchedule33[[#This Row],[Payment Number]]&lt;&gt;"",PaymentSchedule33[[#This Row],[Total
Payment]]-PaymentSchedule33[[#This Row],[Interest]],"")</f>
        <v>628.58734552628971</v>
      </c>
      <c r="I123" s="25">
        <f ca="1">IF(PaymentSchedule33[[#This Row],[Payment Number]]&lt;&gt;"",PaymentSchedule33[[#This Row],[Beginning
Balance]]*(InterestRate/PaymentsPerYear),"")</f>
        <v>1156.3445509890726</v>
      </c>
      <c r="J123" s="25">
        <f ca="1">IF(PaymentSchedule33[[#This Row],[Payment Number]]&lt;&gt;"",IF(PaymentSchedule33[[#This Row],[Scheduled Payment]]+PaymentSchedule33[[#This Row],[Extra
Payment]]&lt;=PaymentSchedule33[[#This Row],[Beginning
Balance]],PaymentSchedule33[[#This Row],[Beginning
Balance]]-PaymentSchedule33[[#This Row],[Principal]],0),"")</f>
        <v>276894.10489185114</v>
      </c>
      <c r="K123" s="25">
        <f ca="1">IF(PaymentSchedule33[[#This Row],[Payment Number]]&lt;&gt;"",SUM(INDEX(PaymentSchedule33[Interest],1,1):PaymentSchedule33[[#This Row],[Interest]]),"")</f>
        <v>140736.61350854117</v>
      </c>
      <c r="L123" s="25">
        <f ca="1">IF(PaymentSchedule33[[#This Row],[Payment Number]]&lt;&gt;"",SUM(INDEX(PaymentSchedule33[Principal],1,1):PaymentSchedule33[[#This Row],[Principal]]),"")</f>
        <v>55605.895108148703</v>
      </c>
      <c r="M123" s="25">
        <f ca="1">PaymentSchedule3[[#This Row],[Total
Payment]]-PaymentSchedule33[[#This Row],[Total
Payment]]</f>
        <v>427.19889995542212</v>
      </c>
      <c r="N123" s="25">
        <f ca="1">PaymentSchedule3[[#This Row],[Interest]]-PaymentSchedule33[[#This Row],[Interest]]</f>
        <v>542.00438695201001</v>
      </c>
      <c r="O123" s="25">
        <f ca="1">PaymentSchedule3[[#This Row],[Cumulative
Interest]]-PaymentSchedule33[[#This Row],[Cumulative
Interest]]</f>
        <v>60729.524463186623</v>
      </c>
    </row>
    <row r="124" spans="2:15" x14ac:dyDescent="0.25">
      <c r="B124" s="23">
        <f ca="1">IF(LoanIsGood,IF(ROW()-ROW(PaymentSchedule33[[#Headers],[Payment Number]])&gt;ScheduledNumberOfPayments,"",ROW()-ROW(PaymentSchedule33[[#Headers],[Payment Number]])),"")</f>
        <v>111</v>
      </c>
      <c r="C124" s="24">
        <f ca="1">IF(PaymentSchedule33[[#This Row],[Payment Number]]&lt;&gt;"",EOMONTH(LoanStartDate,ROW(PaymentSchedule33[[#This Row],[Payment Number]])-ROW(PaymentSchedule33[[#Headers],[Payment Number]])-2)+DAY(LoanStartDate),"")</f>
        <v>48815</v>
      </c>
      <c r="D124" s="25">
        <f ca="1">IF(PaymentSchedule33[[#This Row],[Payment Number]]&lt;&gt;"",IF(ROW()-ROW(PaymentSchedule33[[#Headers],[Beginning
Balance]])=1,LoanAmount,INDEX(PaymentSchedule33[Ending
Balance],ROW()-ROW(PaymentSchedule33[[#Headers],[Beginning
Balance]])-1)),"")</f>
        <v>276894.10489185114</v>
      </c>
      <c r="E124" s="25">
        <f ca="1">IF(PaymentSchedule33[[#This Row],[Payment Number]]&lt;&gt;"",ScheduledPayment,"")</f>
        <v>1784.9318965153623</v>
      </c>
      <c r="F12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4" s="25">
        <f ca="1">IF(PaymentSchedule33[[#This Row],[Payment Number]]&lt;&gt;"",PaymentSchedule33[[#This Row],[Total
Payment]]-PaymentSchedule33[[#This Row],[Interest]],"")</f>
        <v>631.20645946598256</v>
      </c>
      <c r="I124" s="25">
        <f ca="1">IF(PaymentSchedule33[[#This Row],[Payment Number]]&lt;&gt;"",PaymentSchedule33[[#This Row],[Beginning
Balance]]*(InterestRate/PaymentsPerYear),"")</f>
        <v>1153.7254370493797</v>
      </c>
      <c r="J124" s="25">
        <f ca="1">IF(PaymentSchedule33[[#This Row],[Payment Number]]&lt;&gt;"",IF(PaymentSchedule33[[#This Row],[Scheduled Payment]]+PaymentSchedule33[[#This Row],[Extra
Payment]]&lt;=PaymentSchedule33[[#This Row],[Beginning
Balance]],PaymentSchedule33[[#This Row],[Beginning
Balance]]-PaymentSchedule33[[#This Row],[Principal]],0),"")</f>
        <v>276262.89843238518</v>
      </c>
      <c r="K124" s="25">
        <f ca="1">IF(PaymentSchedule33[[#This Row],[Payment Number]]&lt;&gt;"",SUM(INDEX(PaymentSchedule33[Interest],1,1):PaymentSchedule33[[#This Row],[Interest]]),"")</f>
        <v>141890.33894559054</v>
      </c>
      <c r="L124" s="25">
        <f ca="1">IF(PaymentSchedule33[[#This Row],[Payment Number]]&lt;&gt;"",SUM(INDEX(PaymentSchedule33[Principal],1,1):PaymentSchedule33[[#This Row],[Principal]]),"")</f>
        <v>56237.101567614685</v>
      </c>
      <c r="M124" s="25">
        <f ca="1">PaymentSchedule3[[#This Row],[Total
Payment]]-PaymentSchedule33[[#This Row],[Total
Payment]]</f>
        <v>427.19889995542212</v>
      </c>
      <c r="N124" s="25">
        <f ca="1">PaymentSchedule3[[#This Row],[Interest]]-PaymentSchedule33[[#This Row],[Interest]]</f>
        <v>541.6264400502796</v>
      </c>
      <c r="O124" s="25">
        <f ca="1">PaymentSchedule3[[#This Row],[Cumulative
Interest]]-PaymentSchedule33[[#This Row],[Cumulative
Interest]]</f>
        <v>61271.150903236907</v>
      </c>
    </row>
    <row r="125" spans="2:15" x14ac:dyDescent="0.25">
      <c r="B125" s="23">
        <f ca="1">IF(LoanIsGood,IF(ROW()-ROW(PaymentSchedule33[[#Headers],[Payment Number]])&gt;ScheduledNumberOfPayments,"",ROW()-ROW(PaymentSchedule33[[#Headers],[Payment Number]])),"")</f>
        <v>112</v>
      </c>
      <c r="C125" s="24">
        <f ca="1">IF(PaymentSchedule33[[#This Row],[Payment Number]]&lt;&gt;"",EOMONTH(LoanStartDate,ROW(PaymentSchedule33[[#This Row],[Payment Number]])-ROW(PaymentSchedule33[[#Headers],[Payment Number]])-2)+DAY(LoanStartDate),"")</f>
        <v>48846</v>
      </c>
      <c r="D125" s="25">
        <f ca="1">IF(PaymentSchedule33[[#This Row],[Payment Number]]&lt;&gt;"",IF(ROW()-ROW(PaymentSchedule33[[#Headers],[Beginning
Balance]])=1,LoanAmount,INDEX(PaymentSchedule33[Ending
Balance],ROW()-ROW(PaymentSchedule33[[#Headers],[Beginning
Balance]])-1)),"")</f>
        <v>276262.89843238518</v>
      </c>
      <c r="E125" s="25">
        <f ca="1">IF(PaymentSchedule33[[#This Row],[Payment Number]]&lt;&gt;"",ScheduledPayment,"")</f>
        <v>1784.9318965153623</v>
      </c>
      <c r="F12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5" s="25">
        <f ca="1">IF(PaymentSchedule33[[#This Row],[Payment Number]]&lt;&gt;"",PaymentSchedule33[[#This Row],[Total
Payment]]-PaymentSchedule33[[#This Row],[Interest]],"")</f>
        <v>633.83648638042405</v>
      </c>
      <c r="I125" s="25">
        <f ca="1">IF(PaymentSchedule33[[#This Row],[Payment Number]]&lt;&gt;"",PaymentSchedule33[[#This Row],[Beginning
Balance]]*(InterestRate/PaymentsPerYear),"")</f>
        <v>1151.0954101349382</v>
      </c>
      <c r="J125" s="25">
        <f ca="1">IF(PaymentSchedule33[[#This Row],[Payment Number]]&lt;&gt;"",IF(PaymentSchedule33[[#This Row],[Scheduled Payment]]+PaymentSchedule33[[#This Row],[Extra
Payment]]&lt;=PaymentSchedule33[[#This Row],[Beginning
Balance]],PaymentSchedule33[[#This Row],[Beginning
Balance]]-PaymentSchedule33[[#This Row],[Principal]],0),"")</f>
        <v>275629.06194600475</v>
      </c>
      <c r="K125" s="25">
        <f ca="1">IF(PaymentSchedule33[[#This Row],[Payment Number]]&lt;&gt;"",SUM(INDEX(PaymentSchedule33[Interest],1,1):PaymentSchedule33[[#This Row],[Interest]]),"")</f>
        <v>143041.43435572548</v>
      </c>
      <c r="L125" s="25">
        <f ca="1">IF(PaymentSchedule33[[#This Row],[Payment Number]]&lt;&gt;"",SUM(INDEX(PaymentSchedule33[Principal],1,1):PaymentSchedule33[[#This Row],[Principal]]),"")</f>
        <v>56870.938053995109</v>
      </c>
      <c r="M125" s="25">
        <f ca="1">PaymentSchedule3[[#This Row],[Total
Payment]]-PaymentSchedule33[[#This Row],[Total
Payment]]</f>
        <v>427.19889995542212</v>
      </c>
      <c r="N125" s="25">
        <f ca="1">PaymentSchedule3[[#This Row],[Interest]]-PaymentSchedule33[[#This Row],[Interest]]</f>
        <v>541.24192326838943</v>
      </c>
      <c r="O125" s="25">
        <f ca="1">PaymentSchedule3[[#This Row],[Cumulative
Interest]]-PaymentSchedule33[[#This Row],[Cumulative
Interest]]</f>
        <v>61812.392826505296</v>
      </c>
    </row>
    <row r="126" spans="2:15" x14ac:dyDescent="0.25">
      <c r="B126" s="23">
        <f ca="1">IF(LoanIsGood,IF(ROW()-ROW(PaymentSchedule33[[#Headers],[Payment Number]])&gt;ScheduledNumberOfPayments,"",ROW()-ROW(PaymentSchedule33[[#Headers],[Payment Number]])),"")</f>
        <v>113</v>
      </c>
      <c r="C126" s="24">
        <f ca="1">IF(PaymentSchedule33[[#This Row],[Payment Number]]&lt;&gt;"",EOMONTH(LoanStartDate,ROW(PaymentSchedule33[[#This Row],[Payment Number]])-ROW(PaymentSchedule33[[#Headers],[Payment Number]])-2)+DAY(LoanStartDate),"")</f>
        <v>48876</v>
      </c>
      <c r="D126" s="25">
        <f ca="1">IF(PaymentSchedule33[[#This Row],[Payment Number]]&lt;&gt;"",IF(ROW()-ROW(PaymentSchedule33[[#Headers],[Beginning
Balance]])=1,LoanAmount,INDEX(PaymentSchedule33[Ending
Balance],ROW()-ROW(PaymentSchedule33[[#Headers],[Beginning
Balance]])-1)),"")</f>
        <v>275629.06194600475</v>
      </c>
      <c r="E126" s="25">
        <f ca="1">IF(PaymentSchedule33[[#This Row],[Payment Number]]&lt;&gt;"",ScheduledPayment,"")</f>
        <v>1784.9318965153623</v>
      </c>
      <c r="F12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6" s="25">
        <f ca="1">IF(PaymentSchedule33[[#This Row],[Payment Number]]&lt;&gt;"",PaymentSchedule33[[#This Row],[Total
Payment]]-PaymentSchedule33[[#This Row],[Interest]],"")</f>
        <v>636.47747174034248</v>
      </c>
      <c r="I126" s="25">
        <f ca="1">IF(PaymentSchedule33[[#This Row],[Payment Number]]&lt;&gt;"",PaymentSchedule33[[#This Row],[Beginning
Balance]]*(InterestRate/PaymentsPerYear),"")</f>
        <v>1148.4544247750198</v>
      </c>
      <c r="J126" s="25">
        <f ca="1">IF(PaymentSchedule33[[#This Row],[Payment Number]]&lt;&gt;"",IF(PaymentSchedule33[[#This Row],[Scheduled Payment]]+PaymentSchedule33[[#This Row],[Extra
Payment]]&lt;=PaymentSchedule33[[#This Row],[Beginning
Balance]],PaymentSchedule33[[#This Row],[Beginning
Balance]]-PaymentSchedule33[[#This Row],[Principal]],0),"")</f>
        <v>274992.58447426441</v>
      </c>
      <c r="K126" s="25">
        <f ca="1">IF(PaymentSchedule33[[#This Row],[Payment Number]]&lt;&gt;"",SUM(INDEX(PaymentSchedule33[Interest],1,1):PaymentSchedule33[[#This Row],[Interest]]),"")</f>
        <v>144189.88878050051</v>
      </c>
      <c r="L126" s="25">
        <f ca="1">IF(PaymentSchedule33[[#This Row],[Payment Number]]&lt;&gt;"",SUM(INDEX(PaymentSchedule33[Principal],1,1):PaymentSchedule33[[#This Row],[Principal]]),"")</f>
        <v>57507.415525735451</v>
      </c>
      <c r="M126" s="25">
        <f ca="1">PaymentSchedule3[[#This Row],[Total
Payment]]-PaymentSchedule33[[#This Row],[Total
Payment]]</f>
        <v>427.19889995542212</v>
      </c>
      <c r="N126" s="25">
        <f ca="1">PaymentSchedule3[[#This Row],[Interest]]-PaymentSchedule33[[#This Row],[Interest]]</f>
        <v>540.85078009374774</v>
      </c>
      <c r="O126" s="25">
        <f ca="1">PaymentSchedule3[[#This Row],[Cumulative
Interest]]-PaymentSchedule33[[#This Row],[Cumulative
Interest]]</f>
        <v>62353.243606599019</v>
      </c>
    </row>
    <row r="127" spans="2:15" x14ac:dyDescent="0.25">
      <c r="B127" s="23">
        <f ca="1">IF(LoanIsGood,IF(ROW()-ROW(PaymentSchedule33[[#Headers],[Payment Number]])&gt;ScheduledNumberOfPayments,"",ROW()-ROW(PaymentSchedule33[[#Headers],[Payment Number]])),"")</f>
        <v>114</v>
      </c>
      <c r="C127" s="24">
        <f ca="1">IF(PaymentSchedule33[[#This Row],[Payment Number]]&lt;&gt;"",EOMONTH(LoanStartDate,ROW(PaymentSchedule33[[#This Row],[Payment Number]])-ROW(PaymentSchedule33[[#Headers],[Payment Number]])-2)+DAY(LoanStartDate),"")</f>
        <v>48907</v>
      </c>
      <c r="D127" s="25">
        <f ca="1">IF(PaymentSchedule33[[#This Row],[Payment Number]]&lt;&gt;"",IF(ROW()-ROW(PaymentSchedule33[[#Headers],[Beginning
Balance]])=1,LoanAmount,INDEX(PaymentSchedule33[Ending
Balance],ROW()-ROW(PaymentSchedule33[[#Headers],[Beginning
Balance]])-1)),"")</f>
        <v>274992.58447426441</v>
      </c>
      <c r="E127" s="25">
        <f ca="1">IF(PaymentSchedule33[[#This Row],[Payment Number]]&lt;&gt;"",ScheduledPayment,"")</f>
        <v>1784.9318965153623</v>
      </c>
      <c r="F12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7" s="25">
        <f ca="1">IF(PaymentSchedule33[[#This Row],[Payment Number]]&lt;&gt;"",PaymentSchedule33[[#This Row],[Total
Payment]]-PaymentSchedule33[[#This Row],[Interest]],"")</f>
        <v>639.12946120592733</v>
      </c>
      <c r="I127" s="25">
        <f ca="1">IF(PaymentSchedule33[[#This Row],[Payment Number]]&lt;&gt;"",PaymentSchedule33[[#This Row],[Beginning
Balance]]*(InterestRate/PaymentsPerYear),"")</f>
        <v>1145.8024353094349</v>
      </c>
      <c r="J127" s="25">
        <f ca="1">IF(PaymentSchedule33[[#This Row],[Payment Number]]&lt;&gt;"",IF(PaymentSchedule33[[#This Row],[Scheduled Payment]]+PaymentSchedule33[[#This Row],[Extra
Payment]]&lt;=PaymentSchedule33[[#This Row],[Beginning
Balance]],PaymentSchedule33[[#This Row],[Beginning
Balance]]-PaymentSchedule33[[#This Row],[Principal]],0),"")</f>
        <v>274353.4550130585</v>
      </c>
      <c r="K127" s="25">
        <f ca="1">IF(PaymentSchedule33[[#This Row],[Payment Number]]&lt;&gt;"",SUM(INDEX(PaymentSchedule33[Interest],1,1):PaymentSchedule33[[#This Row],[Interest]]),"")</f>
        <v>145335.69121580993</v>
      </c>
      <c r="L127" s="25">
        <f ca="1">IF(PaymentSchedule33[[#This Row],[Payment Number]]&lt;&gt;"",SUM(INDEX(PaymentSchedule33[Principal],1,1):PaymentSchedule33[[#This Row],[Principal]]),"")</f>
        <v>58146.544986941379</v>
      </c>
      <c r="M127" s="25">
        <f ca="1">PaymentSchedule3[[#This Row],[Total
Payment]]-PaymentSchedule33[[#This Row],[Total
Payment]]</f>
        <v>427.19889995542212</v>
      </c>
      <c r="N127" s="25">
        <f ca="1">PaymentSchedule3[[#This Row],[Interest]]-PaymentSchedule33[[#This Row],[Interest]]</f>
        <v>540.45295360832074</v>
      </c>
      <c r="O127" s="25">
        <f ca="1">PaymentSchedule3[[#This Row],[Cumulative
Interest]]-PaymentSchedule33[[#This Row],[Cumulative
Interest]]</f>
        <v>62893.696560207347</v>
      </c>
    </row>
    <row r="128" spans="2:15" x14ac:dyDescent="0.25">
      <c r="B128" s="23">
        <f ca="1">IF(LoanIsGood,IF(ROW()-ROW(PaymentSchedule33[[#Headers],[Payment Number]])&gt;ScheduledNumberOfPayments,"",ROW()-ROW(PaymentSchedule33[[#Headers],[Payment Number]])),"")</f>
        <v>115</v>
      </c>
      <c r="C128" s="24">
        <f ca="1">IF(PaymentSchedule33[[#This Row],[Payment Number]]&lt;&gt;"",EOMONTH(LoanStartDate,ROW(PaymentSchedule33[[#This Row],[Payment Number]])-ROW(PaymentSchedule33[[#Headers],[Payment Number]])-2)+DAY(LoanStartDate),"")</f>
        <v>48937</v>
      </c>
      <c r="D128" s="25">
        <f ca="1">IF(PaymentSchedule33[[#This Row],[Payment Number]]&lt;&gt;"",IF(ROW()-ROW(PaymentSchedule33[[#Headers],[Beginning
Balance]])=1,LoanAmount,INDEX(PaymentSchedule33[Ending
Balance],ROW()-ROW(PaymentSchedule33[[#Headers],[Beginning
Balance]])-1)),"")</f>
        <v>274353.4550130585</v>
      </c>
      <c r="E128" s="25">
        <f ca="1">IF(PaymentSchedule33[[#This Row],[Payment Number]]&lt;&gt;"",ScheduledPayment,"")</f>
        <v>1784.9318965153623</v>
      </c>
      <c r="F12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8" s="25">
        <f ca="1">IF(PaymentSchedule33[[#This Row],[Payment Number]]&lt;&gt;"",PaymentSchedule33[[#This Row],[Total
Payment]]-PaymentSchedule33[[#This Row],[Interest]],"")</f>
        <v>641.79250062761844</v>
      </c>
      <c r="I128" s="25">
        <f ca="1">IF(PaymentSchedule33[[#This Row],[Payment Number]]&lt;&gt;"",PaymentSchedule33[[#This Row],[Beginning
Balance]]*(InterestRate/PaymentsPerYear),"")</f>
        <v>1143.1393958877438</v>
      </c>
      <c r="J128" s="25">
        <f ca="1">IF(PaymentSchedule33[[#This Row],[Payment Number]]&lt;&gt;"",IF(PaymentSchedule33[[#This Row],[Scheduled Payment]]+PaymentSchedule33[[#This Row],[Extra
Payment]]&lt;=PaymentSchedule33[[#This Row],[Beginning
Balance]],PaymentSchedule33[[#This Row],[Beginning
Balance]]-PaymentSchedule33[[#This Row],[Principal]],0),"")</f>
        <v>273711.66251243086</v>
      </c>
      <c r="K128" s="25">
        <f ca="1">IF(PaymentSchedule33[[#This Row],[Payment Number]]&lt;&gt;"",SUM(INDEX(PaymentSchedule33[Interest],1,1):PaymentSchedule33[[#This Row],[Interest]]),"")</f>
        <v>146478.83061169766</v>
      </c>
      <c r="L128" s="25">
        <f ca="1">IF(PaymentSchedule33[[#This Row],[Payment Number]]&lt;&gt;"",SUM(INDEX(PaymentSchedule33[Principal],1,1):PaymentSchedule33[[#This Row],[Principal]]),"")</f>
        <v>58788.337487568999</v>
      </c>
      <c r="M128" s="25">
        <f ca="1">PaymentSchedule3[[#This Row],[Total
Payment]]-PaymentSchedule33[[#This Row],[Total
Payment]]</f>
        <v>427.19889995542212</v>
      </c>
      <c r="N128" s="25">
        <f ca="1">PaymentSchedule3[[#This Row],[Interest]]-PaymentSchedule33[[#This Row],[Interest]]</f>
        <v>540.04838648595251</v>
      </c>
      <c r="O128" s="25">
        <f ca="1">PaymentSchedule3[[#This Row],[Cumulative
Interest]]-PaymentSchedule33[[#This Row],[Cumulative
Interest]]</f>
        <v>63433.744946693303</v>
      </c>
    </row>
    <row r="129" spans="2:15" x14ac:dyDescent="0.25">
      <c r="B129" s="23">
        <f ca="1">IF(LoanIsGood,IF(ROW()-ROW(PaymentSchedule33[[#Headers],[Payment Number]])&gt;ScheduledNumberOfPayments,"",ROW()-ROW(PaymentSchedule33[[#Headers],[Payment Number]])),"")</f>
        <v>116</v>
      </c>
      <c r="C129" s="24">
        <f ca="1">IF(PaymentSchedule33[[#This Row],[Payment Number]]&lt;&gt;"",EOMONTH(LoanStartDate,ROW(PaymentSchedule33[[#This Row],[Payment Number]])-ROW(PaymentSchedule33[[#Headers],[Payment Number]])-2)+DAY(LoanStartDate),"")</f>
        <v>48968</v>
      </c>
      <c r="D129" s="25">
        <f ca="1">IF(PaymentSchedule33[[#This Row],[Payment Number]]&lt;&gt;"",IF(ROW()-ROW(PaymentSchedule33[[#Headers],[Beginning
Balance]])=1,LoanAmount,INDEX(PaymentSchedule33[Ending
Balance],ROW()-ROW(PaymentSchedule33[[#Headers],[Beginning
Balance]])-1)),"")</f>
        <v>273711.66251243086</v>
      </c>
      <c r="E129" s="25">
        <f ca="1">IF(PaymentSchedule33[[#This Row],[Payment Number]]&lt;&gt;"",ScheduledPayment,"")</f>
        <v>1784.9318965153623</v>
      </c>
      <c r="F12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2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29" s="25">
        <f ca="1">IF(PaymentSchedule33[[#This Row],[Payment Number]]&lt;&gt;"",PaymentSchedule33[[#This Row],[Total
Payment]]-PaymentSchedule33[[#This Row],[Interest]],"")</f>
        <v>644.46663604690025</v>
      </c>
      <c r="I129" s="25">
        <f ca="1">IF(PaymentSchedule33[[#This Row],[Payment Number]]&lt;&gt;"",PaymentSchedule33[[#This Row],[Beginning
Balance]]*(InterestRate/PaymentsPerYear),"")</f>
        <v>1140.465260468462</v>
      </c>
      <c r="J129" s="25">
        <f ca="1">IF(PaymentSchedule33[[#This Row],[Payment Number]]&lt;&gt;"",IF(PaymentSchedule33[[#This Row],[Scheduled Payment]]+PaymentSchedule33[[#This Row],[Extra
Payment]]&lt;=PaymentSchedule33[[#This Row],[Beginning
Balance]],PaymentSchedule33[[#This Row],[Beginning
Balance]]-PaymentSchedule33[[#This Row],[Principal]],0),"")</f>
        <v>273067.19587638398</v>
      </c>
      <c r="K129" s="25">
        <f ca="1">IF(PaymentSchedule33[[#This Row],[Payment Number]]&lt;&gt;"",SUM(INDEX(PaymentSchedule33[Interest],1,1):PaymentSchedule33[[#This Row],[Interest]]),"")</f>
        <v>147619.29587216611</v>
      </c>
      <c r="L129" s="25">
        <f ca="1">IF(PaymentSchedule33[[#This Row],[Payment Number]]&lt;&gt;"",SUM(INDEX(PaymentSchedule33[Principal],1,1):PaymentSchedule33[[#This Row],[Principal]]),"")</f>
        <v>59432.804123615897</v>
      </c>
      <c r="M129" s="25">
        <f ca="1">PaymentSchedule3[[#This Row],[Total
Payment]]-PaymentSchedule33[[#This Row],[Total
Payment]]</f>
        <v>427.19889995542212</v>
      </c>
      <c r="N129" s="25">
        <f ca="1">PaymentSchedule3[[#This Row],[Interest]]-PaymentSchedule33[[#This Row],[Interest]]</f>
        <v>539.63702098966792</v>
      </c>
      <c r="O129" s="25">
        <f ca="1">PaymentSchedule3[[#This Row],[Cumulative
Interest]]-PaymentSchedule33[[#This Row],[Cumulative
Interest]]</f>
        <v>63973.381967682973</v>
      </c>
    </row>
    <row r="130" spans="2:15" x14ac:dyDescent="0.25">
      <c r="B130" s="23">
        <f ca="1">IF(LoanIsGood,IF(ROW()-ROW(PaymentSchedule33[[#Headers],[Payment Number]])&gt;ScheduledNumberOfPayments,"",ROW()-ROW(PaymentSchedule33[[#Headers],[Payment Number]])),"")</f>
        <v>117</v>
      </c>
      <c r="C130" s="24">
        <f ca="1">IF(PaymentSchedule33[[#This Row],[Payment Number]]&lt;&gt;"",EOMONTH(LoanStartDate,ROW(PaymentSchedule33[[#This Row],[Payment Number]])-ROW(PaymentSchedule33[[#Headers],[Payment Number]])-2)+DAY(LoanStartDate),"")</f>
        <v>48999</v>
      </c>
      <c r="D130" s="25">
        <f ca="1">IF(PaymentSchedule33[[#This Row],[Payment Number]]&lt;&gt;"",IF(ROW()-ROW(PaymentSchedule33[[#Headers],[Beginning
Balance]])=1,LoanAmount,INDEX(PaymentSchedule33[Ending
Balance],ROW()-ROW(PaymentSchedule33[[#Headers],[Beginning
Balance]])-1)),"")</f>
        <v>273067.19587638398</v>
      </c>
      <c r="E130" s="25">
        <f ca="1">IF(PaymentSchedule33[[#This Row],[Payment Number]]&lt;&gt;"",ScheduledPayment,"")</f>
        <v>1784.9318965153623</v>
      </c>
      <c r="F13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0" s="25">
        <f ca="1">IF(PaymentSchedule33[[#This Row],[Payment Number]]&lt;&gt;"",PaymentSchedule33[[#This Row],[Total
Payment]]-PaymentSchedule33[[#This Row],[Interest]],"")</f>
        <v>647.15191369709578</v>
      </c>
      <c r="I130" s="25">
        <f ca="1">IF(PaymentSchedule33[[#This Row],[Payment Number]]&lt;&gt;"",PaymentSchedule33[[#This Row],[Beginning
Balance]]*(InterestRate/PaymentsPerYear),"")</f>
        <v>1137.7799828182665</v>
      </c>
      <c r="J130" s="25">
        <f ca="1">IF(PaymentSchedule33[[#This Row],[Payment Number]]&lt;&gt;"",IF(PaymentSchedule33[[#This Row],[Scheduled Payment]]+PaymentSchedule33[[#This Row],[Extra
Payment]]&lt;=PaymentSchedule33[[#This Row],[Beginning
Balance]],PaymentSchedule33[[#This Row],[Beginning
Balance]]-PaymentSchedule33[[#This Row],[Principal]],0),"")</f>
        <v>272420.0439626869</v>
      </c>
      <c r="K130" s="25">
        <f ca="1">IF(PaymentSchedule33[[#This Row],[Payment Number]]&lt;&gt;"",SUM(INDEX(PaymentSchedule33[Interest],1,1):PaymentSchedule33[[#This Row],[Interest]]),"")</f>
        <v>148757.07585498437</v>
      </c>
      <c r="L130" s="25">
        <f ca="1">IF(PaymentSchedule33[[#This Row],[Payment Number]]&lt;&gt;"",SUM(INDEX(PaymentSchedule33[Principal],1,1):PaymentSchedule33[[#This Row],[Principal]]),"")</f>
        <v>60079.956037312993</v>
      </c>
      <c r="M130" s="25">
        <f ca="1">PaymentSchedule3[[#This Row],[Total
Payment]]-PaymentSchedule33[[#This Row],[Total
Payment]]</f>
        <v>427.19889995542212</v>
      </c>
      <c r="N130" s="25">
        <f ca="1">PaymentSchedule3[[#This Row],[Interest]]-PaymentSchedule33[[#This Row],[Interest]]</f>
        <v>539.21879896895621</v>
      </c>
      <c r="O130" s="25">
        <f ca="1">PaymentSchedule3[[#This Row],[Cumulative
Interest]]-PaymentSchedule33[[#This Row],[Cumulative
Interest]]</f>
        <v>64512.600766651944</v>
      </c>
    </row>
    <row r="131" spans="2:15" x14ac:dyDescent="0.25">
      <c r="B131" s="23">
        <f ca="1">IF(LoanIsGood,IF(ROW()-ROW(PaymentSchedule33[[#Headers],[Payment Number]])&gt;ScheduledNumberOfPayments,"",ROW()-ROW(PaymentSchedule33[[#Headers],[Payment Number]])),"")</f>
        <v>118</v>
      </c>
      <c r="C131" s="24">
        <f ca="1">IF(PaymentSchedule33[[#This Row],[Payment Number]]&lt;&gt;"",EOMONTH(LoanStartDate,ROW(PaymentSchedule33[[#This Row],[Payment Number]])-ROW(PaymentSchedule33[[#Headers],[Payment Number]])-2)+DAY(LoanStartDate),"")</f>
        <v>49027</v>
      </c>
      <c r="D131" s="25">
        <f ca="1">IF(PaymentSchedule33[[#This Row],[Payment Number]]&lt;&gt;"",IF(ROW()-ROW(PaymentSchedule33[[#Headers],[Beginning
Balance]])=1,LoanAmount,INDEX(PaymentSchedule33[Ending
Balance],ROW()-ROW(PaymentSchedule33[[#Headers],[Beginning
Balance]])-1)),"")</f>
        <v>272420.0439626869</v>
      </c>
      <c r="E131" s="25">
        <f ca="1">IF(PaymentSchedule33[[#This Row],[Payment Number]]&lt;&gt;"",ScheduledPayment,"")</f>
        <v>1784.9318965153623</v>
      </c>
      <c r="F13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1" s="25">
        <f ca="1">IF(PaymentSchedule33[[#This Row],[Payment Number]]&lt;&gt;"",PaymentSchedule33[[#This Row],[Total
Payment]]-PaymentSchedule33[[#This Row],[Interest]],"")</f>
        <v>649.84838000416676</v>
      </c>
      <c r="I131" s="25">
        <f ca="1">IF(PaymentSchedule33[[#This Row],[Payment Number]]&lt;&gt;"",PaymentSchedule33[[#This Row],[Beginning
Balance]]*(InterestRate/PaymentsPerYear),"")</f>
        <v>1135.0835165111955</v>
      </c>
      <c r="J131" s="25">
        <f ca="1">IF(PaymentSchedule33[[#This Row],[Payment Number]]&lt;&gt;"",IF(PaymentSchedule33[[#This Row],[Scheduled Payment]]+PaymentSchedule33[[#This Row],[Extra
Payment]]&lt;=PaymentSchedule33[[#This Row],[Beginning
Balance]],PaymentSchedule33[[#This Row],[Beginning
Balance]]-PaymentSchedule33[[#This Row],[Principal]],0),"")</f>
        <v>271770.19558268273</v>
      </c>
      <c r="K131" s="25">
        <f ca="1">IF(PaymentSchedule33[[#This Row],[Payment Number]]&lt;&gt;"",SUM(INDEX(PaymentSchedule33[Interest],1,1):PaymentSchedule33[[#This Row],[Interest]]),"")</f>
        <v>149892.15937149557</v>
      </c>
      <c r="L131" s="25">
        <f ca="1">IF(PaymentSchedule33[[#This Row],[Payment Number]]&lt;&gt;"",SUM(INDEX(PaymentSchedule33[Principal],1,1):PaymentSchedule33[[#This Row],[Principal]]),"")</f>
        <v>60729.804417317158</v>
      </c>
      <c r="M131" s="25">
        <f ca="1">PaymentSchedule3[[#This Row],[Total
Payment]]-PaymentSchedule33[[#This Row],[Total
Payment]]</f>
        <v>427.19889995542212</v>
      </c>
      <c r="N131" s="25">
        <f ca="1">PaymentSchedule3[[#This Row],[Interest]]-PaymentSchedule33[[#This Row],[Interest]]</f>
        <v>538.79366185703975</v>
      </c>
      <c r="O131" s="25">
        <f ca="1">PaymentSchedule3[[#This Row],[Cumulative
Interest]]-PaymentSchedule33[[#This Row],[Cumulative
Interest]]</f>
        <v>65051.394428508996</v>
      </c>
    </row>
    <row r="132" spans="2:15" x14ac:dyDescent="0.25">
      <c r="B132" s="23">
        <f ca="1">IF(LoanIsGood,IF(ROW()-ROW(PaymentSchedule33[[#Headers],[Payment Number]])&gt;ScheduledNumberOfPayments,"",ROW()-ROW(PaymentSchedule33[[#Headers],[Payment Number]])),"")</f>
        <v>119</v>
      </c>
      <c r="C132" s="24">
        <f ca="1">IF(PaymentSchedule33[[#This Row],[Payment Number]]&lt;&gt;"",EOMONTH(LoanStartDate,ROW(PaymentSchedule33[[#This Row],[Payment Number]])-ROW(PaymentSchedule33[[#Headers],[Payment Number]])-2)+DAY(LoanStartDate),"")</f>
        <v>49058</v>
      </c>
      <c r="D132" s="25">
        <f ca="1">IF(PaymentSchedule33[[#This Row],[Payment Number]]&lt;&gt;"",IF(ROW()-ROW(PaymentSchedule33[[#Headers],[Beginning
Balance]])=1,LoanAmount,INDEX(PaymentSchedule33[Ending
Balance],ROW()-ROW(PaymentSchedule33[[#Headers],[Beginning
Balance]])-1)),"")</f>
        <v>271770.19558268273</v>
      </c>
      <c r="E132" s="25">
        <f ca="1">IF(PaymentSchedule33[[#This Row],[Payment Number]]&lt;&gt;"",ScheduledPayment,"")</f>
        <v>1784.9318965153623</v>
      </c>
      <c r="F13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2" s="25">
        <f ca="1">IF(PaymentSchedule33[[#This Row],[Payment Number]]&lt;&gt;"",PaymentSchedule33[[#This Row],[Total
Payment]]-PaymentSchedule33[[#This Row],[Interest]],"")</f>
        <v>652.55608158751761</v>
      </c>
      <c r="I132" s="25">
        <f ca="1">IF(PaymentSchedule33[[#This Row],[Payment Number]]&lt;&gt;"",PaymentSchedule33[[#This Row],[Beginning
Balance]]*(InterestRate/PaymentsPerYear),"")</f>
        <v>1132.3758149278447</v>
      </c>
      <c r="J132" s="25">
        <f ca="1">IF(PaymentSchedule33[[#This Row],[Payment Number]]&lt;&gt;"",IF(PaymentSchedule33[[#This Row],[Scheduled Payment]]+PaymentSchedule33[[#This Row],[Extra
Payment]]&lt;=PaymentSchedule33[[#This Row],[Beginning
Balance]],PaymentSchedule33[[#This Row],[Beginning
Balance]]-PaymentSchedule33[[#This Row],[Principal]],0),"")</f>
        <v>271117.63950109523</v>
      </c>
      <c r="K132" s="25">
        <f ca="1">IF(PaymentSchedule33[[#This Row],[Payment Number]]&lt;&gt;"",SUM(INDEX(PaymentSchedule33[Interest],1,1):PaymentSchedule33[[#This Row],[Interest]]),"")</f>
        <v>151024.53518642343</v>
      </c>
      <c r="L132" s="25">
        <f ca="1">IF(PaymentSchedule33[[#This Row],[Payment Number]]&lt;&gt;"",SUM(INDEX(PaymentSchedule33[Principal],1,1):PaymentSchedule33[[#This Row],[Principal]]),"")</f>
        <v>61382.360498904673</v>
      </c>
      <c r="M132" s="25">
        <f ca="1">PaymentSchedule3[[#This Row],[Total
Payment]]-PaymentSchedule33[[#This Row],[Total
Payment]]</f>
        <v>427.19889995542212</v>
      </c>
      <c r="N132" s="25">
        <f ca="1">PaymentSchedule3[[#This Row],[Interest]]-PaymentSchedule33[[#This Row],[Interest]]</f>
        <v>538.36155066812603</v>
      </c>
      <c r="O132" s="25">
        <f ca="1">PaymentSchedule3[[#This Row],[Cumulative
Interest]]-PaymentSchedule33[[#This Row],[Cumulative
Interest]]</f>
        <v>65589.755979177105</v>
      </c>
    </row>
    <row r="133" spans="2:15" x14ac:dyDescent="0.25">
      <c r="B133" s="23">
        <f ca="1">IF(LoanIsGood,IF(ROW()-ROW(PaymentSchedule33[[#Headers],[Payment Number]])&gt;ScheduledNumberOfPayments,"",ROW()-ROW(PaymentSchedule33[[#Headers],[Payment Number]])),"")</f>
        <v>120</v>
      </c>
      <c r="C133" s="24">
        <f ca="1">IF(PaymentSchedule33[[#This Row],[Payment Number]]&lt;&gt;"",EOMONTH(LoanStartDate,ROW(PaymentSchedule33[[#This Row],[Payment Number]])-ROW(PaymentSchedule33[[#Headers],[Payment Number]])-2)+DAY(LoanStartDate),"")</f>
        <v>49088</v>
      </c>
      <c r="D133" s="25">
        <f ca="1">IF(PaymentSchedule33[[#This Row],[Payment Number]]&lt;&gt;"",IF(ROW()-ROW(PaymentSchedule33[[#Headers],[Beginning
Balance]])=1,LoanAmount,INDEX(PaymentSchedule33[Ending
Balance],ROW()-ROW(PaymentSchedule33[[#Headers],[Beginning
Balance]])-1)),"")</f>
        <v>271117.63950109523</v>
      </c>
      <c r="E133" s="25">
        <f ca="1">IF(PaymentSchedule33[[#This Row],[Payment Number]]&lt;&gt;"",ScheduledPayment,"")</f>
        <v>1784.9318965153623</v>
      </c>
      <c r="F13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3" s="25">
        <f ca="1">IF(PaymentSchedule33[[#This Row],[Payment Number]]&lt;&gt;"",PaymentSchedule33[[#This Row],[Total
Payment]]-PaymentSchedule33[[#This Row],[Interest]],"")</f>
        <v>655.27506526079878</v>
      </c>
      <c r="I133" s="25">
        <f ca="1">IF(PaymentSchedule33[[#This Row],[Payment Number]]&lt;&gt;"",PaymentSchedule33[[#This Row],[Beginning
Balance]]*(InterestRate/PaymentsPerYear),"")</f>
        <v>1129.6568312545635</v>
      </c>
      <c r="J133" s="25">
        <f ca="1">IF(PaymentSchedule33[[#This Row],[Payment Number]]&lt;&gt;"",IF(PaymentSchedule33[[#This Row],[Scheduled Payment]]+PaymentSchedule33[[#This Row],[Extra
Payment]]&lt;=PaymentSchedule33[[#This Row],[Beginning
Balance]],PaymentSchedule33[[#This Row],[Beginning
Balance]]-PaymentSchedule33[[#This Row],[Principal]],0),"")</f>
        <v>270462.3644358344</v>
      </c>
      <c r="K133" s="25">
        <f ca="1">IF(PaymentSchedule33[[#This Row],[Payment Number]]&lt;&gt;"",SUM(INDEX(PaymentSchedule33[Interest],1,1):PaymentSchedule33[[#This Row],[Interest]]),"")</f>
        <v>152154.192017678</v>
      </c>
      <c r="L133" s="25">
        <f ca="1">IF(PaymentSchedule33[[#This Row],[Payment Number]]&lt;&gt;"",SUM(INDEX(PaymentSchedule33[Principal],1,1):PaymentSchedule33[[#This Row],[Principal]]),"")</f>
        <v>62037.635564165474</v>
      </c>
      <c r="M133" s="25">
        <f ca="1">PaymentSchedule3[[#This Row],[Total
Payment]]-PaymentSchedule33[[#This Row],[Total
Payment]]</f>
        <v>427.19889995542212</v>
      </c>
      <c r="N133" s="25">
        <f ca="1">PaymentSchedule3[[#This Row],[Interest]]-PaymentSchedule33[[#This Row],[Interest]]</f>
        <v>537.92240599463753</v>
      </c>
      <c r="O133" s="25">
        <f ca="1">PaymentSchedule3[[#This Row],[Cumulative
Interest]]-PaymentSchedule33[[#This Row],[Cumulative
Interest]]</f>
        <v>66127.678385171748</v>
      </c>
    </row>
    <row r="134" spans="2:15" x14ac:dyDescent="0.25">
      <c r="B134" s="23">
        <f ca="1">IF(LoanIsGood,IF(ROW()-ROW(PaymentSchedule33[[#Headers],[Payment Number]])&gt;ScheduledNumberOfPayments,"",ROW()-ROW(PaymentSchedule33[[#Headers],[Payment Number]])),"")</f>
        <v>121</v>
      </c>
      <c r="C134" s="24">
        <f ca="1">IF(PaymentSchedule33[[#This Row],[Payment Number]]&lt;&gt;"",EOMONTH(LoanStartDate,ROW(PaymentSchedule33[[#This Row],[Payment Number]])-ROW(PaymentSchedule33[[#Headers],[Payment Number]])-2)+DAY(LoanStartDate),"")</f>
        <v>49119</v>
      </c>
      <c r="D134" s="25">
        <f ca="1">IF(PaymentSchedule33[[#This Row],[Payment Number]]&lt;&gt;"",IF(ROW()-ROW(PaymentSchedule33[[#Headers],[Beginning
Balance]])=1,LoanAmount,INDEX(PaymentSchedule33[Ending
Balance],ROW()-ROW(PaymentSchedule33[[#Headers],[Beginning
Balance]])-1)),"")</f>
        <v>270462.3644358344</v>
      </c>
      <c r="E134" s="25">
        <f ca="1">IF(PaymentSchedule33[[#This Row],[Payment Number]]&lt;&gt;"",ScheduledPayment,"")</f>
        <v>1784.9318965153623</v>
      </c>
      <c r="F13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4" s="25">
        <f ca="1">IF(PaymentSchedule33[[#This Row],[Payment Number]]&lt;&gt;"",PaymentSchedule33[[#This Row],[Total
Payment]]-PaymentSchedule33[[#This Row],[Interest]],"")</f>
        <v>658.00537803271891</v>
      </c>
      <c r="I134" s="25">
        <f ca="1">IF(PaymentSchedule33[[#This Row],[Payment Number]]&lt;&gt;"",PaymentSchedule33[[#This Row],[Beginning
Balance]]*(InterestRate/PaymentsPerYear),"")</f>
        <v>1126.9265184826434</v>
      </c>
      <c r="J134" s="25">
        <f ca="1">IF(PaymentSchedule33[[#This Row],[Payment Number]]&lt;&gt;"",IF(PaymentSchedule33[[#This Row],[Scheduled Payment]]+PaymentSchedule33[[#This Row],[Extra
Payment]]&lt;=PaymentSchedule33[[#This Row],[Beginning
Balance]],PaymentSchedule33[[#This Row],[Beginning
Balance]]-PaymentSchedule33[[#This Row],[Principal]],0),"")</f>
        <v>269804.35905780166</v>
      </c>
      <c r="K134" s="25">
        <f ca="1">IF(PaymentSchedule33[[#This Row],[Payment Number]]&lt;&gt;"",SUM(INDEX(PaymentSchedule33[Interest],1,1):PaymentSchedule33[[#This Row],[Interest]]),"")</f>
        <v>153281.11853616065</v>
      </c>
      <c r="L134" s="25">
        <f ca="1">IF(PaymentSchedule33[[#This Row],[Payment Number]]&lt;&gt;"",SUM(INDEX(PaymentSchedule33[Principal],1,1):PaymentSchedule33[[#This Row],[Principal]]),"")</f>
        <v>62695.640942198195</v>
      </c>
      <c r="M134" s="25">
        <f ca="1">PaymentSchedule3[[#This Row],[Total
Payment]]-PaymentSchedule33[[#This Row],[Total
Payment]]</f>
        <v>427.19889995542212</v>
      </c>
      <c r="N134" s="25">
        <f ca="1">PaymentSchedule3[[#This Row],[Interest]]-PaymentSchedule33[[#This Row],[Interest]]</f>
        <v>537.47616800443166</v>
      </c>
      <c r="O134" s="25">
        <f ca="1">PaymentSchedule3[[#This Row],[Cumulative
Interest]]-PaymentSchedule33[[#This Row],[Cumulative
Interest]]</f>
        <v>66665.154553176166</v>
      </c>
    </row>
    <row r="135" spans="2:15" x14ac:dyDescent="0.25">
      <c r="B135" s="23">
        <f ca="1">IF(LoanIsGood,IF(ROW()-ROW(PaymentSchedule33[[#Headers],[Payment Number]])&gt;ScheduledNumberOfPayments,"",ROW()-ROW(PaymentSchedule33[[#Headers],[Payment Number]])),"")</f>
        <v>122</v>
      </c>
      <c r="C135" s="24">
        <f ca="1">IF(PaymentSchedule33[[#This Row],[Payment Number]]&lt;&gt;"",EOMONTH(LoanStartDate,ROW(PaymentSchedule33[[#This Row],[Payment Number]])-ROW(PaymentSchedule33[[#Headers],[Payment Number]])-2)+DAY(LoanStartDate),"")</f>
        <v>49149</v>
      </c>
      <c r="D135" s="25">
        <f ca="1">IF(PaymentSchedule33[[#This Row],[Payment Number]]&lt;&gt;"",IF(ROW()-ROW(PaymentSchedule33[[#Headers],[Beginning
Balance]])=1,LoanAmount,INDEX(PaymentSchedule33[Ending
Balance],ROW()-ROW(PaymentSchedule33[[#Headers],[Beginning
Balance]])-1)),"")</f>
        <v>269804.35905780166</v>
      </c>
      <c r="E135" s="25">
        <f ca="1">IF(PaymentSchedule33[[#This Row],[Payment Number]]&lt;&gt;"",ScheduledPayment,"")</f>
        <v>1784.9318965153623</v>
      </c>
      <c r="F13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5" s="25">
        <f ca="1">IF(PaymentSchedule33[[#This Row],[Payment Number]]&lt;&gt;"",PaymentSchedule33[[#This Row],[Total
Payment]]-PaymentSchedule33[[#This Row],[Interest]],"")</f>
        <v>660.7470671078554</v>
      </c>
      <c r="I135" s="25">
        <f ca="1">IF(PaymentSchedule33[[#This Row],[Payment Number]]&lt;&gt;"",PaymentSchedule33[[#This Row],[Beginning
Balance]]*(InterestRate/PaymentsPerYear),"")</f>
        <v>1124.1848294075069</v>
      </c>
      <c r="J135" s="25">
        <f ca="1">IF(PaymentSchedule33[[#This Row],[Payment Number]]&lt;&gt;"",IF(PaymentSchedule33[[#This Row],[Scheduled Payment]]+PaymentSchedule33[[#This Row],[Extra
Payment]]&lt;=PaymentSchedule33[[#This Row],[Beginning
Balance]],PaymentSchedule33[[#This Row],[Beginning
Balance]]-PaymentSchedule33[[#This Row],[Principal]],0),"")</f>
        <v>269143.61199069378</v>
      </c>
      <c r="K135" s="25">
        <f ca="1">IF(PaymentSchedule33[[#This Row],[Payment Number]]&lt;&gt;"",SUM(INDEX(PaymentSchedule33[Interest],1,1):PaymentSchedule33[[#This Row],[Interest]]),"")</f>
        <v>154405.30336556816</v>
      </c>
      <c r="L135" s="25">
        <f ca="1">IF(PaymentSchedule33[[#This Row],[Payment Number]]&lt;&gt;"",SUM(INDEX(PaymentSchedule33[Principal],1,1):PaymentSchedule33[[#This Row],[Principal]]),"")</f>
        <v>63356.388009306051</v>
      </c>
      <c r="M135" s="25">
        <f ca="1">PaymentSchedule3[[#This Row],[Total
Payment]]-PaymentSchedule33[[#This Row],[Total
Payment]]</f>
        <v>427.19889995542212</v>
      </c>
      <c r="N135" s="25">
        <f ca="1">PaymentSchedule3[[#This Row],[Interest]]-PaymentSchedule33[[#This Row],[Interest]]</f>
        <v>537.02277643799653</v>
      </c>
      <c r="O135" s="25">
        <f ca="1">PaymentSchedule3[[#This Row],[Cumulative
Interest]]-PaymentSchedule33[[#This Row],[Cumulative
Interest]]</f>
        <v>67202.177329614147</v>
      </c>
    </row>
    <row r="136" spans="2:15" x14ac:dyDescent="0.25">
      <c r="B136" s="23">
        <f ca="1">IF(LoanIsGood,IF(ROW()-ROW(PaymentSchedule33[[#Headers],[Payment Number]])&gt;ScheduledNumberOfPayments,"",ROW()-ROW(PaymentSchedule33[[#Headers],[Payment Number]])),"")</f>
        <v>123</v>
      </c>
      <c r="C136" s="24">
        <f ca="1">IF(PaymentSchedule33[[#This Row],[Payment Number]]&lt;&gt;"",EOMONTH(LoanStartDate,ROW(PaymentSchedule33[[#This Row],[Payment Number]])-ROW(PaymentSchedule33[[#Headers],[Payment Number]])-2)+DAY(LoanStartDate),"")</f>
        <v>49180</v>
      </c>
      <c r="D136" s="25">
        <f ca="1">IF(PaymentSchedule33[[#This Row],[Payment Number]]&lt;&gt;"",IF(ROW()-ROW(PaymentSchedule33[[#Headers],[Beginning
Balance]])=1,LoanAmount,INDEX(PaymentSchedule33[Ending
Balance],ROW()-ROW(PaymentSchedule33[[#Headers],[Beginning
Balance]])-1)),"")</f>
        <v>269143.61199069378</v>
      </c>
      <c r="E136" s="25">
        <f ca="1">IF(PaymentSchedule33[[#This Row],[Payment Number]]&lt;&gt;"",ScheduledPayment,"")</f>
        <v>1784.9318965153623</v>
      </c>
      <c r="F13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6" s="25">
        <f ca="1">IF(PaymentSchedule33[[#This Row],[Payment Number]]&lt;&gt;"",PaymentSchedule33[[#This Row],[Total
Payment]]-PaymentSchedule33[[#This Row],[Interest]],"")</f>
        <v>663.50017988747163</v>
      </c>
      <c r="I136" s="25">
        <f ca="1">IF(PaymentSchedule33[[#This Row],[Payment Number]]&lt;&gt;"",PaymentSchedule33[[#This Row],[Beginning
Balance]]*(InterestRate/PaymentsPerYear),"")</f>
        <v>1121.4317166278906</v>
      </c>
      <c r="J136" s="25">
        <f ca="1">IF(PaymentSchedule33[[#This Row],[Payment Number]]&lt;&gt;"",IF(PaymentSchedule33[[#This Row],[Scheduled Payment]]+PaymentSchedule33[[#This Row],[Extra
Payment]]&lt;=PaymentSchedule33[[#This Row],[Beginning
Balance]],PaymentSchedule33[[#This Row],[Beginning
Balance]]-PaymentSchedule33[[#This Row],[Principal]],0),"")</f>
        <v>268480.11181080632</v>
      </c>
      <c r="K136" s="25">
        <f ca="1">IF(PaymentSchedule33[[#This Row],[Payment Number]]&lt;&gt;"",SUM(INDEX(PaymentSchedule33[Interest],1,1):PaymentSchedule33[[#This Row],[Interest]]),"")</f>
        <v>155526.73508219604</v>
      </c>
      <c r="L136" s="25">
        <f ca="1">IF(PaymentSchedule33[[#This Row],[Payment Number]]&lt;&gt;"",SUM(INDEX(PaymentSchedule33[Principal],1,1):PaymentSchedule33[[#This Row],[Principal]]),"")</f>
        <v>64019.888189193523</v>
      </c>
      <c r="M136" s="25">
        <f ca="1">PaymentSchedule3[[#This Row],[Total
Payment]]-PaymentSchedule33[[#This Row],[Total
Payment]]</f>
        <v>427.19889995542212</v>
      </c>
      <c r="N136" s="25">
        <f ca="1">PaymentSchedule3[[#This Row],[Interest]]-PaymentSchedule33[[#This Row],[Interest]]</f>
        <v>536.56217060563199</v>
      </c>
      <c r="O136" s="25">
        <f ca="1">PaymentSchedule3[[#This Row],[Cumulative
Interest]]-PaymentSchedule33[[#This Row],[Cumulative
Interest]]</f>
        <v>67738.739500219788</v>
      </c>
    </row>
    <row r="137" spans="2:15" x14ac:dyDescent="0.25">
      <c r="B137" s="23">
        <f ca="1">IF(LoanIsGood,IF(ROW()-ROW(PaymentSchedule33[[#Headers],[Payment Number]])&gt;ScheduledNumberOfPayments,"",ROW()-ROW(PaymentSchedule33[[#Headers],[Payment Number]])),"")</f>
        <v>124</v>
      </c>
      <c r="C137" s="24">
        <f ca="1">IF(PaymentSchedule33[[#This Row],[Payment Number]]&lt;&gt;"",EOMONTH(LoanStartDate,ROW(PaymentSchedule33[[#This Row],[Payment Number]])-ROW(PaymentSchedule33[[#Headers],[Payment Number]])-2)+DAY(LoanStartDate),"")</f>
        <v>49211</v>
      </c>
      <c r="D137" s="25">
        <f ca="1">IF(PaymentSchedule33[[#This Row],[Payment Number]]&lt;&gt;"",IF(ROW()-ROW(PaymentSchedule33[[#Headers],[Beginning
Balance]])=1,LoanAmount,INDEX(PaymentSchedule33[Ending
Balance],ROW()-ROW(PaymentSchedule33[[#Headers],[Beginning
Balance]])-1)),"")</f>
        <v>268480.11181080632</v>
      </c>
      <c r="E137" s="25">
        <f ca="1">IF(PaymentSchedule33[[#This Row],[Payment Number]]&lt;&gt;"",ScheduledPayment,"")</f>
        <v>1784.9318965153623</v>
      </c>
      <c r="F13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7" s="25">
        <f ca="1">IF(PaymentSchedule33[[#This Row],[Payment Number]]&lt;&gt;"",PaymentSchedule33[[#This Row],[Total
Payment]]-PaymentSchedule33[[#This Row],[Interest]],"")</f>
        <v>666.26476397033593</v>
      </c>
      <c r="I137" s="25">
        <f ca="1">IF(PaymentSchedule33[[#This Row],[Payment Number]]&lt;&gt;"",PaymentSchedule33[[#This Row],[Beginning
Balance]]*(InterestRate/PaymentsPerYear),"")</f>
        <v>1118.6671325450263</v>
      </c>
      <c r="J137" s="25">
        <f ca="1">IF(PaymentSchedule33[[#This Row],[Payment Number]]&lt;&gt;"",IF(PaymentSchedule33[[#This Row],[Scheduled Payment]]+PaymentSchedule33[[#This Row],[Extra
Payment]]&lt;=PaymentSchedule33[[#This Row],[Beginning
Balance]],PaymentSchedule33[[#This Row],[Beginning
Balance]]-PaymentSchedule33[[#This Row],[Principal]],0),"")</f>
        <v>267813.84704683599</v>
      </c>
      <c r="K137" s="25">
        <f ca="1">IF(PaymentSchedule33[[#This Row],[Payment Number]]&lt;&gt;"",SUM(INDEX(PaymentSchedule33[Interest],1,1):PaymentSchedule33[[#This Row],[Interest]]),"")</f>
        <v>156645.40221474107</v>
      </c>
      <c r="L137" s="25">
        <f ca="1">IF(PaymentSchedule33[[#This Row],[Payment Number]]&lt;&gt;"",SUM(INDEX(PaymentSchedule33[Principal],1,1):PaymentSchedule33[[#This Row],[Principal]]),"")</f>
        <v>64686.152953163859</v>
      </c>
      <c r="M137" s="25">
        <f ca="1">PaymentSchedule3[[#This Row],[Total
Payment]]-PaymentSchedule33[[#This Row],[Total
Payment]]</f>
        <v>427.19889995542212</v>
      </c>
      <c r="N137" s="25">
        <f ca="1">PaymentSchedule3[[#This Row],[Interest]]-PaymentSchedule33[[#This Row],[Interest]]</f>
        <v>536.09428938461224</v>
      </c>
      <c r="O137" s="25">
        <f ca="1">PaymentSchedule3[[#This Row],[Cumulative
Interest]]-PaymentSchedule33[[#This Row],[Cumulative
Interest]]</f>
        <v>68274.833789604396</v>
      </c>
    </row>
    <row r="138" spans="2:15" x14ac:dyDescent="0.25">
      <c r="B138" s="23">
        <f ca="1">IF(LoanIsGood,IF(ROW()-ROW(PaymentSchedule33[[#Headers],[Payment Number]])&gt;ScheduledNumberOfPayments,"",ROW()-ROW(PaymentSchedule33[[#Headers],[Payment Number]])),"")</f>
        <v>125</v>
      </c>
      <c r="C138" s="24">
        <f ca="1">IF(PaymentSchedule33[[#This Row],[Payment Number]]&lt;&gt;"",EOMONTH(LoanStartDate,ROW(PaymentSchedule33[[#This Row],[Payment Number]])-ROW(PaymentSchedule33[[#Headers],[Payment Number]])-2)+DAY(LoanStartDate),"")</f>
        <v>49241</v>
      </c>
      <c r="D138" s="25">
        <f ca="1">IF(PaymentSchedule33[[#This Row],[Payment Number]]&lt;&gt;"",IF(ROW()-ROW(PaymentSchedule33[[#Headers],[Beginning
Balance]])=1,LoanAmount,INDEX(PaymentSchedule33[Ending
Balance],ROW()-ROW(PaymentSchedule33[[#Headers],[Beginning
Balance]])-1)),"")</f>
        <v>267813.84704683599</v>
      </c>
      <c r="E138" s="25">
        <f ca="1">IF(PaymentSchedule33[[#This Row],[Payment Number]]&lt;&gt;"",ScheduledPayment,"")</f>
        <v>1784.9318965153623</v>
      </c>
      <c r="F13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8" s="25">
        <f ca="1">IF(PaymentSchedule33[[#This Row],[Payment Number]]&lt;&gt;"",PaymentSchedule33[[#This Row],[Total
Payment]]-PaymentSchedule33[[#This Row],[Interest]],"")</f>
        <v>669.04086715354561</v>
      </c>
      <c r="I138" s="25">
        <f ca="1">IF(PaymentSchedule33[[#This Row],[Payment Number]]&lt;&gt;"",PaymentSchedule33[[#This Row],[Beginning
Balance]]*(InterestRate/PaymentsPerYear),"")</f>
        <v>1115.8910293618167</v>
      </c>
      <c r="J138" s="25">
        <f ca="1">IF(PaymentSchedule33[[#This Row],[Payment Number]]&lt;&gt;"",IF(PaymentSchedule33[[#This Row],[Scheduled Payment]]+PaymentSchedule33[[#This Row],[Extra
Payment]]&lt;=PaymentSchedule33[[#This Row],[Beginning
Balance]],PaymentSchedule33[[#This Row],[Beginning
Balance]]-PaymentSchedule33[[#This Row],[Principal]],0),"")</f>
        <v>267144.80617968243</v>
      </c>
      <c r="K138" s="25">
        <f ca="1">IF(PaymentSchedule33[[#This Row],[Payment Number]]&lt;&gt;"",SUM(INDEX(PaymentSchedule33[Interest],1,1):PaymentSchedule33[[#This Row],[Interest]]),"")</f>
        <v>157761.29324410288</v>
      </c>
      <c r="L138" s="25">
        <f ca="1">IF(PaymentSchedule33[[#This Row],[Payment Number]]&lt;&gt;"",SUM(INDEX(PaymentSchedule33[Principal],1,1):PaymentSchedule33[[#This Row],[Principal]]),"")</f>
        <v>65355.193820317407</v>
      </c>
      <c r="M138" s="25">
        <f ca="1">PaymentSchedule3[[#This Row],[Total
Payment]]-PaymentSchedule33[[#This Row],[Total
Payment]]</f>
        <v>427.19889995542212</v>
      </c>
      <c r="N138" s="25">
        <f ca="1">PaymentSchedule3[[#This Row],[Interest]]-PaymentSchedule33[[#This Row],[Interest]]</f>
        <v>535.6190712163318</v>
      </c>
      <c r="O138" s="25">
        <f ca="1">PaymentSchedule3[[#This Row],[Cumulative
Interest]]-PaymentSchedule33[[#This Row],[Cumulative
Interest]]</f>
        <v>68810.452860820747</v>
      </c>
    </row>
    <row r="139" spans="2:15" x14ac:dyDescent="0.25">
      <c r="B139" s="23">
        <f ca="1">IF(LoanIsGood,IF(ROW()-ROW(PaymentSchedule33[[#Headers],[Payment Number]])&gt;ScheduledNumberOfPayments,"",ROW()-ROW(PaymentSchedule33[[#Headers],[Payment Number]])),"")</f>
        <v>126</v>
      </c>
      <c r="C139" s="24">
        <f ca="1">IF(PaymentSchedule33[[#This Row],[Payment Number]]&lt;&gt;"",EOMONTH(LoanStartDate,ROW(PaymentSchedule33[[#This Row],[Payment Number]])-ROW(PaymentSchedule33[[#Headers],[Payment Number]])-2)+DAY(LoanStartDate),"")</f>
        <v>49272</v>
      </c>
      <c r="D139" s="25">
        <f ca="1">IF(PaymentSchedule33[[#This Row],[Payment Number]]&lt;&gt;"",IF(ROW()-ROW(PaymentSchedule33[[#Headers],[Beginning
Balance]])=1,LoanAmount,INDEX(PaymentSchedule33[Ending
Balance],ROW()-ROW(PaymentSchedule33[[#Headers],[Beginning
Balance]])-1)),"")</f>
        <v>267144.80617968243</v>
      </c>
      <c r="E139" s="25">
        <f ca="1">IF(PaymentSchedule33[[#This Row],[Payment Number]]&lt;&gt;"",ScheduledPayment,"")</f>
        <v>1784.9318965153623</v>
      </c>
      <c r="F13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3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39" s="25">
        <f ca="1">IF(PaymentSchedule33[[#This Row],[Payment Number]]&lt;&gt;"",PaymentSchedule33[[#This Row],[Total
Payment]]-PaymentSchedule33[[#This Row],[Interest]],"")</f>
        <v>671.82853743335204</v>
      </c>
      <c r="I139" s="25">
        <f ca="1">IF(PaymentSchedule33[[#This Row],[Payment Number]]&lt;&gt;"",PaymentSchedule33[[#This Row],[Beginning
Balance]]*(InterestRate/PaymentsPerYear),"")</f>
        <v>1113.1033590820102</v>
      </c>
      <c r="J139" s="25">
        <f ca="1">IF(PaymentSchedule33[[#This Row],[Payment Number]]&lt;&gt;"",IF(PaymentSchedule33[[#This Row],[Scheduled Payment]]+PaymentSchedule33[[#This Row],[Extra
Payment]]&lt;=PaymentSchedule33[[#This Row],[Beginning
Balance]],PaymentSchedule33[[#This Row],[Beginning
Balance]]-PaymentSchedule33[[#This Row],[Principal]],0),"")</f>
        <v>266472.97764224908</v>
      </c>
      <c r="K139" s="25">
        <f ca="1">IF(PaymentSchedule33[[#This Row],[Payment Number]]&lt;&gt;"",SUM(INDEX(PaymentSchedule33[Interest],1,1):PaymentSchedule33[[#This Row],[Interest]]),"")</f>
        <v>158874.3966031849</v>
      </c>
      <c r="L139" s="25">
        <f ca="1">IF(PaymentSchedule33[[#This Row],[Payment Number]]&lt;&gt;"",SUM(INDEX(PaymentSchedule33[Principal],1,1):PaymentSchedule33[[#This Row],[Principal]]),"")</f>
        <v>66027.022357750757</v>
      </c>
      <c r="M139" s="25">
        <f ca="1">PaymentSchedule3[[#This Row],[Total
Payment]]-PaymentSchedule33[[#This Row],[Total
Payment]]</f>
        <v>427.19889995542212</v>
      </c>
      <c r="N139" s="25">
        <f ca="1">PaymentSchedule3[[#This Row],[Interest]]-PaymentSchedule33[[#This Row],[Interest]]</f>
        <v>535.13645410343111</v>
      </c>
      <c r="O139" s="25">
        <f ca="1">PaymentSchedule3[[#This Row],[Cumulative
Interest]]-PaymentSchedule33[[#This Row],[Cumulative
Interest]]</f>
        <v>69345.589314924175</v>
      </c>
    </row>
    <row r="140" spans="2:15" x14ac:dyDescent="0.25">
      <c r="B140" s="23">
        <f ca="1">IF(LoanIsGood,IF(ROW()-ROW(PaymentSchedule33[[#Headers],[Payment Number]])&gt;ScheduledNumberOfPayments,"",ROW()-ROW(PaymentSchedule33[[#Headers],[Payment Number]])),"")</f>
        <v>127</v>
      </c>
      <c r="C140" s="24">
        <f ca="1">IF(PaymentSchedule33[[#This Row],[Payment Number]]&lt;&gt;"",EOMONTH(LoanStartDate,ROW(PaymentSchedule33[[#This Row],[Payment Number]])-ROW(PaymentSchedule33[[#Headers],[Payment Number]])-2)+DAY(LoanStartDate),"")</f>
        <v>49302</v>
      </c>
      <c r="D140" s="25">
        <f ca="1">IF(PaymentSchedule33[[#This Row],[Payment Number]]&lt;&gt;"",IF(ROW()-ROW(PaymentSchedule33[[#Headers],[Beginning
Balance]])=1,LoanAmount,INDEX(PaymentSchedule33[Ending
Balance],ROW()-ROW(PaymentSchedule33[[#Headers],[Beginning
Balance]])-1)),"")</f>
        <v>266472.97764224908</v>
      </c>
      <c r="E140" s="25">
        <f ca="1">IF(PaymentSchedule33[[#This Row],[Payment Number]]&lt;&gt;"",ScheduledPayment,"")</f>
        <v>1784.9318965153623</v>
      </c>
      <c r="F14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0" s="25">
        <f ca="1">IF(PaymentSchedule33[[#This Row],[Payment Number]]&lt;&gt;"",PaymentSchedule33[[#This Row],[Total
Payment]]-PaymentSchedule33[[#This Row],[Interest]],"")</f>
        <v>674.6278230059911</v>
      </c>
      <c r="I140" s="25">
        <f ca="1">IF(PaymentSchedule33[[#This Row],[Payment Number]]&lt;&gt;"",PaymentSchedule33[[#This Row],[Beginning
Balance]]*(InterestRate/PaymentsPerYear),"")</f>
        <v>1110.3040735093712</v>
      </c>
      <c r="J140" s="25">
        <f ca="1">IF(PaymentSchedule33[[#This Row],[Payment Number]]&lt;&gt;"",IF(PaymentSchedule33[[#This Row],[Scheduled Payment]]+PaymentSchedule33[[#This Row],[Extra
Payment]]&lt;=PaymentSchedule33[[#This Row],[Beginning
Balance]],PaymentSchedule33[[#This Row],[Beginning
Balance]]-PaymentSchedule33[[#This Row],[Principal]],0),"")</f>
        <v>265798.34981924307</v>
      </c>
      <c r="K140" s="25">
        <f ca="1">IF(PaymentSchedule33[[#This Row],[Payment Number]]&lt;&gt;"",SUM(INDEX(PaymentSchedule33[Interest],1,1):PaymentSchedule33[[#This Row],[Interest]]),"")</f>
        <v>159984.70067669428</v>
      </c>
      <c r="L140" s="25">
        <f ca="1">IF(PaymentSchedule33[[#This Row],[Payment Number]]&lt;&gt;"",SUM(INDEX(PaymentSchedule33[Principal],1,1):PaymentSchedule33[[#This Row],[Principal]]),"")</f>
        <v>66701.650180756755</v>
      </c>
      <c r="M140" s="25">
        <f ca="1">PaymentSchedule3[[#This Row],[Total
Payment]]-PaymentSchedule33[[#This Row],[Total
Payment]]</f>
        <v>427.19889995542212</v>
      </c>
      <c r="N140" s="25">
        <f ca="1">PaymentSchedule3[[#This Row],[Interest]]-PaymentSchedule33[[#This Row],[Interest]]</f>
        <v>534.64637560690585</v>
      </c>
      <c r="O140" s="25">
        <f ca="1">PaymentSchedule3[[#This Row],[Cumulative
Interest]]-PaymentSchedule33[[#This Row],[Cumulative
Interest]]</f>
        <v>69880.235690531059</v>
      </c>
    </row>
    <row r="141" spans="2:15" x14ac:dyDescent="0.25">
      <c r="B141" s="23">
        <f ca="1">IF(LoanIsGood,IF(ROW()-ROW(PaymentSchedule33[[#Headers],[Payment Number]])&gt;ScheduledNumberOfPayments,"",ROW()-ROW(PaymentSchedule33[[#Headers],[Payment Number]])),"")</f>
        <v>128</v>
      </c>
      <c r="C141" s="24">
        <f ca="1">IF(PaymentSchedule33[[#This Row],[Payment Number]]&lt;&gt;"",EOMONTH(LoanStartDate,ROW(PaymentSchedule33[[#This Row],[Payment Number]])-ROW(PaymentSchedule33[[#Headers],[Payment Number]])-2)+DAY(LoanStartDate),"")</f>
        <v>49333</v>
      </c>
      <c r="D141" s="25">
        <f ca="1">IF(PaymentSchedule33[[#This Row],[Payment Number]]&lt;&gt;"",IF(ROW()-ROW(PaymentSchedule33[[#Headers],[Beginning
Balance]])=1,LoanAmount,INDEX(PaymentSchedule33[Ending
Balance],ROW()-ROW(PaymentSchedule33[[#Headers],[Beginning
Balance]])-1)),"")</f>
        <v>265798.34981924307</v>
      </c>
      <c r="E141" s="25">
        <f ca="1">IF(PaymentSchedule33[[#This Row],[Payment Number]]&lt;&gt;"",ScheduledPayment,"")</f>
        <v>1784.9318965153623</v>
      </c>
      <c r="F14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1" s="25">
        <f ca="1">IF(PaymentSchedule33[[#This Row],[Payment Number]]&lt;&gt;"",PaymentSchedule33[[#This Row],[Total
Payment]]-PaymentSchedule33[[#This Row],[Interest]],"")</f>
        <v>677.43877226851623</v>
      </c>
      <c r="I141" s="25">
        <f ca="1">IF(PaymentSchedule33[[#This Row],[Payment Number]]&lt;&gt;"",PaymentSchedule33[[#This Row],[Beginning
Balance]]*(InterestRate/PaymentsPerYear),"")</f>
        <v>1107.493124246846</v>
      </c>
      <c r="J141" s="25">
        <f ca="1">IF(PaymentSchedule33[[#This Row],[Payment Number]]&lt;&gt;"",IF(PaymentSchedule33[[#This Row],[Scheduled Payment]]+PaymentSchedule33[[#This Row],[Extra
Payment]]&lt;=PaymentSchedule33[[#This Row],[Beginning
Balance]],PaymentSchedule33[[#This Row],[Beginning
Balance]]-PaymentSchedule33[[#This Row],[Principal]],0),"")</f>
        <v>265120.91104697454</v>
      </c>
      <c r="K141" s="25">
        <f ca="1">IF(PaymentSchedule33[[#This Row],[Payment Number]]&lt;&gt;"",SUM(INDEX(PaymentSchedule33[Interest],1,1):PaymentSchedule33[[#This Row],[Interest]]),"")</f>
        <v>161092.19380094114</v>
      </c>
      <c r="L141" s="25">
        <f ca="1">IF(PaymentSchedule33[[#This Row],[Payment Number]]&lt;&gt;"",SUM(INDEX(PaymentSchedule33[Principal],1,1):PaymentSchedule33[[#This Row],[Principal]]),"")</f>
        <v>67379.088953025275</v>
      </c>
      <c r="M141" s="25">
        <f ca="1">PaymentSchedule3[[#This Row],[Total
Payment]]-PaymentSchedule33[[#This Row],[Total
Payment]]</f>
        <v>427.19889995542212</v>
      </c>
      <c r="N141" s="25">
        <f ca="1">PaymentSchedule3[[#This Row],[Interest]]-PaymentSchedule33[[#This Row],[Interest]]</f>
        <v>534.14877284319641</v>
      </c>
      <c r="O141" s="25">
        <f ca="1">PaymentSchedule3[[#This Row],[Cumulative
Interest]]-PaymentSchedule33[[#This Row],[Cumulative
Interest]]</f>
        <v>70414.384463374241</v>
      </c>
    </row>
    <row r="142" spans="2:15" x14ac:dyDescent="0.25">
      <c r="B142" s="23">
        <f ca="1">IF(LoanIsGood,IF(ROW()-ROW(PaymentSchedule33[[#Headers],[Payment Number]])&gt;ScheduledNumberOfPayments,"",ROW()-ROW(PaymentSchedule33[[#Headers],[Payment Number]])),"")</f>
        <v>129</v>
      </c>
      <c r="C142" s="24">
        <f ca="1">IF(PaymentSchedule33[[#This Row],[Payment Number]]&lt;&gt;"",EOMONTH(LoanStartDate,ROW(PaymentSchedule33[[#This Row],[Payment Number]])-ROW(PaymentSchedule33[[#Headers],[Payment Number]])-2)+DAY(LoanStartDate),"")</f>
        <v>49364</v>
      </c>
      <c r="D142" s="25">
        <f ca="1">IF(PaymentSchedule33[[#This Row],[Payment Number]]&lt;&gt;"",IF(ROW()-ROW(PaymentSchedule33[[#Headers],[Beginning
Balance]])=1,LoanAmount,INDEX(PaymentSchedule33[Ending
Balance],ROW()-ROW(PaymentSchedule33[[#Headers],[Beginning
Balance]])-1)),"")</f>
        <v>265120.91104697454</v>
      </c>
      <c r="E142" s="25">
        <f ca="1">IF(PaymentSchedule33[[#This Row],[Payment Number]]&lt;&gt;"",ScheduledPayment,"")</f>
        <v>1784.9318965153623</v>
      </c>
      <c r="F14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2" s="25">
        <f ca="1">IF(PaymentSchedule33[[#This Row],[Payment Number]]&lt;&gt;"",PaymentSchedule33[[#This Row],[Total
Payment]]-PaymentSchedule33[[#This Row],[Interest]],"")</f>
        <v>680.26143381963516</v>
      </c>
      <c r="I142" s="25">
        <f ca="1">IF(PaymentSchedule33[[#This Row],[Payment Number]]&lt;&gt;"",PaymentSchedule33[[#This Row],[Beginning
Balance]]*(InterestRate/PaymentsPerYear),"")</f>
        <v>1104.6704626957271</v>
      </c>
      <c r="J142" s="25">
        <f ca="1">IF(PaymentSchedule33[[#This Row],[Payment Number]]&lt;&gt;"",IF(PaymentSchedule33[[#This Row],[Scheduled Payment]]+PaymentSchedule33[[#This Row],[Extra
Payment]]&lt;=PaymentSchedule33[[#This Row],[Beginning
Balance]],PaymentSchedule33[[#This Row],[Beginning
Balance]]-PaymentSchedule33[[#This Row],[Principal]],0),"")</f>
        <v>264440.64961315488</v>
      </c>
      <c r="K142" s="25">
        <f ca="1">IF(PaymentSchedule33[[#This Row],[Payment Number]]&lt;&gt;"",SUM(INDEX(PaymentSchedule33[Interest],1,1):PaymentSchedule33[[#This Row],[Interest]]),"")</f>
        <v>162196.86426363687</v>
      </c>
      <c r="L142" s="25">
        <f ca="1">IF(PaymentSchedule33[[#This Row],[Payment Number]]&lt;&gt;"",SUM(INDEX(PaymentSchedule33[Principal],1,1):PaymentSchedule33[[#This Row],[Principal]]),"")</f>
        <v>68059.350386844904</v>
      </c>
      <c r="M142" s="25">
        <f ca="1">PaymentSchedule3[[#This Row],[Total
Payment]]-PaymentSchedule33[[#This Row],[Total
Payment]]</f>
        <v>427.19889995542212</v>
      </c>
      <c r="N142" s="25">
        <f ca="1">PaymentSchedule3[[#This Row],[Interest]]-PaymentSchedule33[[#This Row],[Interest]]</f>
        <v>533.64358248126109</v>
      </c>
      <c r="O142" s="25">
        <f ca="1">PaymentSchedule3[[#This Row],[Cumulative
Interest]]-PaymentSchedule33[[#This Row],[Cumulative
Interest]]</f>
        <v>70948.028045855492</v>
      </c>
    </row>
    <row r="143" spans="2:15" x14ac:dyDescent="0.25">
      <c r="B143" s="23">
        <f ca="1">IF(LoanIsGood,IF(ROW()-ROW(PaymentSchedule33[[#Headers],[Payment Number]])&gt;ScheduledNumberOfPayments,"",ROW()-ROW(PaymentSchedule33[[#Headers],[Payment Number]])),"")</f>
        <v>130</v>
      </c>
      <c r="C143" s="24">
        <f ca="1">IF(PaymentSchedule33[[#This Row],[Payment Number]]&lt;&gt;"",EOMONTH(LoanStartDate,ROW(PaymentSchedule33[[#This Row],[Payment Number]])-ROW(PaymentSchedule33[[#Headers],[Payment Number]])-2)+DAY(LoanStartDate),"")</f>
        <v>49392</v>
      </c>
      <c r="D143" s="25">
        <f ca="1">IF(PaymentSchedule33[[#This Row],[Payment Number]]&lt;&gt;"",IF(ROW()-ROW(PaymentSchedule33[[#Headers],[Beginning
Balance]])=1,LoanAmount,INDEX(PaymentSchedule33[Ending
Balance],ROW()-ROW(PaymentSchedule33[[#Headers],[Beginning
Balance]])-1)),"")</f>
        <v>264440.64961315488</v>
      </c>
      <c r="E143" s="25">
        <f ca="1">IF(PaymentSchedule33[[#This Row],[Payment Number]]&lt;&gt;"",ScheduledPayment,"")</f>
        <v>1784.9318965153623</v>
      </c>
      <c r="F14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3" s="25">
        <f ca="1">IF(PaymentSchedule33[[#This Row],[Payment Number]]&lt;&gt;"",PaymentSchedule33[[#This Row],[Total
Payment]]-PaymentSchedule33[[#This Row],[Interest]],"")</f>
        <v>683.09585646055029</v>
      </c>
      <c r="I143" s="25">
        <f ca="1">IF(PaymentSchedule33[[#This Row],[Payment Number]]&lt;&gt;"",PaymentSchedule33[[#This Row],[Beginning
Balance]]*(InterestRate/PaymentsPerYear),"")</f>
        <v>1101.836040054812</v>
      </c>
      <c r="J143" s="25">
        <f ca="1">IF(PaymentSchedule33[[#This Row],[Payment Number]]&lt;&gt;"",IF(PaymentSchedule33[[#This Row],[Scheduled Payment]]+PaymentSchedule33[[#This Row],[Extra
Payment]]&lt;=PaymentSchedule33[[#This Row],[Beginning
Balance]],PaymentSchedule33[[#This Row],[Beginning
Balance]]-PaymentSchedule33[[#This Row],[Principal]],0),"")</f>
        <v>263757.55375669431</v>
      </c>
      <c r="K143" s="25">
        <f ca="1">IF(PaymentSchedule33[[#This Row],[Payment Number]]&lt;&gt;"",SUM(INDEX(PaymentSchedule33[Interest],1,1):PaymentSchedule33[[#This Row],[Interest]]),"")</f>
        <v>163298.7003036917</v>
      </c>
      <c r="L143" s="25">
        <f ca="1">IF(PaymentSchedule33[[#This Row],[Payment Number]]&lt;&gt;"",SUM(INDEX(PaymentSchedule33[Principal],1,1):PaymentSchedule33[[#This Row],[Principal]]),"")</f>
        <v>68742.446243305458</v>
      </c>
      <c r="M143" s="25">
        <f ca="1">PaymentSchedule3[[#This Row],[Total
Payment]]-PaymentSchedule33[[#This Row],[Total
Payment]]</f>
        <v>427.19889995542212</v>
      </c>
      <c r="N143" s="25">
        <f ca="1">PaymentSchedule3[[#This Row],[Interest]]-PaymentSchedule33[[#This Row],[Interest]]</f>
        <v>533.13074073962912</v>
      </c>
      <c r="O143" s="25">
        <f ca="1">PaymentSchedule3[[#This Row],[Cumulative
Interest]]-PaymentSchedule33[[#This Row],[Cumulative
Interest]]</f>
        <v>71481.158786595101</v>
      </c>
    </row>
    <row r="144" spans="2:15" x14ac:dyDescent="0.25">
      <c r="B144" s="23">
        <f ca="1">IF(LoanIsGood,IF(ROW()-ROW(PaymentSchedule33[[#Headers],[Payment Number]])&gt;ScheduledNumberOfPayments,"",ROW()-ROW(PaymentSchedule33[[#Headers],[Payment Number]])),"")</f>
        <v>131</v>
      </c>
      <c r="C144" s="24">
        <f ca="1">IF(PaymentSchedule33[[#This Row],[Payment Number]]&lt;&gt;"",EOMONTH(LoanStartDate,ROW(PaymentSchedule33[[#This Row],[Payment Number]])-ROW(PaymentSchedule33[[#Headers],[Payment Number]])-2)+DAY(LoanStartDate),"")</f>
        <v>49423</v>
      </c>
      <c r="D144" s="25">
        <f ca="1">IF(PaymentSchedule33[[#This Row],[Payment Number]]&lt;&gt;"",IF(ROW()-ROW(PaymentSchedule33[[#Headers],[Beginning
Balance]])=1,LoanAmount,INDEX(PaymentSchedule33[Ending
Balance],ROW()-ROW(PaymentSchedule33[[#Headers],[Beginning
Balance]])-1)),"")</f>
        <v>263757.55375669431</v>
      </c>
      <c r="E144" s="25">
        <f ca="1">IF(PaymentSchedule33[[#This Row],[Payment Number]]&lt;&gt;"",ScheduledPayment,"")</f>
        <v>1784.9318965153623</v>
      </c>
      <c r="F14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4" s="25">
        <f ca="1">IF(PaymentSchedule33[[#This Row],[Payment Number]]&lt;&gt;"",PaymentSchedule33[[#This Row],[Total
Payment]]-PaymentSchedule33[[#This Row],[Interest]],"")</f>
        <v>685.94208919580274</v>
      </c>
      <c r="I144" s="25">
        <f ca="1">IF(PaymentSchedule33[[#This Row],[Payment Number]]&lt;&gt;"",PaymentSchedule33[[#This Row],[Beginning
Balance]]*(InterestRate/PaymentsPerYear),"")</f>
        <v>1098.9898073195595</v>
      </c>
      <c r="J144" s="25">
        <f ca="1">IF(PaymentSchedule33[[#This Row],[Payment Number]]&lt;&gt;"",IF(PaymentSchedule33[[#This Row],[Scheduled Payment]]+PaymentSchedule33[[#This Row],[Extra
Payment]]&lt;=PaymentSchedule33[[#This Row],[Beginning
Balance]],PaymentSchedule33[[#This Row],[Beginning
Balance]]-PaymentSchedule33[[#This Row],[Principal]],0),"")</f>
        <v>263071.61166749848</v>
      </c>
      <c r="K144" s="25">
        <f ca="1">IF(PaymentSchedule33[[#This Row],[Payment Number]]&lt;&gt;"",SUM(INDEX(PaymentSchedule33[Interest],1,1):PaymentSchedule33[[#This Row],[Interest]]),"")</f>
        <v>164397.69011101127</v>
      </c>
      <c r="L144" s="25">
        <f ca="1">IF(PaymentSchedule33[[#This Row],[Payment Number]]&lt;&gt;"",SUM(INDEX(PaymentSchedule33[Principal],1,1):PaymentSchedule33[[#This Row],[Principal]]),"")</f>
        <v>69428.388332501258</v>
      </c>
      <c r="M144" s="25">
        <f ca="1">PaymentSchedule3[[#This Row],[Total
Payment]]-PaymentSchedule33[[#This Row],[Total
Payment]]</f>
        <v>427.19889995542212</v>
      </c>
      <c r="N144" s="25">
        <f ca="1">PaymentSchedule3[[#This Row],[Interest]]-PaymentSchedule33[[#This Row],[Interest]]</f>
        <v>532.61018338343615</v>
      </c>
      <c r="O144" s="25">
        <f ca="1">PaymentSchedule3[[#This Row],[Cumulative
Interest]]-PaymentSchedule33[[#This Row],[Cumulative
Interest]]</f>
        <v>72013.768969978526</v>
      </c>
    </row>
    <row r="145" spans="2:15" x14ac:dyDescent="0.25">
      <c r="B145" s="23">
        <f ca="1">IF(LoanIsGood,IF(ROW()-ROW(PaymentSchedule33[[#Headers],[Payment Number]])&gt;ScheduledNumberOfPayments,"",ROW()-ROW(PaymentSchedule33[[#Headers],[Payment Number]])),"")</f>
        <v>132</v>
      </c>
      <c r="C145" s="24">
        <f ca="1">IF(PaymentSchedule33[[#This Row],[Payment Number]]&lt;&gt;"",EOMONTH(LoanStartDate,ROW(PaymentSchedule33[[#This Row],[Payment Number]])-ROW(PaymentSchedule33[[#Headers],[Payment Number]])-2)+DAY(LoanStartDate),"")</f>
        <v>49453</v>
      </c>
      <c r="D145" s="25">
        <f ca="1">IF(PaymentSchedule33[[#This Row],[Payment Number]]&lt;&gt;"",IF(ROW()-ROW(PaymentSchedule33[[#Headers],[Beginning
Balance]])=1,LoanAmount,INDEX(PaymentSchedule33[Ending
Balance],ROW()-ROW(PaymentSchedule33[[#Headers],[Beginning
Balance]])-1)),"")</f>
        <v>263071.61166749848</v>
      </c>
      <c r="E145" s="25">
        <f ca="1">IF(PaymentSchedule33[[#This Row],[Payment Number]]&lt;&gt;"",ScheduledPayment,"")</f>
        <v>1784.9318965153623</v>
      </c>
      <c r="F14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5" s="25">
        <f ca="1">IF(PaymentSchedule33[[#This Row],[Payment Number]]&lt;&gt;"",PaymentSchedule33[[#This Row],[Total
Payment]]-PaymentSchedule33[[#This Row],[Interest]],"")</f>
        <v>688.80018123411855</v>
      </c>
      <c r="I145" s="25">
        <f ca="1">IF(PaymentSchedule33[[#This Row],[Payment Number]]&lt;&gt;"",PaymentSchedule33[[#This Row],[Beginning
Balance]]*(InterestRate/PaymentsPerYear),"")</f>
        <v>1096.1317152812437</v>
      </c>
      <c r="J145" s="25">
        <f ca="1">IF(PaymentSchedule33[[#This Row],[Payment Number]]&lt;&gt;"",IF(PaymentSchedule33[[#This Row],[Scheduled Payment]]+PaymentSchedule33[[#This Row],[Extra
Payment]]&lt;=PaymentSchedule33[[#This Row],[Beginning
Balance]],PaymentSchedule33[[#This Row],[Beginning
Balance]]-PaymentSchedule33[[#This Row],[Principal]],0),"")</f>
        <v>262382.81148626434</v>
      </c>
      <c r="K145" s="25">
        <f ca="1">IF(PaymentSchedule33[[#This Row],[Payment Number]]&lt;&gt;"",SUM(INDEX(PaymentSchedule33[Interest],1,1):PaymentSchedule33[[#This Row],[Interest]]),"")</f>
        <v>165493.82182629252</v>
      </c>
      <c r="L145" s="25">
        <f ca="1">IF(PaymentSchedule33[[#This Row],[Payment Number]]&lt;&gt;"",SUM(INDEX(PaymentSchedule33[Principal],1,1):PaymentSchedule33[[#This Row],[Principal]]),"")</f>
        <v>70117.188513735382</v>
      </c>
      <c r="M145" s="25">
        <f ca="1">PaymentSchedule3[[#This Row],[Total
Payment]]-PaymentSchedule33[[#This Row],[Total
Payment]]</f>
        <v>427.19889995542212</v>
      </c>
      <c r="N145" s="25">
        <f ca="1">PaymentSchedule3[[#This Row],[Interest]]-PaymentSchedule33[[#This Row],[Interest]]</f>
        <v>532.08184572143978</v>
      </c>
      <c r="O145" s="25">
        <f ca="1">PaymentSchedule3[[#This Row],[Cumulative
Interest]]-PaymentSchedule33[[#This Row],[Cumulative
Interest]]</f>
        <v>72545.85081569996</v>
      </c>
    </row>
    <row r="146" spans="2:15" x14ac:dyDescent="0.25">
      <c r="B146" s="23">
        <f ca="1">IF(LoanIsGood,IF(ROW()-ROW(PaymentSchedule33[[#Headers],[Payment Number]])&gt;ScheduledNumberOfPayments,"",ROW()-ROW(PaymentSchedule33[[#Headers],[Payment Number]])),"")</f>
        <v>133</v>
      </c>
      <c r="C146" s="24">
        <f ca="1">IF(PaymentSchedule33[[#This Row],[Payment Number]]&lt;&gt;"",EOMONTH(LoanStartDate,ROW(PaymentSchedule33[[#This Row],[Payment Number]])-ROW(PaymentSchedule33[[#Headers],[Payment Number]])-2)+DAY(LoanStartDate),"")</f>
        <v>49484</v>
      </c>
      <c r="D146" s="25">
        <f ca="1">IF(PaymentSchedule33[[#This Row],[Payment Number]]&lt;&gt;"",IF(ROW()-ROW(PaymentSchedule33[[#Headers],[Beginning
Balance]])=1,LoanAmount,INDEX(PaymentSchedule33[Ending
Balance],ROW()-ROW(PaymentSchedule33[[#Headers],[Beginning
Balance]])-1)),"")</f>
        <v>262382.81148626434</v>
      </c>
      <c r="E146" s="25">
        <f ca="1">IF(PaymentSchedule33[[#This Row],[Payment Number]]&lt;&gt;"",ScheduledPayment,"")</f>
        <v>1784.9318965153623</v>
      </c>
      <c r="F14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6" s="25">
        <f ca="1">IF(PaymentSchedule33[[#This Row],[Payment Number]]&lt;&gt;"",PaymentSchedule33[[#This Row],[Total
Payment]]-PaymentSchedule33[[#This Row],[Interest]],"")</f>
        <v>691.67018198926075</v>
      </c>
      <c r="I146" s="25">
        <f ca="1">IF(PaymentSchedule33[[#This Row],[Payment Number]]&lt;&gt;"",PaymentSchedule33[[#This Row],[Beginning
Balance]]*(InterestRate/PaymentsPerYear),"")</f>
        <v>1093.2617145261015</v>
      </c>
      <c r="J146" s="25">
        <f ca="1">IF(PaymentSchedule33[[#This Row],[Payment Number]]&lt;&gt;"",IF(PaymentSchedule33[[#This Row],[Scheduled Payment]]+PaymentSchedule33[[#This Row],[Extra
Payment]]&lt;=PaymentSchedule33[[#This Row],[Beginning
Balance]],PaymentSchedule33[[#This Row],[Beginning
Balance]]-PaymentSchedule33[[#This Row],[Principal]],0),"")</f>
        <v>261691.14130427508</v>
      </c>
      <c r="K146" s="25">
        <f ca="1">IF(PaymentSchedule33[[#This Row],[Payment Number]]&lt;&gt;"",SUM(INDEX(PaymentSchedule33[Interest],1,1):PaymentSchedule33[[#This Row],[Interest]]),"")</f>
        <v>166587.08354081862</v>
      </c>
      <c r="L146" s="25">
        <f ca="1">IF(PaymentSchedule33[[#This Row],[Payment Number]]&lt;&gt;"",SUM(INDEX(PaymentSchedule33[Principal],1,1):PaymentSchedule33[[#This Row],[Principal]]),"")</f>
        <v>70808.858695724644</v>
      </c>
      <c r="M146" s="25">
        <f ca="1">PaymentSchedule3[[#This Row],[Total
Payment]]-PaymentSchedule33[[#This Row],[Total
Payment]]</f>
        <v>427.19889995542212</v>
      </c>
      <c r="N146" s="25">
        <f ca="1">PaymentSchedule3[[#This Row],[Interest]]-PaymentSchedule33[[#This Row],[Interest]]</f>
        <v>531.54566260301795</v>
      </c>
      <c r="O146" s="25">
        <f ca="1">PaymentSchedule3[[#This Row],[Cumulative
Interest]]-PaymentSchedule33[[#This Row],[Cumulative
Interest]]</f>
        <v>73077.396478302981</v>
      </c>
    </row>
    <row r="147" spans="2:15" x14ac:dyDescent="0.25">
      <c r="B147" s="23">
        <f ca="1">IF(LoanIsGood,IF(ROW()-ROW(PaymentSchedule33[[#Headers],[Payment Number]])&gt;ScheduledNumberOfPayments,"",ROW()-ROW(PaymentSchedule33[[#Headers],[Payment Number]])),"")</f>
        <v>134</v>
      </c>
      <c r="C147" s="24">
        <f ca="1">IF(PaymentSchedule33[[#This Row],[Payment Number]]&lt;&gt;"",EOMONTH(LoanStartDate,ROW(PaymentSchedule33[[#This Row],[Payment Number]])-ROW(PaymentSchedule33[[#Headers],[Payment Number]])-2)+DAY(LoanStartDate),"")</f>
        <v>49514</v>
      </c>
      <c r="D147" s="25">
        <f ca="1">IF(PaymentSchedule33[[#This Row],[Payment Number]]&lt;&gt;"",IF(ROW()-ROW(PaymentSchedule33[[#Headers],[Beginning
Balance]])=1,LoanAmount,INDEX(PaymentSchedule33[Ending
Balance],ROW()-ROW(PaymentSchedule33[[#Headers],[Beginning
Balance]])-1)),"")</f>
        <v>261691.14130427508</v>
      </c>
      <c r="E147" s="25">
        <f ca="1">IF(PaymentSchedule33[[#This Row],[Payment Number]]&lt;&gt;"",ScheduledPayment,"")</f>
        <v>1784.9318965153623</v>
      </c>
      <c r="F14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7" s="25">
        <f ca="1">IF(PaymentSchedule33[[#This Row],[Payment Number]]&lt;&gt;"",PaymentSchedule33[[#This Row],[Total
Payment]]-PaymentSchedule33[[#This Row],[Interest]],"")</f>
        <v>694.55214108088285</v>
      </c>
      <c r="I147" s="25">
        <f ca="1">IF(PaymentSchedule33[[#This Row],[Payment Number]]&lt;&gt;"",PaymentSchedule33[[#This Row],[Beginning
Balance]]*(InterestRate/PaymentsPerYear),"")</f>
        <v>1090.3797554344794</v>
      </c>
      <c r="J147" s="25">
        <f ca="1">IF(PaymentSchedule33[[#This Row],[Payment Number]]&lt;&gt;"",IF(PaymentSchedule33[[#This Row],[Scheduled Payment]]+PaymentSchedule33[[#This Row],[Extra
Payment]]&lt;=PaymentSchedule33[[#This Row],[Beginning
Balance]],PaymentSchedule33[[#This Row],[Beginning
Balance]]-PaymentSchedule33[[#This Row],[Principal]],0),"")</f>
        <v>260996.58916319421</v>
      </c>
      <c r="K147" s="25">
        <f ca="1">IF(PaymentSchedule33[[#This Row],[Payment Number]]&lt;&gt;"",SUM(INDEX(PaymentSchedule33[Interest],1,1):PaymentSchedule33[[#This Row],[Interest]]),"")</f>
        <v>167677.46329625312</v>
      </c>
      <c r="L147" s="25">
        <f ca="1">IF(PaymentSchedule33[[#This Row],[Payment Number]]&lt;&gt;"",SUM(INDEX(PaymentSchedule33[Principal],1,1):PaymentSchedule33[[#This Row],[Principal]]),"")</f>
        <v>71503.410836805531</v>
      </c>
      <c r="M147" s="25">
        <f ca="1">PaymentSchedule3[[#This Row],[Total
Payment]]-PaymentSchedule33[[#This Row],[Total
Payment]]</f>
        <v>427.19889995542212</v>
      </c>
      <c r="N147" s="25">
        <f ca="1">PaymentSchedule3[[#This Row],[Interest]]-PaymentSchedule33[[#This Row],[Interest]]</f>
        <v>531.00156841514718</v>
      </c>
      <c r="O147" s="25">
        <f ca="1">PaymentSchedule3[[#This Row],[Cumulative
Interest]]-PaymentSchedule33[[#This Row],[Cumulative
Interest]]</f>
        <v>73608.398046718125</v>
      </c>
    </row>
    <row r="148" spans="2:15" x14ac:dyDescent="0.25">
      <c r="B148" s="23">
        <f ca="1">IF(LoanIsGood,IF(ROW()-ROW(PaymentSchedule33[[#Headers],[Payment Number]])&gt;ScheduledNumberOfPayments,"",ROW()-ROW(PaymentSchedule33[[#Headers],[Payment Number]])),"")</f>
        <v>135</v>
      </c>
      <c r="C148" s="24">
        <f ca="1">IF(PaymentSchedule33[[#This Row],[Payment Number]]&lt;&gt;"",EOMONTH(LoanStartDate,ROW(PaymentSchedule33[[#This Row],[Payment Number]])-ROW(PaymentSchedule33[[#Headers],[Payment Number]])-2)+DAY(LoanStartDate),"")</f>
        <v>49545</v>
      </c>
      <c r="D148" s="25">
        <f ca="1">IF(PaymentSchedule33[[#This Row],[Payment Number]]&lt;&gt;"",IF(ROW()-ROW(PaymentSchedule33[[#Headers],[Beginning
Balance]])=1,LoanAmount,INDEX(PaymentSchedule33[Ending
Balance],ROW()-ROW(PaymentSchedule33[[#Headers],[Beginning
Balance]])-1)),"")</f>
        <v>260996.58916319421</v>
      </c>
      <c r="E148" s="25">
        <f ca="1">IF(PaymentSchedule33[[#This Row],[Payment Number]]&lt;&gt;"",ScheduledPayment,"")</f>
        <v>1784.9318965153623</v>
      </c>
      <c r="F14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8" s="25">
        <f ca="1">IF(PaymentSchedule33[[#This Row],[Payment Number]]&lt;&gt;"",PaymentSchedule33[[#This Row],[Total
Payment]]-PaymentSchedule33[[#This Row],[Interest]],"")</f>
        <v>697.4461083353865</v>
      </c>
      <c r="I148" s="25">
        <f ca="1">IF(PaymentSchedule33[[#This Row],[Payment Number]]&lt;&gt;"",PaymentSchedule33[[#This Row],[Beginning
Balance]]*(InterestRate/PaymentsPerYear),"")</f>
        <v>1087.4857881799758</v>
      </c>
      <c r="J148" s="25">
        <f ca="1">IF(PaymentSchedule33[[#This Row],[Payment Number]]&lt;&gt;"",IF(PaymentSchedule33[[#This Row],[Scheduled Payment]]+PaymentSchedule33[[#This Row],[Extra
Payment]]&lt;=PaymentSchedule33[[#This Row],[Beginning
Balance]],PaymentSchedule33[[#This Row],[Beginning
Balance]]-PaymentSchedule33[[#This Row],[Principal]],0),"")</f>
        <v>260299.14305485881</v>
      </c>
      <c r="K148" s="25">
        <f ca="1">IF(PaymentSchedule33[[#This Row],[Payment Number]]&lt;&gt;"",SUM(INDEX(PaymentSchedule33[Interest],1,1):PaymentSchedule33[[#This Row],[Interest]]),"")</f>
        <v>168764.94908443309</v>
      </c>
      <c r="L148" s="25">
        <f ca="1">IF(PaymentSchedule33[[#This Row],[Payment Number]]&lt;&gt;"",SUM(INDEX(PaymentSchedule33[Principal],1,1):PaymentSchedule33[[#This Row],[Principal]]),"")</f>
        <v>72200.856945140913</v>
      </c>
      <c r="M148" s="25">
        <f ca="1">PaymentSchedule3[[#This Row],[Total
Payment]]-PaymentSchedule33[[#This Row],[Total
Payment]]</f>
        <v>427.19889995542212</v>
      </c>
      <c r="N148" s="25">
        <f ca="1">PaymentSchedule3[[#This Row],[Interest]]-PaymentSchedule33[[#This Row],[Interest]]</f>
        <v>530.44949707936098</v>
      </c>
      <c r="O148" s="25">
        <f ca="1">PaymentSchedule3[[#This Row],[Cumulative
Interest]]-PaymentSchedule33[[#This Row],[Cumulative
Interest]]</f>
        <v>74138.847543797485</v>
      </c>
    </row>
    <row r="149" spans="2:15" x14ac:dyDescent="0.25">
      <c r="B149" s="23">
        <f ca="1">IF(LoanIsGood,IF(ROW()-ROW(PaymentSchedule33[[#Headers],[Payment Number]])&gt;ScheduledNumberOfPayments,"",ROW()-ROW(PaymentSchedule33[[#Headers],[Payment Number]])),"")</f>
        <v>136</v>
      </c>
      <c r="C149" s="24">
        <f ca="1">IF(PaymentSchedule33[[#This Row],[Payment Number]]&lt;&gt;"",EOMONTH(LoanStartDate,ROW(PaymentSchedule33[[#This Row],[Payment Number]])-ROW(PaymentSchedule33[[#Headers],[Payment Number]])-2)+DAY(LoanStartDate),"")</f>
        <v>49576</v>
      </c>
      <c r="D149" s="25">
        <f ca="1">IF(PaymentSchedule33[[#This Row],[Payment Number]]&lt;&gt;"",IF(ROW()-ROW(PaymentSchedule33[[#Headers],[Beginning
Balance]])=1,LoanAmount,INDEX(PaymentSchedule33[Ending
Balance],ROW()-ROW(PaymentSchedule33[[#Headers],[Beginning
Balance]])-1)),"")</f>
        <v>260299.14305485881</v>
      </c>
      <c r="E149" s="25">
        <f ca="1">IF(PaymentSchedule33[[#This Row],[Payment Number]]&lt;&gt;"",ScheduledPayment,"")</f>
        <v>1784.9318965153623</v>
      </c>
      <c r="F14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4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49" s="25">
        <f ca="1">IF(PaymentSchedule33[[#This Row],[Payment Number]]&lt;&gt;"",PaymentSchedule33[[#This Row],[Total
Payment]]-PaymentSchedule33[[#This Row],[Interest]],"")</f>
        <v>700.35213378678395</v>
      </c>
      <c r="I149" s="25">
        <f ca="1">IF(PaymentSchedule33[[#This Row],[Payment Number]]&lt;&gt;"",PaymentSchedule33[[#This Row],[Beginning
Balance]]*(InterestRate/PaymentsPerYear),"")</f>
        <v>1084.5797627285783</v>
      </c>
      <c r="J149" s="25">
        <f ca="1">IF(PaymentSchedule33[[#This Row],[Payment Number]]&lt;&gt;"",IF(PaymentSchedule33[[#This Row],[Scheduled Payment]]+PaymentSchedule33[[#This Row],[Extra
Payment]]&lt;=PaymentSchedule33[[#This Row],[Beginning
Balance]],PaymentSchedule33[[#This Row],[Beginning
Balance]]-PaymentSchedule33[[#This Row],[Principal]],0),"")</f>
        <v>259598.79092107204</v>
      </c>
      <c r="K149" s="25">
        <f ca="1">IF(PaymentSchedule33[[#This Row],[Payment Number]]&lt;&gt;"",SUM(INDEX(PaymentSchedule33[Interest],1,1):PaymentSchedule33[[#This Row],[Interest]]),"")</f>
        <v>169849.52884716165</v>
      </c>
      <c r="L149" s="25">
        <f ca="1">IF(PaymentSchedule33[[#This Row],[Payment Number]]&lt;&gt;"",SUM(INDEX(PaymentSchedule33[Principal],1,1):PaymentSchedule33[[#This Row],[Principal]]),"")</f>
        <v>72901.209078927699</v>
      </c>
      <c r="M149" s="25">
        <f ca="1">PaymentSchedule3[[#This Row],[Total
Payment]]-PaymentSchedule33[[#This Row],[Total
Payment]]</f>
        <v>427.19889995542212</v>
      </c>
      <c r="N149" s="25">
        <f ca="1">PaymentSchedule3[[#This Row],[Interest]]-PaymentSchedule33[[#This Row],[Interest]]</f>
        <v>529.88938204869146</v>
      </c>
      <c r="O149" s="25">
        <f ca="1">PaymentSchedule3[[#This Row],[Cumulative
Interest]]-PaymentSchedule33[[#This Row],[Cumulative
Interest]]</f>
        <v>74668.736925846199</v>
      </c>
    </row>
    <row r="150" spans="2:15" x14ac:dyDescent="0.25">
      <c r="B150" s="23">
        <f ca="1">IF(LoanIsGood,IF(ROW()-ROW(PaymentSchedule33[[#Headers],[Payment Number]])&gt;ScheduledNumberOfPayments,"",ROW()-ROW(PaymentSchedule33[[#Headers],[Payment Number]])),"")</f>
        <v>137</v>
      </c>
      <c r="C150" s="24">
        <f ca="1">IF(PaymentSchedule33[[#This Row],[Payment Number]]&lt;&gt;"",EOMONTH(LoanStartDate,ROW(PaymentSchedule33[[#This Row],[Payment Number]])-ROW(PaymentSchedule33[[#Headers],[Payment Number]])-2)+DAY(LoanStartDate),"")</f>
        <v>49606</v>
      </c>
      <c r="D150" s="25">
        <f ca="1">IF(PaymentSchedule33[[#This Row],[Payment Number]]&lt;&gt;"",IF(ROW()-ROW(PaymentSchedule33[[#Headers],[Beginning
Balance]])=1,LoanAmount,INDEX(PaymentSchedule33[Ending
Balance],ROW()-ROW(PaymentSchedule33[[#Headers],[Beginning
Balance]])-1)),"")</f>
        <v>259598.79092107204</v>
      </c>
      <c r="E150" s="25">
        <f ca="1">IF(PaymentSchedule33[[#This Row],[Payment Number]]&lt;&gt;"",ScheduledPayment,"")</f>
        <v>1784.9318965153623</v>
      </c>
      <c r="F15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0" s="25">
        <f ca="1">IF(PaymentSchedule33[[#This Row],[Payment Number]]&lt;&gt;"",PaymentSchedule33[[#This Row],[Total
Payment]]-PaymentSchedule33[[#This Row],[Interest]],"")</f>
        <v>703.27026767756206</v>
      </c>
      <c r="I150" s="25">
        <f ca="1">IF(PaymentSchedule33[[#This Row],[Payment Number]]&lt;&gt;"",PaymentSchedule33[[#This Row],[Beginning
Balance]]*(InterestRate/PaymentsPerYear),"")</f>
        <v>1081.6616288378002</v>
      </c>
      <c r="J150" s="25">
        <f ca="1">IF(PaymentSchedule33[[#This Row],[Payment Number]]&lt;&gt;"",IF(PaymentSchedule33[[#This Row],[Scheduled Payment]]+PaymentSchedule33[[#This Row],[Extra
Payment]]&lt;=PaymentSchedule33[[#This Row],[Beginning
Balance]],PaymentSchedule33[[#This Row],[Beginning
Balance]]-PaymentSchedule33[[#This Row],[Principal]],0),"")</f>
        <v>258895.52065339449</v>
      </c>
      <c r="K150" s="25">
        <f ca="1">IF(PaymentSchedule33[[#This Row],[Payment Number]]&lt;&gt;"",SUM(INDEX(PaymentSchedule33[Interest],1,1):PaymentSchedule33[[#This Row],[Interest]]),"")</f>
        <v>170931.19047599946</v>
      </c>
      <c r="L150" s="25">
        <f ca="1">IF(PaymentSchedule33[[#This Row],[Payment Number]]&lt;&gt;"",SUM(INDEX(PaymentSchedule33[Principal],1,1):PaymentSchedule33[[#This Row],[Principal]]),"")</f>
        <v>73604.479346605265</v>
      </c>
      <c r="M150" s="25">
        <f ca="1">PaymentSchedule3[[#This Row],[Total
Payment]]-PaymentSchedule33[[#This Row],[Total
Payment]]</f>
        <v>427.19889995542212</v>
      </c>
      <c r="N150" s="25">
        <f ca="1">PaymentSchedule3[[#This Row],[Interest]]-PaymentSchedule33[[#This Row],[Interest]]</f>
        <v>529.32115630459066</v>
      </c>
      <c r="O150" s="25">
        <f ca="1">PaymentSchedule3[[#This Row],[Cumulative
Interest]]-PaymentSchedule33[[#This Row],[Cumulative
Interest]]</f>
        <v>75198.05808215079</v>
      </c>
    </row>
    <row r="151" spans="2:15" x14ac:dyDescent="0.25">
      <c r="B151" s="23">
        <f ca="1">IF(LoanIsGood,IF(ROW()-ROW(PaymentSchedule33[[#Headers],[Payment Number]])&gt;ScheduledNumberOfPayments,"",ROW()-ROW(PaymentSchedule33[[#Headers],[Payment Number]])),"")</f>
        <v>138</v>
      </c>
      <c r="C151" s="24">
        <f ca="1">IF(PaymentSchedule33[[#This Row],[Payment Number]]&lt;&gt;"",EOMONTH(LoanStartDate,ROW(PaymentSchedule33[[#This Row],[Payment Number]])-ROW(PaymentSchedule33[[#Headers],[Payment Number]])-2)+DAY(LoanStartDate),"")</f>
        <v>49637</v>
      </c>
      <c r="D151" s="25">
        <f ca="1">IF(PaymentSchedule33[[#This Row],[Payment Number]]&lt;&gt;"",IF(ROW()-ROW(PaymentSchedule33[[#Headers],[Beginning
Balance]])=1,LoanAmount,INDEX(PaymentSchedule33[Ending
Balance],ROW()-ROW(PaymentSchedule33[[#Headers],[Beginning
Balance]])-1)),"")</f>
        <v>258895.52065339449</v>
      </c>
      <c r="E151" s="25">
        <f ca="1">IF(PaymentSchedule33[[#This Row],[Payment Number]]&lt;&gt;"",ScheduledPayment,"")</f>
        <v>1784.9318965153623</v>
      </c>
      <c r="F15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1" s="25">
        <f ca="1">IF(PaymentSchedule33[[#This Row],[Payment Number]]&lt;&gt;"",PaymentSchedule33[[#This Row],[Total
Payment]]-PaymentSchedule33[[#This Row],[Interest]],"")</f>
        <v>706.20056045955198</v>
      </c>
      <c r="I151" s="25">
        <f ca="1">IF(PaymentSchedule33[[#This Row],[Payment Number]]&lt;&gt;"",PaymentSchedule33[[#This Row],[Beginning
Balance]]*(InterestRate/PaymentsPerYear),"")</f>
        <v>1078.7313360558103</v>
      </c>
      <c r="J151" s="25">
        <f ca="1">IF(PaymentSchedule33[[#This Row],[Payment Number]]&lt;&gt;"",IF(PaymentSchedule33[[#This Row],[Scheduled Payment]]+PaymentSchedule33[[#This Row],[Extra
Payment]]&lt;=PaymentSchedule33[[#This Row],[Beginning
Balance]],PaymentSchedule33[[#This Row],[Beginning
Balance]]-PaymentSchedule33[[#This Row],[Principal]],0),"")</f>
        <v>258189.32009293494</v>
      </c>
      <c r="K151" s="25">
        <f ca="1">IF(PaymentSchedule33[[#This Row],[Payment Number]]&lt;&gt;"",SUM(INDEX(PaymentSchedule33[Interest],1,1):PaymentSchedule33[[#This Row],[Interest]]),"")</f>
        <v>172009.92181205528</v>
      </c>
      <c r="L151" s="25">
        <f ca="1">IF(PaymentSchedule33[[#This Row],[Payment Number]]&lt;&gt;"",SUM(INDEX(PaymentSchedule33[Principal],1,1):PaymentSchedule33[[#This Row],[Principal]]),"")</f>
        <v>74310.679907064812</v>
      </c>
      <c r="M151" s="25">
        <f ca="1">PaymentSchedule3[[#This Row],[Total
Payment]]-PaymentSchedule33[[#This Row],[Total
Payment]]</f>
        <v>427.19889995542212</v>
      </c>
      <c r="N151" s="25">
        <f ca="1">PaymentSchedule3[[#This Row],[Interest]]-PaymentSchedule33[[#This Row],[Interest]]</f>
        <v>528.74475235383147</v>
      </c>
      <c r="O151" s="25">
        <f ca="1">PaymentSchedule3[[#This Row],[Cumulative
Interest]]-PaymentSchedule33[[#This Row],[Cumulative
Interest]]</f>
        <v>75726.802834504604</v>
      </c>
    </row>
    <row r="152" spans="2:15" x14ac:dyDescent="0.25">
      <c r="B152" s="23">
        <f ca="1">IF(LoanIsGood,IF(ROW()-ROW(PaymentSchedule33[[#Headers],[Payment Number]])&gt;ScheduledNumberOfPayments,"",ROW()-ROW(PaymentSchedule33[[#Headers],[Payment Number]])),"")</f>
        <v>139</v>
      </c>
      <c r="C152" s="24">
        <f ca="1">IF(PaymentSchedule33[[#This Row],[Payment Number]]&lt;&gt;"",EOMONTH(LoanStartDate,ROW(PaymentSchedule33[[#This Row],[Payment Number]])-ROW(PaymentSchedule33[[#Headers],[Payment Number]])-2)+DAY(LoanStartDate),"")</f>
        <v>49667</v>
      </c>
      <c r="D152" s="25">
        <f ca="1">IF(PaymentSchedule33[[#This Row],[Payment Number]]&lt;&gt;"",IF(ROW()-ROW(PaymentSchedule33[[#Headers],[Beginning
Balance]])=1,LoanAmount,INDEX(PaymentSchedule33[Ending
Balance],ROW()-ROW(PaymentSchedule33[[#Headers],[Beginning
Balance]])-1)),"")</f>
        <v>258189.32009293494</v>
      </c>
      <c r="E152" s="25">
        <f ca="1">IF(PaymentSchedule33[[#This Row],[Payment Number]]&lt;&gt;"",ScheduledPayment,"")</f>
        <v>1784.9318965153623</v>
      </c>
      <c r="F15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2" s="25">
        <f ca="1">IF(PaymentSchedule33[[#This Row],[Payment Number]]&lt;&gt;"",PaymentSchedule33[[#This Row],[Total
Payment]]-PaymentSchedule33[[#This Row],[Interest]],"")</f>
        <v>709.14306279480002</v>
      </c>
      <c r="I152" s="25">
        <f ca="1">IF(PaymentSchedule33[[#This Row],[Payment Number]]&lt;&gt;"",PaymentSchedule33[[#This Row],[Beginning
Balance]]*(InterestRate/PaymentsPerYear),"")</f>
        <v>1075.7888337205623</v>
      </c>
      <c r="J152" s="25">
        <f ca="1">IF(PaymentSchedule33[[#This Row],[Payment Number]]&lt;&gt;"",IF(PaymentSchedule33[[#This Row],[Scheduled Payment]]+PaymentSchedule33[[#This Row],[Extra
Payment]]&lt;=PaymentSchedule33[[#This Row],[Beginning
Balance]],PaymentSchedule33[[#This Row],[Beginning
Balance]]-PaymentSchedule33[[#This Row],[Principal]],0),"")</f>
        <v>257480.17703014013</v>
      </c>
      <c r="K152" s="25">
        <f ca="1">IF(PaymentSchedule33[[#This Row],[Payment Number]]&lt;&gt;"",SUM(INDEX(PaymentSchedule33[Interest],1,1):PaymentSchedule33[[#This Row],[Interest]]),"")</f>
        <v>173085.71064577583</v>
      </c>
      <c r="L152" s="25">
        <f ca="1">IF(PaymentSchedule33[[#This Row],[Payment Number]]&lt;&gt;"",SUM(INDEX(PaymentSchedule33[Principal],1,1):PaymentSchedule33[[#This Row],[Principal]]),"")</f>
        <v>75019.822969859611</v>
      </c>
      <c r="M152" s="25">
        <f ca="1">PaymentSchedule3[[#This Row],[Total
Payment]]-PaymentSchedule33[[#This Row],[Total
Payment]]</f>
        <v>427.19889995542212</v>
      </c>
      <c r="N152" s="25">
        <f ca="1">PaymentSchedule3[[#This Row],[Interest]]-PaymentSchedule33[[#This Row],[Interest]]</f>
        <v>528.16010222538966</v>
      </c>
      <c r="O152" s="25">
        <f ca="1">PaymentSchedule3[[#This Row],[Cumulative
Interest]]-PaymentSchedule33[[#This Row],[Cumulative
Interest]]</f>
        <v>76254.962936730008</v>
      </c>
    </row>
    <row r="153" spans="2:15" x14ac:dyDescent="0.25">
      <c r="B153" s="23">
        <f ca="1">IF(LoanIsGood,IF(ROW()-ROW(PaymentSchedule33[[#Headers],[Payment Number]])&gt;ScheduledNumberOfPayments,"",ROW()-ROW(PaymentSchedule33[[#Headers],[Payment Number]])),"")</f>
        <v>140</v>
      </c>
      <c r="C153" s="24">
        <f ca="1">IF(PaymentSchedule33[[#This Row],[Payment Number]]&lt;&gt;"",EOMONTH(LoanStartDate,ROW(PaymentSchedule33[[#This Row],[Payment Number]])-ROW(PaymentSchedule33[[#Headers],[Payment Number]])-2)+DAY(LoanStartDate),"")</f>
        <v>49698</v>
      </c>
      <c r="D153" s="25">
        <f ca="1">IF(PaymentSchedule33[[#This Row],[Payment Number]]&lt;&gt;"",IF(ROW()-ROW(PaymentSchedule33[[#Headers],[Beginning
Balance]])=1,LoanAmount,INDEX(PaymentSchedule33[Ending
Balance],ROW()-ROW(PaymentSchedule33[[#Headers],[Beginning
Balance]])-1)),"")</f>
        <v>257480.17703014013</v>
      </c>
      <c r="E153" s="25">
        <f ca="1">IF(PaymentSchedule33[[#This Row],[Payment Number]]&lt;&gt;"",ScheduledPayment,"")</f>
        <v>1784.9318965153623</v>
      </c>
      <c r="F15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3" s="25">
        <f ca="1">IF(PaymentSchedule33[[#This Row],[Payment Number]]&lt;&gt;"",PaymentSchedule33[[#This Row],[Total
Payment]]-PaymentSchedule33[[#This Row],[Interest]],"")</f>
        <v>712.09782555644506</v>
      </c>
      <c r="I153" s="25">
        <f ca="1">IF(PaymentSchedule33[[#This Row],[Payment Number]]&lt;&gt;"",PaymentSchedule33[[#This Row],[Beginning
Balance]]*(InterestRate/PaymentsPerYear),"")</f>
        <v>1072.8340709589172</v>
      </c>
      <c r="J153" s="25">
        <f ca="1">IF(PaymentSchedule33[[#This Row],[Payment Number]]&lt;&gt;"",IF(PaymentSchedule33[[#This Row],[Scheduled Payment]]+PaymentSchedule33[[#This Row],[Extra
Payment]]&lt;=PaymentSchedule33[[#This Row],[Beginning
Balance]],PaymentSchedule33[[#This Row],[Beginning
Balance]]-PaymentSchedule33[[#This Row],[Principal]],0),"")</f>
        <v>256768.07920458369</v>
      </c>
      <c r="K153" s="25">
        <f ca="1">IF(PaymentSchedule33[[#This Row],[Payment Number]]&lt;&gt;"",SUM(INDEX(PaymentSchedule33[Interest],1,1):PaymentSchedule33[[#This Row],[Interest]]),"")</f>
        <v>174158.54471673476</v>
      </c>
      <c r="L153" s="25">
        <f ca="1">IF(PaymentSchedule33[[#This Row],[Payment Number]]&lt;&gt;"",SUM(INDEX(PaymentSchedule33[Principal],1,1):PaymentSchedule33[[#This Row],[Principal]]),"")</f>
        <v>75731.920795416052</v>
      </c>
      <c r="M153" s="25">
        <f ca="1">PaymentSchedule3[[#This Row],[Total
Payment]]-PaymentSchedule33[[#This Row],[Total
Payment]]</f>
        <v>427.19889995542212</v>
      </c>
      <c r="N153" s="25">
        <f ca="1">PaymentSchedule3[[#This Row],[Interest]]-PaymentSchedule33[[#This Row],[Interest]]</f>
        <v>527.56713746730657</v>
      </c>
      <c r="O153" s="25">
        <f ca="1">PaymentSchedule3[[#This Row],[Cumulative
Interest]]-PaymentSchedule33[[#This Row],[Cumulative
Interest]]</f>
        <v>76782.530074197304</v>
      </c>
    </row>
    <row r="154" spans="2:15" x14ac:dyDescent="0.25">
      <c r="B154" s="23">
        <f ca="1">IF(LoanIsGood,IF(ROW()-ROW(PaymentSchedule33[[#Headers],[Payment Number]])&gt;ScheduledNumberOfPayments,"",ROW()-ROW(PaymentSchedule33[[#Headers],[Payment Number]])),"")</f>
        <v>141</v>
      </c>
      <c r="C154" s="24">
        <f ca="1">IF(PaymentSchedule33[[#This Row],[Payment Number]]&lt;&gt;"",EOMONTH(LoanStartDate,ROW(PaymentSchedule33[[#This Row],[Payment Number]])-ROW(PaymentSchedule33[[#Headers],[Payment Number]])-2)+DAY(LoanStartDate),"")</f>
        <v>49729</v>
      </c>
      <c r="D154" s="25">
        <f ca="1">IF(PaymentSchedule33[[#This Row],[Payment Number]]&lt;&gt;"",IF(ROW()-ROW(PaymentSchedule33[[#Headers],[Beginning
Balance]])=1,LoanAmount,INDEX(PaymentSchedule33[Ending
Balance],ROW()-ROW(PaymentSchedule33[[#Headers],[Beginning
Balance]])-1)),"")</f>
        <v>256768.07920458369</v>
      </c>
      <c r="E154" s="25">
        <f ca="1">IF(PaymentSchedule33[[#This Row],[Payment Number]]&lt;&gt;"",ScheduledPayment,"")</f>
        <v>1784.9318965153623</v>
      </c>
      <c r="F15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4" s="25">
        <f ca="1">IF(PaymentSchedule33[[#This Row],[Payment Number]]&lt;&gt;"",PaymentSchedule33[[#This Row],[Total
Payment]]-PaymentSchedule33[[#This Row],[Interest]],"")</f>
        <v>715.06489982959692</v>
      </c>
      <c r="I154" s="25">
        <f ca="1">IF(PaymentSchedule33[[#This Row],[Payment Number]]&lt;&gt;"",PaymentSchedule33[[#This Row],[Beginning
Balance]]*(InterestRate/PaymentsPerYear),"")</f>
        <v>1069.8669966857653</v>
      </c>
      <c r="J154" s="25">
        <f ca="1">IF(PaymentSchedule33[[#This Row],[Payment Number]]&lt;&gt;"",IF(PaymentSchedule33[[#This Row],[Scheduled Payment]]+PaymentSchedule33[[#This Row],[Extra
Payment]]&lt;=PaymentSchedule33[[#This Row],[Beginning
Balance]],PaymentSchedule33[[#This Row],[Beginning
Balance]]-PaymentSchedule33[[#This Row],[Principal]],0),"")</f>
        <v>256053.01430475409</v>
      </c>
      <c r="K154" s="25">
        <f ca="1">IF(PaymentSchedule33[[#This Row],[Payment Number]]&lt;&gt;"",SUM(INDEX(PaymentSchedule33[Interest],1,1):PaymentSchedule33[[#This Row],[Interest]]),"")</f>
        <v>175228.41171342053</v>
      </c>
      <c r="L154" s="25">
        <f ca="1">IF(PaymentSchedule33[[#This Row],[Payment Number]]&lt;&gt;"",SUM(INDEX(PaymentSchedule33[Principal],1,1):PaymentSchedule33[[#This Row],[Principal]]),"")</f>
        <v>76446.985695245647</v>
      </c>
      <c r="M154" s="25">
        <f ca="1">PaymentSchedule3[[#This Row],[Total
Payment]]-PaymentSchedule33[[#This Row],[Total
Payment]]</f>
        <v>427.19889995542212</v>
      </c>
      <c r="N154" s="25">
        <f ca="1">PaymentSchedule3[[#This Row],[Interest]]-PaymentSchedule33[[#This Row],[Interest]]</f>
        <v>526.96578914353177</v>
      </c>
      <c r="O154" s="25">
        <f ca="1">PaymentSchedule3[[#This Row],[Cumulative
Interest]]-PaymentSchedule33[[#This Row],[Cumulative
Interest]]</f>
        <v>77309.495863340824</v>
      </c>
    </row>
    <row r="155" spans="2:15" x14ac:dyDescent="0.25">
      <c r="B155" s="23">
        <f ca="1">IF(LoanIsGood,IF(ROW()-ROW(PaymentSchedule33[[#Headers],[Payment Number]])&gt;ScheduledNumberOfPayments,"",ROW()-ROW(PaymentSchedule33[[#Headers],[Payment Number]])),"")</f>
        <v>142</v>
      </c>
      <c r="C155" s="24">
        <f ca="1">IF(PaymentSchedule33[[#This Row],[Payment Number]]&lt;&gt;"",EOMONTH(LoanStartDate,ROW(PaymentSchedule33[[#This Row],[Payment Number]])-ROW(PaymentSchedule33[[#Headers],[Payment Number]])-2)+DAY(LoanStartDate),"")</f>
        <v>49758</v>
      </c>
      <c r="D155" s="25">
        <f ca="1">IF(PaymentSchedule33[[#This Row],[Payment Number]]&lt;&gt;"",IF(ROW()-ROW(PaymentSchedule33[[#Headers],[Beginning
Balance]])=1,LoanAmount,INDEX(PaymentSchedule33[Ending
Balance],ROW()-ROW(PaymentSchedule33[[#Headers],[Beginning
Balance]])-1)),"")</f>
        <v>256053.01430475409</v>
      </c>
      <c r="E155" s="25">
        <f ca="1">IF(PaymentSchedule33[[#This Row],[Payment Number]]&lt;&gt;"",ScheduledPayment,"")</f>
        <v>1784.9318965153623</v>
      </c>
      <c r="F15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5" s="25">
        <f ca="1">IF(PaymentSchedule33[[#This Row],[Payment Number]]&lt;&gt;"",PaymentSchedule33[[#This Row],[Total
Payment]]-PaymentSchedule33[[#This Row],[Interest]],"")</f>
        <v>718.04433691222016</v>
      </c>
      <c r="I155" s="25">
        <f ca="1">IF(PaymentSchedule33[[#This Row],[Payment Number]]&lt;&gt;"",PaymentSchedule33[[#This Row],[Beginning
Balance]]*(InterestRate/PaymentsPerYear),"")</f>
        <v>1066.8875596031421</v>
      </c>
      <c r="J155" s="25">
        <f ca="1">IF(PaymentSchedule33[[#This Row],[Payment Number]]&lt;&gt;"",IF(PaymentSchedule33[[#This Row],[Scheduled Payment]]+PaymentSchedule33[[#This Row],[Extra
Payment]]&lt;=PaymentSchedule33[[#This Row],[Beginning
Balance]],PaymentSchedule33[[#This Row],[Beginning
Balance]]-PaymentSchedule33[[#This Row],[Principal]],0),"")</f>
        <v>255334.96996784187</v>
      </c>
      <c r="K155" s="25">
        <f ca="1">IF(PaymentSchedule33[[#This Row],[Payment Number]]&lt;&gt;"",SUM(INDEX(PaymentSchedule33[Interest],1,1):PaymentSchedule33[[#This Row],[Interest]]),"")</f>
        <v>176295.29927302367</v>
      </c>
      <c r="L155" s="25">
        <f ca="1">IF(PaymentSchedule33[[#This Row],[Payment Number]]&lt;&gt;"",SUM(INDEX(PaymentSchedule33[Principal],1,1):PaymentSchedule33[[#This Row],[Principal]]),"")</f>
        <v>77165.030032157869</v>
      </c>
      <c r="M155" s="25">
        <f ca="1">PaymentSchedule3[[#This Row],[Total
Payment]]-PaymentSchedule33[[#This Row],[Total
Payment]]</f>
        <v>427.19889995542212</v>
      </c>
      <c r="N155" s="25">
        <f ca="1">PaymentSchedule3[[#This Row],[Interest]]-PaymentSchedule33[[#This Row],[Interest]]</f>
        <v>526.35598783074647</v>
      </c>
      <c r="O155" s="25">
        <f ca="1">PaymentSchedule3[[#This Row],[Cumulative
Interest]]-PaymentSchedule33[[#This Row],[Cumulative
Interest]]</f>
        <v>77835.851851171581</v>
      </c>
    </row>
    <row r="156" spans="2:15" x14ac:dyDescent="0.25">
      <c r="B156" s="23">
        <f ca="1">IF(LoanIsGood,IF(ROW()-ROW(PaymentSchedule33[[#Headers],[Payment Number]])&gt;ScheduledNumberOfPayments,"",ROW()-ROW(PaymentSchedule33[[#Headers],[Payment Number]])),"")</f>
        <v>143</v>
      </c>
      <c r="C156" s="24">
        <f ca="1">IF(PaymentSchedule33[[#This Row],[Payment Number]]&lt;&gt;"",EOMONTH(LoanStartDate,ROW(PaymentSchedule33[[#This Row],[Payment Number]])-ROW(PaymentSchedule33[[#Headers],[Payment Number]])-2)+DAY(LoanStartDate),"")</f>
        <v>49789</v>
      </c>
      <c r="D156" s="25">
        <f ca="1">IF(PaymentSchedule33[[#This Row],[Payment Number]]&lt;&gt;"",IF(ROW()-ROW(PaymentSchedule33[[#Headers],[Beginning
Balance]])=1,LoanAmount,INDEX(PaymentSchedule33[Ending
Balance],ROW()-ROW(PaymentSchedule33[[#Headers],[Beginning
Balance]])-1)),"")</f>
        <v>255334.96996784187</v>
      </c>
      <c r="E156" s="25">
        <f ca="1">IF(PaymentSchedule33[[#This Row],[Payment Number]]&lt;&gt;"",ScheduledPayment,"")</f>
        <v>1784.9318965153623</v>
      </c>
      <c r="F15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6" s="25">
        <f ca="1">IF(PaymentSchedule33[[#This Row],[Payment Number]]&lt;&gt;"",PaymentSchedule33[[#This Row],[Total
Payment]]-PaymentSchedule33[[#This Row],[Interest]],"")</f>
        <v>721.03618831602125</v>
      </c>
      <c r="I156" s="25">
        <f ca="1">IF(PaymentSchedule33[[#This Row],[Payment Number]]&lt;&gt;"",PaymentSchedule33[[#This Row],[Beginning
Balance]]*(InterestRate/PaymentsPerYear),"")</f>
        <v>1063.895708199341</v>
      </c>
      <c r="J156" s="25">
        <f ca="1">IF(PaymentSchedule33[[#This Row],[Payment Number]]&lt;&gt;"",IF(PaymentSchedule33[[#This Row],[Scheduled Payment]]+PaymentSchedule33[[#This Row],[Extra
Payment]]&lt;=PaymentSchedule33[[#This Row],[Beginning
Balance]],PaymentSchedule33[[#This Row],[Beginning
Balance]]-PaymentSchedule33[[#This Row],[Principal]],0),"")</f>
        <v>254613.93377952586</v>
      </c>
      <c r="K156" s="25">
        <f ca="1">IF(PaymentSchedule33[[#This Row],[Payment Number]]&lt;&gt;"",SUM(INDEX(PaymentSchedule33[Interest],1,1):PaymentSchedule33[[#This Row],[Interest]]),"")</f>
        <v>177359.194981223</v>
      </c>
      <c r="L156" s="25">
        <f ca="1">IF(PaymentSchedule33[[#This Row],[Payment Number]]&lt;&gt;"",SUM(INDEX(PaymentSchedule33[Principal],1,1):PaymentSchedule33[[#This Row],[Principal]]),"")</f>
        <v>77886.066220473891</v>
      </c>
      <c r="M156" s="25">
        <f ca="1">PaymentSchedule3[[#This Row],[Total
Payment]]-PaymentSchedule33[[#This Row],[Total
Payment]]</f>
        <v>427.19889995542212</v>
      </c>
      <c r="N156" s="25">
        <f ca="1">PaymentSchedule3[[#This Row],[Interest]]-PaymentSchedule33[[#This Row],[Interest]]</f>
        <v>525.7376636151655</v>
      </c>
      <c r="O156" s="25">
        <f ca="1">PaymentSchedule3[[#This Row],[Cumulative
Interest]]-PaymentSchedule33[[#This Row],[Cumulative
Interest]]</f>
        <v>78361.589514786756</v>
      </c>
    </row>
    <row r="157" spans="2:15" x14ac:dyDescent="0.25">
      <c r="B157" s="23">
        <f ca="1">IF(LoanIsGood,IF(ROW()-ROW(PaymentSchedule33[[#Headers],[Payment Number]])&gt;ScheduledNumberOfPayments,"",ROW()-ROW(PaymentSchedule33[[#Headers],[Payment Number]])),"")</f>
        <v>144</v>
      </c>
      <c r="C157" s="24">
        <f ca="1">IF(PaymentSchedule33[[#This Row],[Payment Number]]&lt;&gt;"",EOMONTH(LoanStartDate,ROW(PaymentSchedule33[[#This Row],[Payment Number]])-ROW(PaymentSchedule33[[#Headers],[Payment Number]])-2)+DAY(LoanStartDate),"")</f>
        <v>49819</v>
      </c>
      <c r="D157" s="25">
        <f ca="1">IF(PaymentSchedule33[[#This Row],[Payment Number]]&lt;&gt;"",IF(ROW()-ROW(PaymentSchedule33[[#Headers],[Beginning
Balance]])=1,LoanAmount,INDEX(PaymentSchedule33[Ending
Balance],ROW()-ROW(PaymentSchedule33[[#Headers],[Beginning
Balance]])-1)),"")</f>
        <v>254613.93377952586</v>
      </c>
      <c r="E157" s="25">
        <f ca="1">IF(PaymentSchedule33[[#This Row],[Payment Number]]&lt;&gt;"",ScheduledPayment,"")</f>
        <v>1784.9318965153623</v>
      </c>
      <c r="F15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7" s="25">
        <f ca="1">IF(PaymentSchedule33[[#This Row],[Payment Number]]&lt;&gt;"",PaymentSchedule33[[#This Row],[Total
Payment]]-PaymentSchedule33[[#This Row],[Interest]],"")</f>
        <v>724.04050576733789</v>
      </c>
      <c r="I157" s="25">
        <f ca="1">IF(PaymentSchedule33[[#This Row],[Payment Number]]&lt;&gt;"",PaymentSchedule33[[#This Row],[Beginning
Balance]]*(InterestRate/PaymentsPerYear),"")</f>
        <v>1060.8913907480244</v>
      </c>
      <c r="J157" s="25">
        <f ca="1">IF(PaymentSchedule33[[#This Row],[Payment Number]]&lt;&gt;"",IF(PaymentSchedule33[[#This Row],[Scheduled Payment]]+PaymentSchedule33[[#This Row],[Extra
Payment]]&lt;=PaymentSchedule33[[#This Row],[Beginning
Balance]],PaymentSchedule33[[#This Row],[Beginning
Balance]]-PaymentSchedule33[[#This Row],[Principal]],0),"")</f>
        <v>253889.89327375853</v>
      </c>
      <c r="K157" s="25">
        <f ca="1">IF(PaymentSchedule33[[#This Row],[Payment Number]]&lt;&gt;"",SUM(INDEX(PaymentSchedule33[Interest],1,1):PaymentSchedule33[[#This Row],[Interest]]),"")</f>
        <v>178420.08637197103</v>
      </c>
      <c r="L157" s="25">
        <f ca="1">IF(PaymentSchedule33[[#This Row],[Payment Number]]&lt;&gt;"",SUM(INDEX(PaymentSchedule33[Principal],1,1):PaymentSchedule33[[#This Row],[Principal]]),"")</f>
        <v>78610.106726241225</v>
      </c>
      <c r="M157" s="25">
        <f ca="1">PaymentSchedule3[[#This Row],[Total
Payment]]-PaymentSchedule33[[#This Row],[Total
Payment]]</f>
        <v>427.19889995542212</v>
      </c>
      <c r="N157" s="25">
        <f ca="1">PaymentSchedule3[[#This Row],[Interest]]-PaymentSchedule33[[#This Row],[Interest]]</f>
        <v>525.1107460893204</v>
      </c>
      <c r="O157" s="25">
        <f ca="1">PaymentSchedule3[[#This Row],[Cumulative
Interest]]-PaymentSchedule33[[#This Row],[Cumulative
Interest]]</f>
        <v>78886.700260876067</v>
      </c>
    </row>
    <row r="158" spans="2:15" x14ac:dyDescent="0.25">
      <c r="B158" s="23">
        <f ca="1">IF(LoanIsGood,IF(ROW()-ROW(PaymentSchedule33[[#Headers],[Payment Number]])&gt;ScheduledNumberOfPayments,"",ROW()-ROW(PaymentSchedule33[[#Headers],[Payment Number]])),"")</f>
        <v>145</v>
      </c>
      <c r="C158" s="24">
        <f ca="1">IF(PaymentSchedule33[[#This Row],[Payment Number]]&lt;&gt;"",EOMONTH(LoanStartDate,ROW(PaymentSchedule33[[#This Row],[Payment Number]])-ROW(PaymentSchedule33[[#Headers],[Payment Number]])-2)+DAY(LoanStartDate),"")</f>
        <v>49850</v>
      </c>
      <c r="D158" s="25">
        <f ca="1">IF(PaymentSchedule33[[#This Row],[Payment Number]]&lt;&gt;"",IF(ROW()-ROW(PaymentSchedule33[[#Headers],[Beginning
Balance]])=1,LoanAmount,INDEX(PaymentSchedule33[Ending
Balance],ROW()-ROW(PaymentSchedule33[[#Headers],[Beginning
Balance]])-1)),"")</f>
        <v>253889.89327375853</v>
      </c>
      <c r="E158" s="25">
        <f ca="1">IF(PaymentSchedule33[[#This Row],[Payment Number]]&lt;&gt;"",ScheduledPayment,"")</f>
        <v>1784.9318965153623</v>
      </c>
      <c r="F15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8" s="25">
        <f ca="1">IF(PaymentSchedule33[[#This Row],[Payment Number]]&lt;&gt;"",PaymentSchedule33[[#This Row],[Total
Payment]]-PaymentSchedule33[[#This Row],[Interest]],"")</f>
        <v>727.05734120803504</v>
      </c>
      <c r="I158" s="25">
        <f ca="1">IF(PaymentSchedule33[[#This Row],[Payment Number]]&lt;&gt;"",PaymentSchedule33[[#This Row],[Beginning
Balance]]*(InterestRate/PaymentsPerYear),"")</f>
        <v>1057.8745553073272</v>
      </c>
      <c r="J158" s="25">
        <f ca="1">IF(PaymentSchedule33[[#This Row],[Payment Number]]&lt;&gt;"",IF(PaymentSchedule33[[#This Row],[Scheduled Payment]]+PaymentSchedule33[[#This Row],[Extra
Payment]]&lt;=PaymentSchedule33[[#This Row],[Beginning
Balance]],PaymentSchedule33[[#This Row],[Beginning
Balance]]-PaymentSchedule33[[#This Row],[Principal]],0),"")</f>
        <v>253162.83593255049</v>
      </c>
      <c r="K158" s="25">
        <f ca="1">IF(PaymentSchedule33[[#This Row],[Payment Number]]&lt;&gt;"",SUM(INDEX(PaymentSchedule33[Interest],1,1):PaymentSchedule33[[#This Row],[Interest]]),"")</f>
        <v>179477.96092727836</v>
      </c>
      <c r="L158" s="25">
        <f ca="1">IF(PaymentSchedule33[[#This Row],[Payment Number]]&lt;&gt;"",SUM(INDEX(PaymentSchedule33[Principal],1,1):PaymentSchedule33[[#This Row],[Principal]]),"")</f>
        <v>79337.164067449266</v>
      </c>
      <c r="M158" s="25">
        <f ca="1">PaymentSchedule3[[#This Row],[Total
Payment]]-PaymentSchedule33[[#This Row],[Total
Payment]]</f>
        <v>427.19889995542212</v>
      </c>
      <c r="N158" s="25">
        <f ca="1">PaymentSchedule3[[#This Row],[Interest]]-PaymentSchedule33[[#This Row],[Interest]]</f>
        <v>524.47516434882232</v>
      </c>
      <c r="O158" s="25">
        <f ca="1">PaymentSchedule3[[#This Row],[Cumulative
Interest]]-PaymentSchedule33[[#This Row],[Cumulative
Interest]]</f>
        <v>79411.175425224879</v>
      </c>
    </row>
    <row r="159" spans="2:15" x14ac:dyDescent="0.25">
      <c r="B159" s="23">
        <f ca="1">IF(LoanIsGood,IF(ROW()-ROW(PaymentSchedule33[[#Headers],[Payment Number]])&gt;ScheduledNumberOfPayments,"",ROW()-ROW(PaymentSchedule33[[#Headers],[Payment Number]])),"")</f>
        <v>146</v>
      </c>
      <c r="C159" s="24">
        <f ca="1">IF(PaymentSchedule33[[#This Row],[Payment Number]]&lt;&gt;"",EOMONTH(LoanStartDate,ROW(PaymentSchedule33[[#This Row],[Payment Number]])-ROW(PaymentSchedule33[[#Headers],[Payment Number]])-2)+DAY(LoanStartDate),"")</f>
        <v>49880</v>
      </c>
      <c r="D159" s="25">
        <f ca="1">IF(PaymentSchedule33[[#This Row],[Payment Number]]&lt;&gt;"",IF(ROW()-ROW(PaymentSchedule33[[#Headers],[Beginning
Balance]])=1,LoanAmount,INDEX(PaymentSchedule33[Ending
Balance],ROW()-ROW(PaymentSchedule33[[#Headers],[Beginning
Balance]])-1)),"")</f>
        <v>253162.83593255049</v>
      </c>
      <c r="E159" s="25">
        <f ca="1">IF(PaymentSchedule33[[#This Row],[Payment Number]]&lt;&gt;"",ScheduledPayment,"")</f>
        <v>1784.9318965153623</v>
      </c>
      <c r="F15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5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59" s="25">
        <f ca="1">IF(PaymentSchedule33[[#This Row],[Payment Number]]&lt;&gt;"",PaymentSchedule33[[#This Row],[Total
Payment]]-PaymentSchedule33[[#This Row],[Interest]],"")</f>
        <v>730.08674679640194</v>
      </c>
      <c r="I159" s="25">
        <f ca="1">IF(PaymentSchedule33[[#This Row],[Payment Number]]&lt;&gt;"",PaymentSchedule33[[#This Row],[Beginning
Balance]]*(InterestRate/PaymentsPerYear),"")</f>
        <v>1054.8451497189603</v>
      </c>
      <c r="J159" s="25">
        <f ca="1">IF(PaymentSchedule33[[#This Row],[Payment Number]]&lt;&gt;"",IF(PaymentSchedule33[[#This Row],[Scheduled Payment]]+PaymentSchedule33[[#This Row],[Extra
Payment]]&lt;=PaymentSchedule33[[#This Row],[Beginning
Balance]],PaymentSchedule33[[#This Row],[Beginning
Balance]]-PaymentSchedule33[[#This Row],[Principal]],0),"")</f>
        <v>252432.74918575407</v>
      </c>
      <c r="K159" s="25">
        <f ca="1">IF(PaymentSchedule33[[#This Row],[Payment Number]]&lt;&gt;"",SUM(INDEX(PaymentSchedule33[Interest],1,1):PaymentSchedule33[[#This Row],[Interest]]),"")</f>
        <v>180532.80607699731</v>
      </c>
      <c r="L159" s="25">
        <f ca="1">IF(PaymentSchedule33[[#This Row],[Payment Number]]&lt;&gt;"",SUM(INDEX(PaymentSchedule33[Principal],1,1):PaymentSchedule33[[#This Row],[Principal]]),"")</f>
        <v>80067.250814245665</v>
      </c>
      <c r="M159" s="25">
        <f ca="1">PaymentSchedule3[[#This Row],[Total
Payment]]-PaymentSchedule33[[#This Row],[Total
Payment]]</f>
        <v>427.19889995542212</v>
      </c>
      <c r="N159" s="25">
        <f ca="1">PaymentSchedule3[[#This Row],[Interest]]-PaymentSchedule33[[#This Row],[Interest]]</f>
        <v>523.83084698910397</v>
      </c>
      <c r="O159" s="25">
        <f ca="1">PaymentSchedule3[[#This Row],[Cumulative
Interest]]-PaymentSchedule33[[#This Row],[Cumulative
Interest]]</f>
        <v>79935.006272213999</v>
      </c>
    </row>
    <row r="160" spans="2:15" x14ac:dyDescent="0.25">
      <c r="B160" s="23">
        <f ca="1">IF(LoanIsGood,IF(ROW()-ROW(PaymentSchedule33[[#Headers],[Payment Number]])&gt;ScheduledNumberOfPayments,"",ROW()-ROW(PaymentSchedule33[[#Headers],[Payment Number]])),"")</f>
        <v>147</v>
      </c>
      <c r="C160" s="24">
        <f ca="1">IF(PaymentSchedule33[[#This Row],[Payment Number]]&lt;&gt;"",EOMONTH(LoanStartDate,ROW(PaymentSchedule33[[#This Row],[Payment Number]])-ROW(PaymentSchedule33[[#Headers],[Payment Number]])-2)+DAY(LoanStartDate),"")</f>
        <v>49911</v>
      </c>
      <c r="D160" s="25">
        <f ca="1">IF(PaymentSchedule33[[#This Row],[Payment Number]]&lt;&gt;"",IF(ROW()-ROW(PaymentSchedule33[[#Headers],[Beginning
Balance]])=1,LoanAmount,INDEX(PaymentSchedule33[Ending
Balance],ROW()-ROW(PaymentSchedule33[[#Headers],[Beginning
Balance]])-1)),"")</f>
        <v>252432.74918575407</v>
      </c>
      <c r="E160" s="25">
        <f ca="1">IF(PaymentSchedule33[[#This Row],[Payment Number]]&lt;&gt;"",ScheduledPayment,"")</f>
        <v>1784.9318965153623</v>
      </c>
      <c r="F16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0" s="25">
        <f ca="1">IF(PaymentSchedule33[[#This Row],[Payment Number]]&lt;&gt;"",PaymentSchedule33[[#This Row],[Total
Payment]]-PaymentSchedule33[[#This Row],[Interest]],"")</f>
        <v>733.12877490805363</v>
      </c>
      <c r="I160" s="25">
        <f ca="1">IF(PaymentSchedule33[[#This Row],[Payment Number]]&lt;&gt;"",PaymentSchedule33[[#This Row],[Beginning
Balance]]*(InterestRate/PaymentsPerYear),"")</f>
        <v>1051.8031216073086</v>
      </c>
      <c r="J160" s="25">
        <f ca="1">IF(PaymentSchedule33[[#This Row],[Payment Number]]&lt;&gt;"",IF(PaymentSchedule33[[#This Row],[Scheduled Payment]]+PaymentSchedule33[[#This Row],[Extra
Payment]]&lt;=PaymentSchedule33[[#This Row],[Beginning
Balance]],PaymentSchedule33[[#This Row],[Beginning
Balance]]-PaymentSchedule33[[#This Row],[Principal]],0),"")</f>
        <v>251699.62041084602</v>
      </c>
      <c r="K160" s="25">
        <f ca="1">IF(PaymentSchedule33[[#This Row],[Payment Number]]&lt;&gt;"",SUM(INDEX(PaymentSchedule33[Interest],1,1):PaymentSchedule33[[#This Row],[Interest]]),"")</f>
        <v>181584.60919860462</v>
      </c>
      <c r="L160" s="25">
        <f ca="1">IF(PaymentSchedule33[[#This Row],[Payment Number]]&lt;&gt;"",SUM(INDEX(PaymentSchedule33[Principal],1,1):PaymentSchedule33[[#This Row],[Principal]]),"")</f>
        <v>80800.379589153716</v>
      </c>
      <c r="M160" s="25">
        <f ca="1">PaymentSchedule3[[#This Row],[Total
Payment]]-PaymentSchedule33[[#This Row],[Total
Payment]]</f>
        <v>427.19889995542212</v>
      </c>
      <c r="N160" s="25">
        <f ca="1">PaymentSchedule3[[#This Row],[Interest]]-PaymentSchedule33[[#This Row],[Interest]]</f>
        <v>523.1777221021398</v>
      </c>
      <c r="O160" s="25">
        <f ca="1">PaymentSchedule3[[#This Row],[Cumulative
Interest]]-PaymentSchedule33[[#This Row],[Cumulative
Interest]]</f>
        <v>80458.183994316147</v>
      </c>
    </row>
    <row r="161" spans="2:15" x14ac:dyDescent="0.25">
      <c r="B161" s="23">
        <f ca="1">IF(LoanIsGood,IF(ROW()-ROW(PaymentSchedule33[[#Headers],[Payment Number]])&gt;ScheduledNumberOfPayments,"",ROW()-ROW(PaymentSchedule33[[#Headers],[Payment Number]])),"")</f>
        <v>148</v>
      </c>
      <c r="C161" s="24">
        <f ca="1">IF(PaymentSchedule33[[#This Row],[Payment Number]]&lt;&gt;"",EOMONTH(LoanStartDate,ROW(PaymentSchedule33[[#This Row],[Payment Number]])-ROW(PaymentSchedule33[[#Headers],[Payment Number]])-2)+DAY(LoanStartDate),"")</f>
        <v>49942</v>
      </c>
      <c r="D161" s="25">
        <f ca="1">IF(PaymentSchedule33[[#This Row],[Payment Number]]&lt;&gt;"",IF(ROW()-ROW(PaymentSchedule33[[#Headers],[Beginning
Balance]])=1,LoanAmount,INDEX(PaymentSchedule33[Ending
Balance],ROW()-ROW(PaymentSchedule33[[#Headers],[Beginning
Balance]])-1)),"")</f>
        <v>251699.62041084602</v>
      </c>
      <c r="E161" s="25">
        <f ca="1">IF(PaymentSchedule33[[#This Row],[Payment Number]]&lt;&gt;"",ScheduledPayment,"")</f>
        <v>1784.9318965153623</v>
      </c>
      <c r="F16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1" s="25">
        <f ca="1">IF(PaymentSchedule33[[#This Row],[Payment Number]]&lt;&gt;"",PaymentSchedule33[[#This Row],[Total
Payment]]-PaymentSchedule33[[#This Row],[Interest]],"")</f>
        <v>736.18347813683727</v>
      </c>
      <c r="I161" s="25">
        <f ca="1">IF(PaymentSchedule33[[#This Row],[Payment Number]]&lt;&gt;"",PaymentSchedule33[[#This Row],[Beginning
Balance]]*(InterestRate/PaymentsPerYear),"")</f>
        <v>1048.748418378525</v>
      </c>
      <c r="J161" s="25">
        <f ca="1">IF(PaymentSchedule33[[#This Row],[Payment Number]]&lt;&gt;"",IF(PaymentSchedule33[[#This Row],[Scheduled Payment]]+PaymentSchedule33[[#This Row],[Extra
Payment]]&lt;=PaymentSchedule33[[#This Row],[Beginning
Balance]],PaymentSchedule33[[#This Row],[Beginning
Balance]]-PaymentSchedule33[[#This Row],[Principal]],0),"")</f>
        <v>250963.43693270918</v>
      </c>
      <c r="K161" s="25">
        <f ca="1">IF(PaymentSchedule33[[#This Row],[Payment Number]]&lt;&gt;"",SUM(INDEX(PaymentSchedule33[Interest],1,1):PaymentSchedule33[[#This Row],[Interest]]),"")</f>
        <v>182633.35761698315</v>
      </c>
      <c r="L161" s="25">
        <f ca="1">IF(PaymentSchedule33[[#This Row],[Payment Number]]&lt;&gt;"",SUM(INDEX(PaymentSchedule33[Principal],1,1):PaymentSchedule33[[#This Row],[Principal]]),"")</f>
        <v>81536.563067290554</v>
      </c>
      <c r="M161" s="25">
        <f ca="1">PaymentSchedule3[[#This Row],[Total
Payment]]-PaymentSchedule33[[#This Row],[Total
Payment]]</f>
        <v>427.19889995542212</v>
      </c>
      <c r="N161" s="25">
        <f ca="1">PaymentSchedule3[[#This Row],[Interest]]-PaymentSchedule33[[#This Row],[Interest]]</f>
        <v>522.51571727314899</v>
      </c>
      <c r="O161" s="25">
        <f ca="1">PaymentSchedule3[[#This Row],[Cumulative
Interest]]-PaymentSchedule33[[#This Row],[Cumulative
Interest]]</f>
        <v>80980.699711589288</v>
      </c>
    </row>
    <row r="162" spans="2:15" x14ac:dyDescent="0.25">
      <c r="B162" s="23">
        <f ca="1">IF(LoanIsGood,IF(ROW()-ROW(PaymentSchedule33[[#Headers],[Payment Number]])&gt;ScheduledNumberOfPayments,"",ROW()-ROW(PaymentSchedule33[[#Headers],[Payment Number]])),"")</f>
        <v>149</v>
      </c>
      <c r="C162" s="24">
        <f ca="1">IF(PaymentSchedule33[[#This Row],[Payment Number]]&lt;&gt;"",EOMONTH(LoanStartDate,ROW(PaymentSchedule33[[#This Row],[Payment Number]])-ROW(PaymentSchedule33[[#Headers],[Payment Number]])-2)+DAY(LoanStartDate),"")</f>
        <v>49972</v>
      </c>
      <c r="D162" s="25">
        <f ca="1">IF(PaymentSchedule33[[#This Row],[Payment Number]]&lt;&gt;"",IF(ROW()-ROW(PaymentSchedule33[[#Headers],[Beginning
Balance]])=1,LoanAmount,INDEX(PaymentSchedule33[Ending
Balance],ROW()-ROW(PaymentSchedule33[[#Headers],[Beginning
Balance]])-1)),"")</f>
        <v>250963.43693270918</v>
      </c>
      <c r="E162" s="25">
        <f ca="1">IF(PaymentSchedule33[[#This Row],[Payment Number]]&lt;&gt;"",ScheduledPayment,"")</f>
        <v>1784.9318965153623</v>
      </c>
      <c r="F16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2" s="25">
        <f ca="1">IF(PaymentSchedule33[[#This Row],[Payment Number]]&lt;&gt;"",PaymentSchedule33[[#This Row],[Total
Payment]]-PaymentSchedule33[[#This Row],[Interest]],"")</f>
        <v>739.25090929574071</v>
      </c>
      <c r="I162" s="25">
        <f ca="1">IF(PaymentSchedule33[[#This Row],[Payment Number]]&lt;&gt;"",PaymentSchedule33[[#This Row],[Beginning
Balance]]*(InterestRate/PaymentsPerYear),"")</f>
        <v>1045.6809872196216</v>
      </c>
      <c r="J162" s="25">
        <f ca="1">IF(PaymentSchedule33[[#This Row],[Payment Number]]&lt;&gt;"",IF(PaymentSchedule33[[#This Row],[Scheduled Payment]]+PaymentSchedule33[[#This Row],[Extra
Payment]]&lt;=PaymentSchedule33[[#This Row],[Beginning
Balance]],PaymentSchedule33[[#This Row],[Beginning
Balance]]-PaymentSchedule33[[#This Row],[Principal]],0),"")</f>
        <v>250224.18602341344</v>
      </c>
      <c r="K162" s="25">
        <f ca="1">IF(PaymentSchedule33[[#This Row],[Payment Number]]&lt;&gt;"",SUM(INDEX(PaymentSchedule33[Interest],1,1):PaymentSchedule33[[#This Row],[Interest]]),"")</f>
        <v>183679.03860420277</v>
      </c>
      <c r="L162" s="25">
        <f ca="1">IF(PaymentSchedule33[[#This Row],[Payment Number]]&lt;&gt;"",SUM(INDEX(PaymentSchedule33[Principal],1,1):PaymentSchedule33[[#This Row],[Principal]]),"")</f>
        <v>82275.813976586302</v>
      </c>
      <c r="M162" s="25">
        <f ca="1">PaymentSchedule3[[#This Row],[Total
Payment]]-PaymentSchedule33[[#This Row],[Total
Payment]]</f>
        <v>427.19889995542212</v>
      </c>
      <c r="N162" s="25">
        <f ca="1">PaymentSchedule3[[#This Row],[Interest]]-PaymentSchedule33[[#This Row],[Interest]]</f>
        <v>521.84475957727432</v>
      </c>
      <c r="O162" s="25">
        <f ca="1">PaymentSchedule3[[#This Row],[Cumulative
Interest]]-PaymentSchedule33[[#This Row],[Cumulative
Interest]]</f>
        <v>81502.544471166591</v>
      </c>
    </row>
    <row r="163" spans="2:15" x14ac:dyDescent="0.25">
      <c r="B163" s="23">
        <f ca="1">IF(LoanIsGood,IF(ROW()-ROW(PaymentSchedule33[[#Headers],[Payment Number]])&gt;ScheduledNumberOfPayments,"",ROW()-ROW(PaymentSchedule33[[#Headers],[Payment Number]])),"")</f>
        <v>150</v>
      </c>
      <c r="C163" s="24">
        <f ca="1">IF(PaymentSchedule33[[#This Row],[Payment Number]]&lt;&gt;"",EOMONTH(LoanStartDate,ROW(PaymentSchedule33[[#This Row],[Payment Number]])-ROW(PaymentSchedule33[[#Headers],[Payment Number]])-2)+DAY(LoanStartDate),"")</f>
        <v>50003</v>
      </c>
      <c r="D163" s="25">
        <f ca="1">IF(PaymentSchedule33[[#This Row],[Payment Number]]&lt;&gt;"",IF(ROW()-ROW(PaymentSchedule33[[#Headers],[Beginning
Balance]])=1,LoanAmount,INDEX(PaymentSchedule33[Ending
Balance],ROW()-ROW(PaymentSchedule33[[#Headers],[Beginning
Balance]])-1)),"")</f>
        <v>250224.18602341344</v>
      </c>
      <c r="E163" s="25">
        <f ca="1">IF(PaymentSchedule33[[#This Row],[Payment Number]]&lt;&gt;"",ScheduledPayment,"")</f>
        <v>1784.9318965153623</v>
      </c>
      <c r="F16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3" s="25">
        <f ca="1">IF(PaymentSchedule33[[#This Row],[Payment Number]]&lt;&gt;"",PaymentSchedule33[[#This Row],[Total
Payment]]-PaymentSchedule33[[#This Row],[Interest]],"")</f>
        <v>742.33112141780634</v>
      </c>
      <c r="I163" s="25">
        <f ca="1">IF(PaymentSchedule33[[#This Row],[Payment Number]]&lt;&gt;"",PaymentSchedule33[[#This Row],[Beginning
Balance]]*(InterestRate/PaymentsPerYear),"")</f>
        <v>1042.6007750975559</v>
      </c>
      <c r="J163" s="25">
        <f ca="1">IF(PaymentSchedule33[[#This Row],[Payment Number]]&lt;&gt;"",IF(PaymentSchedule33[[#This Row],[Scheduled Payment]]+PaymentSchedule33[[#This Row],[Extra
Payment]]&lt;=PaymentSchedule33[[#This Row],[Beginning
Balance]],PaymentSchedule33[[#This Row],[Beginning
Balance]]-PaymentSchedule33[[#This Row],[Principal]],0),"")</f>
        <v>249481.85490199563</v>
      </c>
      <c r="K163" s="25">
        <f ca="1">IF(PaymentSchedule33[[#This Row],[Payment Number]]&lt;&gt;"",SUM(INDEX(PaymentSchedule33[Interest],1,1):PaymentSchedule33[[#This Row],[Interest]]),"")</f>
        <v>184721.63937930032</v>
      </c>
      <c r="L163" s="25">
        <f ca="1">IF(PaymentSchedule33[[#This Row],[Payment Number]]&lt;&gt;"",SUM(INDEX(PaymentSchedule33[Principal],1,1):PaymentSchedule33[[#This Row],[Principal]]),"")</f>
        <v>83018.145098004112</v>
      </c>
      <c r="M163" s="25">
        <f ca="1">PaymentSchedule3[[#This Row],[Total
Payment]]-PaymentSchedule33[[#This Row],[Total
Payment]]</f>
        <v>427.19889995542212</v>
      </c>
      <c r="N163" s="25">
        <f ca="1">PaymentSchedule3[[#This Row],[Interest]]-PaymentSchedule33[[#This Row],[Interest]]</f>
        <v>521.16477557624239</v>
      </c>
      <c r="O163" s="25">
        <f ca="1">PaymentSchedule3[[#This Row],[Cumulative
Interest]]-PaymentSchedule33[[#This Row],[Cumulative
Interest]]</f>
        <v>82023.709246742859</v>
      </c>
    </row>
    <row r="164" spans="2:15" x14ac:dyDescent="0.25">
      <c r="B164" s="23">
        <f ca="1">IF(LoanIsGood,IF(ROW()-ROW(PaymentSchedule33[[#Headers],[Payment Number]])&gt;ScheduledNumberOfPayments,"",ROW()-ROW(PaymentSchedule33[[#Headers],[Payment Number]])),"")</f>
        <v>151</v>
      </c>
      <c r="C164" s="24">
        <f ca="1">IF(PaymentSchedule33[[#This Row],[Payment Number]]&lt;&gt;"",EOMONTH(LoanStartDate,ROW(PaymentSchedule33[[#This Row],[Payment Number]])-ROW(PaymentSchedule33[[#Headers],[Payment Number]])-2)+DAY(LoanStartDate),"")</f>
        <v>50033</v>
      </c>
      <c r="D164" s="25">
        <f ca="1">IF(PaymentSchedule33[[#This Row],[Payment Number]]&lt;&gt;"",IF(ROW()-ROW(PaymentSchedule33[[#Headers],[Beginning
Balance]])=1,LoanAmount,INDEX(PaymentSchedule33[Ending
Balance],ROW()-ROW(PaymentSchedule33[[#Headers],[Beginning
Balance]])-1)),"")</f>
        <v>249481.85490199563</v>
      </c>
      <c r="E164" s="25">
        <f ca="1">IF(PaymentSchedule33[[#This Row],[Payment Number]]&lt;&gt;"",ScheduledPayment,"")</f>
        <v>1784.9318965153623</v>
      </c>
      <c r="F16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4" s="25">
        <f ca="1">IF(PaymentSchedule33[[#This Row],[Payment Number]]&lt;&gt;"",PaymentSchedule33[[#This Row],[Total
Payment]]-PaymentSchedule33[[#This Row],[Interest]],"")</f>
        <v>745.42416775704714</v>
      </c>
      <c r="I164" s="25">
        <f ca="1">IF(PaymentSchedule33[[#This Row],[Payment Number]]&lt;&gt;"",PaymentSchedule33[[#This Row],[Beginning
Balance]]*(InterestRate/PaymentsPerYear),"")</f>
        <v>1039.5077287583151</v>
      </c>
      <c r="J164" s="25">
        <f ca="1">IF(PaymentSchedule33[[#This Row],[Payment Number]]&lt;&gt;"",IF(PaymentSchedule33[[#This Row],[Scheduled Payment]]+PaymentSchedule33[[#This Row],[Extra
Payment]]&lt;=PaymentSchedule33[[#This Row],[Beginning
Balance]],PaymentSchedule33[[#This Row],[Beginning
Balance]]-PaymentSchedule33[[#This Row],[Principal]],0),"")</f>
        <v>248736.43073423859</v>
      </c>
      <c r="K164" s="25">
        <f ca="1">IF(PaymentSchedule33[[#This Row],[Payment Number]]&lt;&gt;"",SUM(INDEX(PaymentSchedule33[Interest],1,1):PaymentSchedule33[[#This Row],[Interest]]),"")</f>
        <v>185761.14710805865</v>
      </c>
      <c r="L164" s="25">
        <f ca="1">IF(PaymentSchedule33[[#This Row],[Payment Number]]&lt;&gt;"",SUM(INDEX(PaymentSchedule33[Principal],1,1):PaymentSchedule33[[#This Row],[Principal]]),"")</f>
        <v>83763.569265761165</v>
      </c>
      <c r="M164" s="25">
        <f ca="1">PaymentSchedule3[[#This Row],[Total
Payment]]-PaymentSchedule33[[#This Row],[Total
Payment]]</f>
        <v>427.19889995542212</v>
      </c>
      <c r="N164" s="25">
        <f ca="1">PaymentSchedule3[[#This Row],[Interest]]-PaymentSchedule33[[#This Row],[Interest]]</f>
        <v>520.47569131500063</v>
      </c>
      <c r="O164" s="25">
        <f ca="1">PaymentSchedule3[[#This Row],[Cumulative
Interest]]-PaymentSchedule33[[#This Row],[Cumulative
Interest]]</f>
        <v>82544.184938057821</v>
      </c>
    </row>
    <row r="165" spans="2:15" x14ac:dyDescent="0.25">
      <c r="B165" s="23">
        <f ca="1">IF(LoanIsGood,IF(ROW()-ROW(PaymentSchedule33[[#Headers],[Payment Number]])&gt;ScheduledNumberOfPayments,"",ROW()-ROW(PaymentSchedule33[[#Headers],[Payment Number]])),"")</f>
        <v>152</v>
      </c>
      <c r="C165" s="24">
        <f ca="1">IF(PaymentSchedule33[[#This Row],[Payment Number]]&lt;&gt;"",EOMONTH(LoanStartDate,ROW(PaymentSchedule33[[#This Row],[Payment Number]])-ROW(PaymentSchedule33[[#Headers],[Payment Number]])-2)+DAY(LoanStartDate),"")</f>
        <v>50064</v>
      </c>
      <c r="D165" s="25">
        <f ca="1">IF(PaymentSchedule33[[#This Row],[Payment Number]]&lt;&gt;"",IF(ROW()-ROW(PaymentSchedule33[[#Headers],[Beginning
Balance]])=1,LoanAmount,INDEX(PaymentSchedule33[Ending
Balance],ROW()-ROW(PaymentSchedule33[[#Headers],[Beginning
Balance]])-1)),"")</f>
        <v>248736.43073423859</v>
      </c>
      <c r="E165" s="25">
        <f ca="1">IF(PaymentSchedule33[[#This Row],[Payment Number]]&lt;&gt;"",ScheduledPayment,"")</f>
        <v>1784.9318965153623</v>
      </c>
      <c r="F16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5" s="25">
        <f ca="1">IF(PaymentSchedule33[[#This Row],[Payment Number]]&lt;&gt;"",PaymentSchedule33[[#This Row],[Total
Payment]]-PaymentSchedule33[[#This Row],[Interest]],"")</f>
        <v>748.53010178936825</v>
      </c>
      <c r="I165" s="25">
        <f ca="1">IF(PaymentSchedule33[[#This Row],[Payment Number]]&lt;&gt;"",PaymentSchedule33[[#This Row],[Beginning
Balance]]*(InterestRate/PaymentsPerYear),"")</f>
        <v>1036.401794725994</v>
      </c>
      <c r="J165" s="25">
        <f ca="1">IF(PaymentSchedule33[[#This Row],[Payment Number]]&lt;&gt;"",IF(PaymentSchedule33[[#This Row],[Scheduled Payment]]+PaymentSchedule33[[#This Row],[Extra
Payment]]&lt;=PaymentSchedule33[[#This Row],[Beginning
Balance]],PaymentSchedule33[[#This Row],[Beginning
Balance]]-PaymentSchedule33[[#This Row],[Principal]],0),"")</f>
        <v>247987.90063244922</v>
      </c>
      <c r="K165" s="25">
        <f ca="1">IF(PaymentSchedule33[[#This Row],[Payment Number]]&lt;&gt;"",SUM(INDEX(PaymentSchedule33[Interest],1,1):PaymentSchedule33[[#This Row],[Interest]]),"")</f>
        <v>186797.54890278465</v>
      </c>
      <c r="L165" s="25">
        <f ca="1">IF(PaymentSchedule33[[#This Row],[Payment Number]]&lt;&gt;"",SUM(INDEX(PaymentSchedule33[Principal],1,1):PaymentSchedule33[[#This Row],[Principal]]),"")</f>
        <v>84512.099367550531</v>
      </c>
      <c r="M165" s="25">
        <f ca="1">PaymentSchedule3[[#This Row],[Total
Payment]]-PaymentSchedule33[[#This Row],[Total
Payment]]</f>
        <v>427.19889995542212</v>
      </c>
      <c r="N165" s="25">
        <f ca="1">PaymentSchedule3[[#This Row],[Interest]]-PaymentSchedule33[[#This Row],[Interest]]</f>
        <v>519.77743231833665</v>
      </c>
      <c r="O165" s="25">
        <f ca="1">PaymentSchedule3[[#This Row],[Cumulative
Interest]]-PaymentSchedule33[[#This Row],[Cumulative
Interest]]</f>
        <v>83063.962370376161</v>
      </c>
    </row>
    <row r="166" spans="2:15" x14ac:dyDescent="0.25">
      <c r="B166" s="23">
        <f ca="1">IF(LoanIsGood,IF(ROW()-ROW(PaymentSchedule33[[#Headers],[Payment Number]])&gt;ScheduledNumberOfPayments,"",ROW()-ROW(PaymentSchedule33[[#Headers],[Payment Number]])),"")</f>
        <v>153</v>
      </c>
      <c r="C166" s="24">
        <f ca="1">IF(PaymentSchedule33[[#This Row],[Payment Number]]&lt;&gt;"",EOMONTH(LoanStartDate,ROW(PaymentSchedule33[[#This Row],[Payment Number]])-ROW(PaymentSchedule33[[#Headers],[Payment Number]])-2)+DAY(LoanStartDate),"")</f>
        <v>50095</v>
      </c>
      <c r="D166" s="25">
        <f ca="1">IF(PaymentSchedule33[[#This Row],[Payment Number]]&lt;&gt;"",IF(ROW()-ROW(PaymentSchedule33[[#Headers],[Beginning
Balance]])=1,LoanAmount,INDEX(PaymentSchedule33[Ending
Balance],ROW()-ROW(PaymentSchedule33[[#Headers],[Beginning
Balance]])-1)),"")</f>
        <v>247987.90063244922</v>
      </c>
      <c r="E166" s="25">
        <f ca="1">IF(PaymentSchedule33[[#This Row],[Payment Number]]&lt;&gt;"",ScheduledPayment,"")</f>
        <v>1784.9318965153623</v>
      </c>
      <c r="F16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6" s="25">
        <f ca="1">IF(PaymentSchedule33[[#This Row],[Payment Number]]&lt;&gt;"",PaymentSchedule33[[#This Row],[Total
Payment]]-PaymentSchedule33[[#This Row],[Interest]],"")</f>
        <v>751.64897721349053</v>
      </c>
      <c r="I166" s="25">
        <f ca="1">IF(PaymentSchedule33[[#This Row],[Payment Number]]&lt;&gt;"",PaymentSchedule33[[#This Row],[Beginning
Balance]]*(InterestRate/PaymentsPerYear),"")</f>
        <v>1033.2829193018717</v>
      </c>
      <c r="J166" s="25">
        <f ca="1">IF(PaymentSchedule33[[#This Row],[Payment Number]]&lt;&gt;"",IF(PaymentSchedule33[[#This Row],[Scheduled Payment]]+PaymentSchedule33[[#This Row],[Extra
Payment]]&lt;=PaymentSchedule33[[#This Row],[Beginning
Balance]],PaymentSchedule33[[#This Row],[Beginning
Balance]]-PaymentSchedule33[[#This Row],[Principal]],0),"")</f>
        <v>247236.25165523574</v>
      </c>
      <c r="K166" s="25">
        <f ca="1">IF(PaymentSchedule33[[#This Row],[Payment Number]]&lt;&gt;"",SUM(INDEX(PaymentSchedule33[Interest],1,1):PaymentSchedule33[[#This Row],[Interest]]),"")</f>
        <v>187830.83182208653</v>
      </c>
      <c r="L166" s="25">
        <f ca="1">IF(PaymentSchedule33[[#This Row],[Payment Number]]&lt;&gt;"",SUM(INDEX(PaymentSchedule33[Principal],1,1):PaymentSchedule33[[#This Row],[Principal]]),"")</f>
        <v>85263.748344764026</v>
      </c>
      <c r="M166" s="25">
        <f ca="1">PaymentSchedule3[[#This Row],[Total
Payment]]-PaymentSchedule33[[#This Row],[Total
Payment]]</f>
        <v>427.19889995542212</v>
      </c>
      <c r="N166" s="25">
        <f ca="1">PaymentSchedule3[[#This Row],[Interest]]-PaymentSchedule33[[#This Row],[Interest]]</f>
        <v>519.06992358747129</v>
      </c>
      <c r="O166" s="25">
        <f ca="1">PaymentSchedule3[[#This Row],[Cumulative
Interest]]-PaymentSchedule33[[#This Row],[Cumulative
Interest]]</f>
        <v>83583.032293963595</v>
      </c>
    </row>
    <row r="167" spans="2:15" x14ac:dyDescent="0.25">
      <c r="B167" s="23">
        <f ca="1">IF(LoanIsGood,IF(ROW()-ROW(PaymentSchedule33[[#Headers],[Payment Number]])&gt;ScheduledNumberOfPayments,"",ROW()-ROW(PaymentSchedule33[[#Headers],[Payment Number]])),"")</f>
        <v>154</v>
      </c>
      <c r="C167" s="24">
        <f ca="1">IF(PaymentSchedule33[[#This Row],[Payment Number]]&lt;&gt;"",EOMONTH(LoanStartDate,ROW(PaymentSchedule33[[#This Row],[Payment Number]])-ROW(PaymentSchedule33[[#Headers],[Payment Number]])-2)+DAY(LoanStartDate),"")</f>
        <v>50123</v>
      </c>
      <c r="D167" s="25">
        <f ca="1">IF(PaymentSchedule33[[#This Row],[Payment Number]]&lt;&gt;"",IF(ROW()-ROW(PaymentSchedule33[[#Headers],[Beginning
Balance]])=1,LoanAmount,INDEX(PaymentSchedule33[Ending
Balance],ROW()-ROW(PaymentSchedule33[[#Headers],[Beginning
Balance]])-1)),"")</f>
        <v>247236.25165523574</v>
      </c>
      <c r="E167" s="25">
        <f ca="1">IF(PaymentSchedule33[[#This Row],[Payment Number]]&lt;&gt;"",ScheduledPayment,"")</f>
        <v>1784.9318965153623</v>
      </c>
      <c r="F16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7" s="25">
        <f ca="1">IF(PaymentSchedule33[[#This Row],[Payment Number]]&lt;&gt;"",PaymentSchedule33[[#This Row],[Total
Payment]]-PaymentSchedule33[[#This Row],[Interest]],"")</f>
        <v>754.78084795188011</v>
      </c>
      <c r="I167" s="25">
        <f ca="1">IF(PaymentSchedule33[[#This Row],[Payment Number]]&lt;&gt;"",PaymentSchedule33[[#This Row],[Beginning
Balance]]*(InterestRate/PaymentsPerYear),"")</f>
        <v>1030.1510485634822</v>
      </c>
      <c r="J167" s="25">
        <f ca="1">IF(PaymentSchedule33[[#This Row],[Payment Number]]&lt;&gt;"",IF(PaymentSchedule33[[#This Row],[Scheduled Payment]]+PaymentSchedule33[[#This Row],[Extra
Payment]]&lt;=PaymentSchedule33[[#This Row],[Beginning
Balance]],PaymentSchedule33[[#This Row],[Beginning
Balance]]-PaymentSchedule33[[#This Row],[Principal]],0),"")</f>
        <v>246481.47080728385</v>
      </c>
      <c r="K167" s="25">
        <f ca="1">IF(PaymentSchedule33[[#This Row],[Payment Number]]&lt;&gt;"",SUM(INDEX(PaymentSchedule33[Interest],1,1):PaymentSchedule33[[#This Row],[Interest]]),"")</f>
        <v>188860.98287065001</v>
      </c>
      <c r="L167" s="25">
        <f ca="1">IF(PaymentSchedule33[[#This Row],[Payment Number]]&lt;&gt;"",SUM(INDEX(PaymentSchedule33[Principal],1,1):PaymentSchedule33[[#This Row],[Principal]]),"")</f>
        <v>86018.529192715912</v>
      </c>
      <c r="M167" s="25">
        <f ca="1">PaymentSchedule3[[#This Row],[Total
Payment]]-PaymentSchedule33[[#This Row],[Total
Payment]]</f>
        <v>427.19889995542212</v>
      </c>
      <c r="N167" s="25">
        <f ca="1">PaymentSchedule3[[#This Row],[Interest]]-PaymentSchedule33[[#This Row],[Interest]]</f>
        <v>518.35308959663598</v>
      </c>
      <c r="O167" s="25">
        <f ca="1">PaymentSchedule3[[#This Row],[Cumulative
Interest]]-PaymentSchedule33[[#This Row],[Cumulative
Interest]]</f>
        <v>84101.385383560206</v>
      </c>
    </row>
    <row r="168" spans="2:15" x14ac:dyDescent="0.25">
      <c r="B168" s="23">
        <f ca="1">IF(LoanIsGood,IF(ROW()-ROW(PaymentSchedule33[[#Headers],[Payment Number]])&gt;ScheduledNumberOfPayments,"",ROW()-ROW(PaymentSchedule33[[#Headers],[Payment Number]])),"")</f>
        <v>155</v>
      </c>
      <c r="C168" s="24">
        <f ca="1">IF(PaymentSchedule33[[#This Row],[Payment Number]]&lt;&gt;"",EOMONTH(LoanStartDate,ROW(PaymentSchedule33[[#This Row],[Payment Number]])-ROW(PaymentSchedule33[[#Headers],[Payment Number]])-2)+DAY(LoanStartDate),"")</f>
        <v>50154</v>
      </c>
      <c r="D168" s="25">
        <f ca="1">IF(PaymentSchedule33[[#This Row],[Payment Number]]&lt;&gt;"",IF(ROW()-ROW(PaymentSchedule33[[#Headers],[Beginning
Balance]])=1,LoanAmount,INDEX(PaymentSchedule33[Ending
Balance],ROW()-ROW(PaymentSchedule33[[#Headers],[Beginning
Balance]])-1)),"")</f>
        <v>246481.47080728385</v>
      </c>
      <c r="E168" s="25">
        <f ca="1">IF(PaymentSchedule33[[#This Row],[Payment Number]]&lt;&gt;"",ScheduledPayment,"")</f>
        <v>1784.9318965153623</v>
      </c>
      <c r="F16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8" s="25">
        <f ca="1">IF(PaymentSchedule33[[#This Row],[Payment Number]]&lt;&gt;"",PaymentSchedule33[[#This Row],[Total
Payment]]-PaymentSchedule33[[#This Row],[Interest]],"")</f>
        <v>757.92576815167945</v>
      </c>
      <c r="I168" s="25">
        <f ca="1">IF(PaymentSchedule33[[#This Row],[Payment Number]]&lt;&gt;"",PaymentSchedule33[[#This Row],[Beginning
Balance]]*(InterestRate/PaymentsPerYear),"")</f>
        <v>1027.0061283636828</v>
      </c>
      <c r="J168" s="25">
        <f ca="1">IF(PaymentSchedule33[[#This Row],[Payment Number]]&lt;&gt;"",IF(PaymentSchedule33[[#This Row],[Scheduled Payment]]+PaymentSchedule33[[#This Row],[Extra
Payment]]&lt;=PaymentSchedule33[[#This Row],[Beginning
Balance]],PaymentSchedule33[[#This Row],[Beginning
Balance]]-PaymentSchedule33[[#This Row],[Principal]],0),"")</f>
        <v>245723.54503913218</v>
      </c>
      <c r="K168" s="25">
        <f ca="1">IF(PaymentSchedule33[[#This Row],[Payment Number]]&lt;&gt;"",SUM(INDEX(PaymentSchedule33[Interest],1,1):PaymentSchedule33[[#This Row],[Interest]]),"")</f>
        <v>189887.9889990137</v>
      </c>
      <c r="L168" s="25">
        <f ca="1">IF(PaymentSchedule33[[#This Row],[Payment Number]]&lt;&gt;"",SUM(INDEX(PaymentSchedule33[Principal],1,1):PaymentSchedule33[[#This Row],[Principal]]),"")</f>
        <v>86776.454960867588</v>
      </c>
      <c r="M168" s="25">
        <f ca="1">PaymentSchedule3[[#This Row],[Total
Payment]]-PaymentSchedule33[[#This Row],[Total
Payment]]</f>
        <v>427.19889995542212</v>
      </c>
      <c r="N168" s="25">
        <f ca="1">PaymentSchedule3[[#This Row],[Interest]]-PaymentSchedule33[[#This Row],[Interest]]</f>
        <v>517.62685428962322</v>
      </c>
      <c r="O168" s="25">
        <f ca="1">PaymentSchedule3[[#This Row],[Cumulative
Interest]]-PaymentSchedule33[[#This Row],[Cumulative
Interest]]</f>
        <v>84619.012237849849</v>
      </c>
    </row>
    <row r="169" spans="2:15" x14ac:dyDescent="0.25">
      <c r="B169" s="23">
        <f ca="1">IF(LoanIsGood,IF(ROW()-ROW(PaymentSchedule33[[#Headers],[Payment Number]])&gt;ScheduledNumberOfPayments,"",ROW()-ROW(PaymentSchedule33[[#Headers],[Payment Number]])),"")</f>
        <v>156</v>
      </c>
      <c r="C169" s="24">
        <f ca="1">IF(PaymentSchedule33[[#This Row],[Payment Number]]&lt;&gt;"",EOMONTH(LoanStartDate,ROW(PaymentSchedule33[[#This Row],[Payment Number]])-ROW(PaymentSchedule33[[#Headers],[Payment Number]])-2)+DAY(LoanStartDate),"")</f>
        <v>50184</v>
      </c>
      <c r="D169" s="25">
        <f ca="1">IF(PaymentSchedule33[[#This Row],[Payment Number]]&lt;&gt;"",IF(ROW()-ROW(PaymentSchedule33[[#Headers],[Beginning
Balance]])=1,LoanAmount,INDEX(PaymentSchedule33[Ending
Balance],ROW()-ROW(PaymentSchedule33[[#Headers],[Beginning
Balance]])-1)),"")</f>
        <v>245723.54503913218</v>
      </c>
      <c r="E169" s="25">
        <f ca="1">IF(PaymentSchedule33[[#This Row],[Payment Number]]&lt;&gt;"",ScheduledPayment,"")</f>
        <v>1784.9318965153623</v>
      </c>
      <c r="F16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6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69" s="25">
        <f ca="1">IF(PaymentSchedule33[[#This Row],[Payment Number]]&lt;&gt;"",PaymentSchedule33[[#This Row],[Total
Payment]]-PaymentSchedule33[[#This Row],[Interest]],"")</f>
        <v>761.08379218564482</v>
      </c>
      <c r="I169" s="25">
        <f ca="1">IF(PaymentSchedule33[[#This Row],[Payment Number]]&lt;&gt;"",PaymentSchedule33[[#This Row],[Beginning
Balance]]*(InterestRate/PaymentsPerYear),"")</f>
        <v>1023.8481043297174</v>
      </c>
      <c r="J169" s="25">
        <f ca="1">IF(PaymentSchedule33[[#This Row],[Payment Number]]&lt;&gt;"",IF(PaymentSchedule33[[#This Row],[Scheduled Payment]]+PaymentSchedule33[[#This Row],[Extra
Payment]]&lt;=PaymentSchedule33[[#This Row],[Beginning
Balance]],PaymentSchedule33[[#This Row],[Beginning
Balance]]-PaymentSchedule33[[#This Row],[Principal]],0),"")</f>
        <v>244962.46124694654</v>
      </c>
      <c r="K169" s="25">
        <f ca="1">IF(PaymentSchedule33[[#This Row],[Payment Number]]&lt;&gt;"",SUM(INDEX(PaymentSchedule33[Interest],1,1):PaymentSchedule33[[#This Row],[Interest]]),"")</f>
        <v>190911.83710334342</v>
      </c>
      <c r="L169" s="25">
        <f ca="1">IF(PaymentSchedule33[[#This Row],[Payment Number]]&lt;&gt;"",SUM(INDEX(PaymentSchedule33[Principal],1,1):PaymentSchedule33[[#This Row],[Principal]]),"")</f>
        <v>87537.538753053232</v>
      </c>
      <c r="M169" s="25">
        <f ca="1">PaymentSchedule3[[#This Row],[Total
Payment]]-PaymentSchedule33[[#This Row],[Total
Payment]]</f>
        <v>427.19889995542212</v>
      </c>
      <c r="N169" s="25">
        <f ca="1">PaymentSchedule3[[#This Row],[Interest]]-PaymentSchedule33[[#This Row],[Interest]]</f>
        <v>516.89114107632008</v>
      </c>
      <c r="O169" s="25">
        <f ca="1">PaymentSchedule3[[#This Row],[Cumulative
Interest]]-PaymentSchedule33[[#This Row],[Cumulative
Interest]]</f>
        <v>85135.903378926188</v>
      </c>
    </row>
    <row r="170" spans="2:15" x14ac:dyDescent="0.25">
      <c r="B170" s="23">
        <f ca="1">IF(LoanIsGood,IF(ROW()-ROW(PaymentSchedule33[[#Headers],[Payment Number]])&gt;ScheduledNumberOfPayments,"",ROW()-ROW(PaymentSchedule33[[#Headers],[Payment Number]])),"")</f>
        <v>157</v>
      </c>
      <c r="C170" s="24">
        <f ca="1">IF(PaymentSchedule33[[#This Row],[Payment Number]]&lt;&gt;"",EOMONTH(LoanStartDate,ROW(PaymentSchedule33[[#This Row],[Payment Number]])-ROW(PaymentSchedule33[[#Headers],[Payment Number]])-2)+DAY(LoanStartDate),"")</f>
        <v>50215</v>
      </c>
      <c r="D170" s="25">
        <f ca="1">IF(PaymentSchedule33[[#This Row],[Payment Number]]&lt;&gt;"",IF(ROW()-ROW(PaymentSchedule33[[#Headers],[Beginning
Balance]])=1,LoanAmount,INDEX(PaymentSchedule33[Ending
Balance],ROW()-ROW(PaymentSchedule33[[#Headers],[Beginning
Balance]])-1)),"")</f>
        <v>244962.46124694654</v>
      </c>
      <c r="E170" s="25">
        <f ca="1">IF(PaymentSchedule33[[#This Row],[Payment Number]]&lt;&gt;"",ScheduledPayment,"")</f>
        <v>1784.9318965153623</v>
      </c>
      <c r="F17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0" s="25">
        <f ca="1">IF(PaymentSchedule33[[#This Row],[Payment Number]]&lt;&gt;"",PaymentSchedule33[[#This Row],[Total
Payment]]-PaymentSchedule33[[#This Row],[Interest]],"")</f>
        <v>764.25497465308501</v>
      </c>
      <c r="I170" s="25">
        <f ca="1">IF(PaymentSchedule33[[#This Row],[Payment Number]]&lt;&gt;"",PaymentSchedule33[[#This Row],[Beginning
Balance]]*(InterestRate/PaymentsPerYear),"")</f>
        <v>1020.6769218622773</v>
      </c>
      <c r="J170" s="25">
        <f ca="1">IF(PaymentSchedule33[[#This Row],[Payment Number]]&lt;&gt;"",IF(PaymentSchedule33[[#This Row],[Scheduled Payment]]+PaymentSchedule33[[#This Row],[Extra
Payment]]&lt;=PaymentSchedule33[[#This Row],[Beginning
Balance]],PaymentSchedule33[[#This Row],[Beginning
Balance]]-PaymentSchedule33[[#This Row],[Principal]],0),"")</f>
        <v>244198.20627229346</v>
      </c>
      <c r="K170" s="25">
        <f ca="1">IF(PaymentSchedule33[[#This Row],[Payment Number]]&lt;&gt;"",SUM(INDEX(PaymentSchedule33[Interest],1,1):PaymentSchedule33[[#This Row],[Interest]]),"")</f>
        <v>191932.51402520569</v>
      </c>
      <c r="L170" s="25">
        <f ca="1">IF(PaymentSchedule33[[#This Row],[Payment Number]]&lt;&gt;"",SUM(INDEX(PaymentSchedule33[Principal],1,1):PaymentSchedule33[[#This Row],[Principal]]),"")</f>
        <v>88301.793727706317</v>
      </c>
      <c r="M170" s="25">
        <f ca="1">PaymentSchedule3[[#This Row],[Total
Payment]]-PaymentSchedule33[[#This Row],[Total
Payment]]</f>
        <v>427.19889995542212</v>
      </c>
      <c r="N170" s="25">
        <f ca="1">PaymentSchedule3[[#This Row],[Interest]]-PaymentSchedule33[[#This Row],[Interest]]</f>
        <v>516.14587282921605</v>
      </c>
      <c r="O170" s="25">
        <f ca="1">PaymentSchedule3[[#This Row],[Cumulative
Interest]]-PaymentSchedule33[[#This Row],[Cumulative
Interest]]</f>
        <v>85652.049251755408</v>
      </c>
    </row>
    <row r="171" spans="2:15" x14ac:dyDescent="0.25">
      <c r="B171" s="23">
        <f ca="1">IF(LoanIsGood,IF(ROW()-ROW(PaymentSchedule33[[#Headers],[Payment Number]])&gt;ScheduledNumberOfPayments,"",ROW()-ROW(PaymentSchedule33[[#Headers],[Payment Number]])),"")</f>
        <v>158</v>
      </c>
      <c r="C171" s="24">
        <f ca="1">IF(PaymentSchedule33[[#This Row],[Payment Number]]&lt;&gt;"",EOMONTH(LoanStartDate,ROW(PaymentSchedule33[[#This Row],[Payment Number]])-ROW(PaymentSchedule33[[#Headers],[Payment Number]])-2)+DAY(LoanStartDate),"")</f>
        <v>50245</v>
      </c>
      <c r="D171" s="25">
        <f ca="1">IF(PaymentSchedule33[[#This Row],[Payment Number]]&lt;&gt;"",IF(ROW()-ROW(PaymentSchedule33[[#Headers],[Beginning
Balance]])=1,LoanAmount,INDEX(PaymentSchedule33[Ending
Balance],ROW()-ROW(PaymentSchedule33[[#Headers],[Beginning
Balance]])-1)),"")</f>
        <v>244198.20627229346</v>
      </c>
      <c r="E171" s="25">
        <f ca="1">IF(PaymentSchedule33[[#This Row],[Payment Number]]&lt;&gt;"",ScheduledPayment,"")</f>
        <v>1784.9318965153623</v>
      </c>
      <c r="F17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1" s="25">
        <f ca="1">IF(PaymentSchedule33[[#This Row],[Payment Number]]&lt;&gt;"",PaymentSchedule33[[#This Row],[Total
Payment]]-PaymentSchedule33[[#This Row],[Interest]],"")</f>
        <v>767.43937038080617</v>
      </c>
      <c r="I171" s="25">
        <f ca="1">IF(PaymentSchedule33[[#This Row],[Payment Number]]&lt;&gt;"",PaymentSchedule33[[#This Row],[Beginning
Balance]]*(InterestRate/PaymentsPerYear),"")</f>
        <v>1017.4925261345561</v>
      </c>
      <c r="J171" s="25">
        <f ca="1">IF(PaymentSchedule33[[#This Row],[Payment Number]]&lt;&gt;"",IF(PaymentSchedule33[[#This Row],[Scheduled Payment]]+PaymentSchedule33[[#This Row],[Extra
Payment]]&lt;=PaymentSchedule33[[#This Row],[Beginning
Balance]],PaymentSchedule33[[#This Row],[Beginning
Balance]]-PaymentSchedule33[[#This Row],[Principal]],0),"")</f>
        <v>243430.76690191266</v>
      </c>
      <c r="K171" s="25">
        <f ca="1">IF(PaymentSchedule33[[#This Row],[Payment Number]]&lt;&gt;"",SUM(INDEX(PaymentSchedule33[Interest],1,1):PaymentSchedule33[[#This Row],[Interest]]),"")</f>
        <v>192950.00655134025</v>
      </c>
      <c r="L171" s="25">
        <f ca="1">IF(PaymentSchedule33[[#This Row],[Payment Number]]&lt;&gt;"",SUM(INDEX(PaymentSchedule33[Principal],1,1):PaymentSchedule33[[#This Row],[Principal]]),"")</f>
        <v>89069.233098087119</v>
      </c>
      <c r="M171" s="25">
        <f ca="1">PaymentSchedule3[[#This Row],[Total
Payment]]-PaymentSchedule33[[#This Row],[Total
Payment]]</f>
        <v>427.19889995542212</v>
      </c>
      <c r="N171" s="25">
        <f ca="1">PaymentSchedule3[[#This Row],[Interest]]-PaymentSchedule33[[#This Row],[Interest]]</f>
        <v>515.39097187989114</v>
      </c>
      <c r="O171" s="25">
        <f ca="1">PaymentSchedule3[[#This Row],[Cumulative
Interest]]-PaymentSchedule33[[#This Row],[Cumulative
Interest]]</f>
        <v>86167.44022363532</v>
      </c>
    </row>
    <row r="172" spans="2:15" x14ac:dyDescent="0.25">
      <c r="B172" s="23">
        <f ca="1">IF(LoanIsGood,IF(ROW()-ROW(PaymentSchedule33[[#Headers],[Payment Number]])&gt;ScheduledNumberOfPayments,"",ROW()-ROW(PaymentSchedule33[[#Headers],[Payment Number]])),"")</f>
        <v>159</v>
      </c>
      <c r="C172" s="24">
        <f ca="1">IF(PaymentSchedule33[[#This Row],[Payment Number]]&lt;&gt;"",EOMONTH(LoanStartDate,ROW(PaymentSchedule33[[#This Row],[Payment Number]])-ROW(PaymentSchedule33[[#Headers],[Payment Number]])-2)+DAY(LoanStartDate),"")</f>
        <v>50276</v>
      </c>
      <c r="D172" s="25">
        <f ca="1">IF(PaymentSchedule33[[#This Row],[Payment Number]]&lt;&gt;"",IF(ROW()-ROW(PaymentSchedule33[[#Headers],[Beginning
Balance]])=1,LoanAmount,INDEX(PaymentSchedule33[Ending
Balance],ROW()-ROW(PaymentSchedule33[[#Headers],[Beginning
Balance]])-1)),"")</f>
        <v>243430.76690191266</v>
      </c>
      <c r="E172" s="25">
        <f ca="1">IF(PaymentSchedule33[[#This Row],[Payment Number]]&lt;&gt;"",ScheduledPayment,"")</f>
        <v>1784.9318965153623</v>
      </c>
      <c r="F17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2" s="25">
        <f ca="1">IF(PaymentSchedule33[[#This Row],[Payment Number]]&lt;&gt;"",PaymentSchedule33[[#This Row],[Total
Payment]]-PaymentSchedule33[[#This Row],[Interest]],"")</f>
        <v>770.63703442405949</v>
      </c>
      <c r="I172" s="25">
        <f ca="1">IF(PaymentSchedule33[[#This Row],[Payment Number]]&lt;&gt;"",PaymentSchedule33[[#This Row],[Beginning
Balance]]*(InterestRate/PaymentsPerYear),"")</f>
        <v>1014.2948620913028</v>
      </c>
      <c r="J172" s="25">
        <f ca="1">IF(PaymentSchedule33[[#This Row],[Payment Number]]&lt;&gt;"",IF(PaymentSchedule33[[#This Row],[Scheduled Payment]]+PaymentSchedule33[[#This Row],[Extra
Payment]]&lt;=PaymentSchedule33[[#This Row],[Beginning
Balance]],PaymentSchedule33[[#This Row],[Beginning
Balance]]-PaymentSchedule33[[#This Row],[Principal]],0),"")</f>
        <v>242660.12986748861</v>
      </c>
      <c r="K172" s="25">
        <f ca="1">IF(PaymentSchedule33[[#This Row],[Payment Number]]&lt;&gt;"",SUM(INDEX(PaymentSchedule33[Interest],1,1):PaymentSchedule33[[#This Row],[Interest]]),"")</f>
        <v>193964.30141343156</v>
      </c>
      <c r="L172" s="25">
        <f ca="1">IF(PaymentSchedule33[[#This Row],[Payment Number]]&lt;&gt;"",SUM(INDEX(PaymentSchedule33[Principal],1,1):PaymentSchedule33[[#This Row],[Principal]]),"")</f>
        <v>89839.870132511176</v>
      </c>
      <c r="M172" s="25">
        <f ca="1">PaymentSchedule3[[#This Row],[Total
Payment]]-PaymentSchedule33[[#This Row],[Total
Payment]]</f>
        <v>427.19889995542212</v>
      </c>
      <c r="N172" s="25">
        <f ca="1">PaymentSchedule3[[#This Row],[Interest]]-PaymentSchedule33[[#This Row],[Interest]]</f>
        <v>514.62636001548231</v>
      </c>
      <c r="O172" s="25">
        <f ca="1">PaymentSchedule3[[#This Row],[Cumulative
Interest]]-PaymentSchedule33[[#This Row],[Cumulative
Interest]]</f>
        <v>86682.066583650798</v>
      </c>
    </row>
    <row r="173" spans="2:15" x14ac:dyDescent="0.25">
      <c r="B173" s="23">
        <f ca="1">IF(LoanIsGood,IF(ROW()-ROW(PaymentSchedule33[[#Headers],[Payment Number]])&gt;ScheduledNumberOfPayments,"",ROW()-ROW(PaymentSchedule33[[#Headers],[Payment Number]])),"")</f>
        <v>160</v>
      </c>
      <c r="C173" s="24">
        <f ca="1">IF(PaymentSchedule33[[#This Row],[Payment Number]]&lt;&gt;"",EOMONTH(LoanStartDate,ROW(PaymentSchedule33[[#This Row],[Payment Number]])-ROW(PaymentSchedule33[[#Headers],[Payment Number]])-2)+DAY(LoanStartDate),"")</f>
        <v>50307</v>
      </c>
      <c r="D173" s="25">
        <f ca="1">IF(PaymentSchedule33[[#This Row],[Payment Number]]&lt;&gt;"",IF(ROW()-ROW(PaymentSchedule33[[#Headers],[Beginning
Balance]])=1,LoanAmount,INDEX(PaymentSchedule33[Ending
Balance],ROW()-ROW(PaymentSchedule33[[#Headers],[Beginning
Balance]])-1)),"")</f>
        <v>242660.12986748861</v>
      </c>
      <c r="E173" s="25">
        <f ca="1">IF(PaymentSchedule33[[#This Row],[Payment Number]]&lt;&gt;"",ScheduledPayment,"")</f>
        <v>1784.9318965153623</v>
      </c>
      <c r="F17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3" s="25">
        <f ca="1">IF(PaymentSchedule33[[#This Row],[Payment Number]]&lt;&gt;"",PaymentSchedule33[[#This Row],[Total
Payment]]-PaymentSchedule33[[#This Row],[Interest]],"")</f>
        <v>773.84802206749305</v>
      </c>
      <c r="I173" s="25">
        <f ca="1">IF(PaymentSchedule33[[#This Row],[Payment Number]]&lt;&gt;"",PaymentSchedule33[[#This Row],[Beginning
Balance]]*(InterestRate/PaymentsPerYear),"")</f>
        <v>1011.0838744478692</v>
      </c>
      <c r="J173" s="25">
        <f ca="1">IF(PaymentSchedule33[[#This Row],[Payment Number]]&lt;&gt;"",IF(PaymentSchedule33[[#This Row],[Scheduled Payment]]+PaymentSchedule33[[#This Row],[Extra
Payment]]&lt;=PaymentSchedule33[[#This Row],[Beginning
Balance]],PaymentSchedule33[[#This Row],[Beginning
Balance]]-PaymentSchedule33[[#This Row],[Principal]],0),"")</f>
        <v>241886.28184542112</v>
      </c>
      <c r="K173" s="25">
        <f ca="1">IF(PaymentSchedule33[[#This Row],[Payment Number]]&lt;&gt;"",SUM(INDEX(PaymentSchedule33[Interest],1,1):PaymentSchedule33[[#This Row],[Interest]]),"")</f>
        <v>194975.38528787944</v>
      </c>
      <c r="L173" s="25">
        <f ca="1">IF(PaymentSchedule33[[#This Row],[Payment Number]]&lt;&gt;"",SUM(INDEX(PaymentSchedule33[Principal],1,1):PaymentSchedule33[[#This Row],[Principal]]),"")</f>
        <v>90613.718154578673</v>
      </c>
      <c r="M173" s="25">
        <f ca="1">PaymentSchedule3[[#This Row],[Total
Payment]]-PaymentSchedule33[[#This Row],[Total
Payment]]</f>
        <v>427.19889995542212</v>
      </c>
      <c r="N173" s="25">
        <f ca="1">PaymentSchedule3[[#This Row],[Interest]]-PaymentSchedule33[[#This Row],[Interest]]</f>
        <v>513.85195847512591</v>
      </c>
      <c r="O173" s="25">
        <f ca="1">PaymentSchedule3[[#This Row],[Cumulative
Interest]]-PaymentSchedule33[[#This Row],[Cumulative
Interest]]</f>
        <v>87195.918542125903</v>
      </c>
    </row>
    <row r="174" spans="2:15" x14ac:dyDescent="0.25">
      <c r="B174" s="23">
        <f ca="1">IF(LoanIsGood,IF(ROW()-ROW(PaymentSchedule33[[#Headers],[Payment Number]])&gt;ScheduledNumberOfPayments,"",ROW()-ROW(PaymentSchedule33[[#Headers],[Payment Number]])),"")</f>
        <v>161</v>
      </c>
      <c r="C174" s="24">
        <f ca="1">IF(PaymentSchedule33[[#This Row],[Payment Number]]&lt;&gt;"",EOMONTH(LoanStartDate,ROW(PaymentSchedule33[[#This Row],[Payment Number]])-ROW(PaymentSchedule33[[#Headers],[Payment Number]])-2)+DAY(LoanStartDate),"")</f>
        <v>50337</v>
      </c>
      <c r="D174" s="25">
        <f ca="1">IF(PaymentSchedule33[[#This Row],[Payment Number]]&lt;&gt;"",IF(ROW()-ROW(PaymentSchedule33[[#Headers],[Beginning
Balance]])=1,LoanAmount,INDEX(PaymentSchedule33[Ending
Balance],ROW()-ROW(PaymentSchedule33[[#Headers],[Beginning
Balance]])-1)),"")</f>
        <v>241886.28184542112</v>
      </c>
      <c r="E174" s="25">
        <f ca="1">IF(PaymentSchedule33[[#This Row],[Payment Number]]&lt;&gt;"",ScheduledPayment,"")</f>
        <v>1784.9318965153623</v>
      </c>
      <c r="F17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4" s="25">
        <f ca="1">IF(PaymentSchedule33[[#This Row],[Payment Number]]&lt;&gt;"",PaymentSchedule33[[#This Row],[Total
Payment]]-PaymentSchedule33[[#This Row],[Interest]],"")</f>
        <v>777.07238882610761</v>
      </c>
      <c r="I174" s="25">
        <f ca="1">IF(PaymentSchedule33[[#This Row],[Payment Number]]&lt;&gt;"",PaymentSchedule33[[#This Row],[Beginning
Balance]]*(InterestRate/PaymentsPerYear),"")</f>
        <v>1007.8595076892547</v>
      </c>
      <c r="J174" s="25">
        <f ca="1">IF(PaymentSchedule33[[#This Row],[Payment Number]]&lt;&gt;"",IF(PaymentSchedule33[[#This Row],[Scheduled Payment]]+PaymentSchedule33[[#This Row],[Extra
Payment]]&lt;=PaymentSchedule33[[#This Row],[Beginning
Balance]],PaymentSchedule33[[#This Row],[Beginning
Balance]]-PaymentSchedule33[[#This Row],[Principal]],0),"")</f>
        <v>241109.20945659501</v>
      </c>
      <c r="K174" s="25">
        <f ca="1">IF(PaymentSchedule33[[#This Row],[Payment Number]]&lt;&gt;"",SUM(INDEX(PaymentSchedule33[Interest],1,1):PaymentSchedule33[[#This Row],[Interest]]),"")</f>
        <v>195983.24479556869</v>
      </c>
      <c r="L174" s="25">
        <f ca="1">IF(PaymentSchedule33[[#This Row],[Payment Number]]&lt;&gt;"",SUM(INDEX(PaymentSchedule33[Principal],1,1):PaymentSchedule33[[#This Row],[Principal]]),"")</f>
        <v>91390.790543404786</v>
      </c>
      <c r="M174" s="25">
        <f ca="1">PaymentSchedule3[[#This Row],[Total
Payment]]-PaymentSchedule33[[#This Row],[Total
Payment]]</f>
        <v>427.19889995542212</v>
      </c>
      <c r="N174" s="25">
        <f ca="1">PaymentSchedule3[[#This Row],[Interest]]-PaymentSchedule33[[#This Row],[Interest]]</f>
        <v>513.06768794637844</v>
      </c>
      <c r="O174" s="25">
        <f ca="1">PaymentSchedule3[[#This Row],[Cumulative
Interest]]-PaymentSchedule33[[#This Row],[Cumulative
Interest]]</f>
        <v>87708.986230072274</v>
      </c>
    </row>
    <row r="175" spans="2:15" x14ac:dyDescent="0.25">
      <c r="B175" s="23">
        <f ca="1">IF(LoanIsGood,IF(ROW()-ROW(PaymentSchedule33[[#Headers],[Payment Number]])&gt;ScheduledNumberOfPayments,"",ROW()-ROW(PaymentSchedule33[[#Headers],[Payment Number]])),"")</f>
        <v>162</v>
      </c>
      <c r="C175" s="24">
        <f ca="1">IF(PaymentSchedule33[[#This Row],[Payment Number]]&lt;&gt;"",EOMONTH(LoanStartDate,ROW(PaymentSchedule33[[#This Row],[Payment Number]])-ROW(PaymentSchedule33[[#Headers],[Payment Number]])-2)+DAY(LoanStartDate),"")</f>
        <v>50368</v>
      </c>
      <c r="D175" s="25">
        <f ca="1">IF(PaymentSchedule33[[#This Row],[Payment Number]]&lt;&gt;"",IF(ROW()-ROW(PaymentSchedule33[[#Headers],[Beginning
Balance]])=1,LoanAmount,INDEX(PaymentSchedule33[Ending
Balance],ROW()-ROW(PaymentSchedule33[[#Headers],[Beginning
Balance]])-1)),"")</f>
        <v>241109.20945659501</v>
      </c>
      <c r="E175" s="25">
        <f ca="1">IF(PaymentSchedule33[[#This Row],[Payment Number]]&lt;&gt;"",ScheduledPayment,"")</f>
        <v>1784.9318965153623</v>
      </c>
      <c r="F17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5" s="25">
        <f ca="1">IF(PaymentSchedule33[[#This Row],[Payment Number]]&lt;&gt;"",PaymentSchedule33[[#This Row],[Total
Payment]]-PaymentSchedule33[[#This Row],[Interest]],"")</f>
        <v>780.31019044621644</v>
      </c>
      <c r="I175" s="25">
        <f ca="1">IF(PaymentSchedule33[[#This Row],[Payment Number]]&lt;&gt;"",PaymentSchedule33[[#This Row],[Beginning
Balance]]*(InterestRate/PaymentsPerYear),"")</f>
        <v>1004.6217060691458</v>
      </c>
      <c r="J175" s="25">
        <f ca="1">IF(PaymentSchedule33[[#This Row],[Payment Number]]&lt;&gt;"",IF(PaymentSchedule33[[#This Row],[Scheduled Payment]]+PaymentSchedule33[[#This Row],[Extra
Payment]]&lt;=PaymentSchedule33[[#This Row],[Beginning
Balance]],PaymentSchedule33[[#This Row],[Beginning
Balance]]-PaymentSchedule33[[#This Row],[Principal]],0),"")</f>
        <v>240328.8992661488</v>
      </c>
      <c r="K175" s="25">
        <f ca="1">IF(PaymentSchedule33[[#This Row],[Payment Number]]&lt;&gt;"",SUM(INDEX(PaymentSchedule33[Interest],1,1):PaymentSchedule33[[#This Row],[Interest]]),"")</f>
        <v>196987.86650163785</v>
      </c>
      <c r="L175" s="25">
        <f ca="1">IF(PaymentSchedule33[[#This Row],[Payment Number]]&lt;&gt;"",SUM(INDEX(PaymentSchedule33[Principal],1,1):PaymentSchedule33[[#This Row],[Principal]]),"")</f>
        <v>92171.100733850995</v>
      </c>
      <c r="M175" s="25">
        <f ca="1">PaymentSchedule3[[#This Row],[Total
Payment]]-PaymentSchedule33[[#This Row],[Total
Payment]]</f>
        <v>427.19889995542212</v>
      </c>
      <c r="N175" s="25">
        <f ca="1">PaymentSchedule3[[#This Row],[Interest]]-PaymentSchedule33[[#This Row],[Interest]]</f>
        <v>512.27346856161557</v>
      </c>
      <c r="O175" s="25">
        <f ca="1">PaymentSchedule3[[#This Row],[Cumulative
Interest]]-PaymentSchedule33[[#This Row],[Cumulative
Interest]]</f>
        <v>88221.259698633861</v>
      </c>
    </row>
    <row r="176" spans="2:15" x14ac:dyDescent="0.25">
      <c r="B176" s="23">
        <f ca="1">IF(LoanIsGood,IF(ROW()-ROW(PaymentSchedule33[[#Headers],[Payment Number]])&gt;ScheduledNumberOfPayments,"",ROW()-ROW(PaymentSchedule33[[#Headers],[Payment Number]])),"")</f>
        <v>163</v>
      </c>
      <c r="C176" s="24">
        <f ca="1">IF(PaymentSchedule33[[#This Row],[Payment Number]]&lt;&gt;"",EOMONTH(LoanStartDate,ROW(PaymentSchedule33[[#This Row],[Payment Number]])-ROW(PaymentSchedule33[[#Headers],[Payment Number]])-2)+DAY(LoanStartDate),"")</f>
        <v>50398</v>
      </c>
      <c r="D176" s="25">
        <f ca="1">IF(PaymentSchedule33[[#This Row],[Payment Number]]&lt;&gt;"",IF(ROW()-ROW(PaymentSchedule33[[#Headers],[Beginning
Balance]])=1,LoanAmount,INDEX(PaymentSchedule33[Ending
Balance],ROW()-ROW(PaymentSchedule33[[#Headers],[Beginning
Balance]])-1)),"")</f>
        <v>240328.8992661488</v>
      </c>
      <c r="E176" s="25">
        <f ca="1">IF(PaymentSchedule33[[#This Row],[Payment Number]]&lt;&gt;"",ScheduledPayment,"")</f>
        <v>1784.9318965153623</v>
      </c>
      <c r="F17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6" s="25">
        <f ca="1">IF(PaymentSchedule33[[#This Row],[Payment Number]]&lt;&gt;"",PaymentSchedule33[[#This Row],[Total
Payment]]-PaymentSchedule33[[#This Row],[Interest]],"")</f>
        <v>783.56148290640897</v>
      </c>
      <c r="I176" s="25">
        <f ca="1">IF(PaymentSchedule33[[#This Row],[Payment Number]]&lt;&gt;"",PaymentSchedule33[[#This Row],[Beginning
Balance]]*(InterestRate/PaymentsPerYear),"")</f>
        <v>1001.3704136089533</v>
      </c>
      <c r="J176" s="25">
        <f ca="1">IF(PaymentSchedule33[[#This Row],[Payment Number]]&lt;&gt;"",IF(PaymentSchedule33[[#This Row],[Scheduled Payment]]+PaymentSchedule33[[#This Row],[Extra
Payment]]&lt;=PaymentSchedule33[[#This Row],[Beginning
Balance]],PaymentSchedule33[[#This Row],[Beginning
Balance]]-PaymentSchedule33[[#This Row],[Principal]],0),"")</f>
        <v>239545.3377832424</v>
      </c>
      <c r="K176" s="25">
        <f ca="1">IF(PaymentSchedule33[[#This Row],[Payment Number]]&lt;&gt;"",SUM(INDEX(PaymentSchedule33[Interest],1,1):PaymentSchedule33[[#This Row],[Interest]]),"")</f>
        <v>197989.23691524682</v>
      </c>
      <c r="L176" s="25">
        <f ca="1">IF(PaymentSchedule33[[#This Row],[Payment Number]]&lt;&gt;"",SUM(INDEX(PaymentSchedule33[Principal],1,1):PaymentSchedule33[[#This Row],[Principal]]),"")</f>
        <v>92954.66221675741</v>
      </c>
      <c r="M176" s="25">
        <f ca="1">PaymentSchedule3[[#This Row],[Total
Payment]]-PaymentSchedule33[[#This Row],[Total
Payment]]</f>
        <v>427.19889995542212</v>
      </c>
      <c r="N176" s="25">
        <f ca="1">PaymentSchedule3[[#This Row],[Interest]]-PaymentSchedule33[[#This Row],[Interest]]</f>
        <v>511.46921989440796</v>
      </c>
      <c r="O176" s="25">
        <f ca="1">PaymentSchedule3[[#This Row],[Cumulative
Interest]]-PaymentSchedule33[[#This Row],[Cumulative
Interest]]</f>
        <v>88732.728918528243</v>
      </c>
    </row>
    <row r="177" spans="2:15" x14ac:dyDescent="0.25">
      <c r="B177" s="23">
        <f ca="1">IF(LoanIsGood,IF(ROW()-ROW(PaymentSchedule33[[#Headers],[Payment Number]])&gt;ScheduledNumberOfPayments,"",ROW()-ROW(PaymentSchedule33[[#Headers],[Payment Number]])),"")</f>
        <v>164</v>
      </c>
      <c r="C177" s="24">
        <f ca="1">IF(PaymentSchedule33[[#This Row],[Payment Number]]&lt;&gt;"",EOMONTH(LoanStartDate,ROW(PaymentSchedule33[[#This Row],[Payment Number]])-ROW(PaymentSchedule33[[#Headers],[Payment Number]])-2)+DAY(LoanStartDate),"")</f>
        <v>50429</v>
      </c>
      <c r="D177" s="25">
        <f ca="1">IF(PaymentSchedule33[[#This Row],[Payment Number]]&lt;&gt;"",IF(ROW()-ROW(PaymentSchedule33[[#Headers],[Beginning
Balance]])=1,LoanAmount,INDEX(PaymentSchedule33[Ending
Balance],ROW()-ROW(PaymentSchedule33[[#Headers],[Beginning
Balance]])-1)),"")</f>
        <v>239545.3377832424</v>
      </c>
      <c r="E177" s="25">
        <f ca="1">IF(PaymentSchedule33[[#This Row],[Payment Number]]&lt;&gt;"",ScheduledPayment,"")</f>
        <v>1784.9318965153623</v>
      </c>
      <c r="F17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7" s="25">
        <f ca="1">IF(PaymentSchedule33[[#This Row],[Payment Number]]&lt;&gt;"",PaymentSchedule33[[#This Row],[Total
Payment]]-PaymentSchedule33[[#This Row],[Interest]],"")</f>
        <v>786.826322418519</v>
      </c>
      <c r="I177" s="25">
        <f ca="1">IF(PaymentSchedule33[[#This Row],[Payment Number]]&lt;&gt;"",PaymentSchedule33[[#This Row],[Beginning
Balance]]*(InterestRate/PaymentsPerYear),"")</f>
        <v>998.10557409684327</v>
      </c>
      <c r="J177" s="25">
        <f ca="1">IF(PaymentSchedule33[[#This Row],[Payment Number]]&lt;&gt;"",IF(PaymentSchedule33[[#This Row],[Scheduled Payment]]+PaymentSchedule33[[#This Row],[Extra
Payment]]&lt;=PaymentSchedule33[[#This Row],[Beginning
Balance]],PaymentSchedule33[[#This Row],[Beginning
Balance]]-PaymentSchedule33[[#This Row],[Principal]],0),"")</f>
        <v>238758.51146082388</v>
      </c>
      <c r="K177" s="25">
        <f ca="1">IF(PaymentSchedule33[[#This Row],[Payment Number]]&lt;&gt;"",SUM(INDEX(PaymentSchedule33[Interest],1,1):PaymentSchedule33[[#This Row],[Interest]]),"")</f>
        <v>198987.34248934366</v>
      </c>
      <c r="L177" s="25">
        <f ca="1">IF(PaymentSchedule33[[#This Row],[Payment Number]]&lt;&gt;"",SUM(INDEX(PaymentSchedule33[Principal],1,1):PaymentSchedule33[[#This Row],[Principal]]),"")</f>
        <v>93741.488539175931</v>
      </c>
      <c r="M177" s="25">
        <f ca="1">PaymentSchedule3[[#This Row],[Total
Payment]]-PaymentSchedule33[[#This Row],[Total
Payment]]</f>
        <v>427.19889995542212</v>
      </c>
      <c r="N177" s="25">
        <f ca="1">PaymentSchedule3[[#This Row],[Interest]]-PaymentSchedule33[[#This Row],[Interest]]</f>
        <v>510.65486095587482</v>
      </c>
      <c r="O177" s="25">
        <f ca="1">PaymentSchedule3[[#This Row],[Cumulative
Interest]]-PaymentSchedule33[[#This Row],[Cumulative
Interest]]</f>
        <v>89243.383779484138</v>
      </c>
    </row>
    <row r="178" spans="2:15" x14ac:dyDescent="0.25">
      <c r="B178" s="23">
        <f ca="1">IF(LoanIsGood,IF(ROW()-ROW(PaymentSchedule33[[#Headers],[Payment Number]])&gt;ScheduledNumberOfPayments,"",ROW()-ROW(PaymentSchedule33[[#Headers],[Payment Number]])),"")</f>
        <v>165</v>
      </c>
      <c r="C178" s="24">
        <f ca="1">IF(PaymentSchedule33[[#This Row],[Payment Number]]&lt;&gt;"",EOMONTH(LoanStartDate,ROW(PaymentSchedule33[[#This Row],[Payment Number]])-ROW(PaymentSchedule33[[#Headers],[Payment Number]])-2)+DAY(LoanStartDate),"")</f>
        <v>50460</v>
      </c>
      <c r="D178" s="25">
        <f ca="1">IF(PaymentSchedule33[[#This Row],[Payment Number]]&lt;&gt;"",IF(ROW()-ROW(PaymentSchedule33[[#Headers],[Beginning
Balance]])=1,LoanAmount,INDEX(PaymentSchedule33[Ending
Balance],ROW()-ROW(PaymentSchedule33[[#Headers],[Beginning
Balance]])-1)),"")</f>
        <v>238758.51146082388</v>
      </c>
      <c r="E178" s="25">
        <f ca="1">IF(PaymentSchedule33[[#This Row],[Payment Number]]&lt;&gt;"",ScheduledPayment,"")</f>
        <v>1784.9318965153623</v>
      </c>
      <c r="F17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8" s="25">
        <f ca="1">IF(PaymentSchedule33[[#This Row],[Payment Number]]&lt;&gt;"",PaymentSchedule33[[#This Row],[Total
Payment]]-PaymentSchedule33[[#This Row],[Interest]],"")</f>
        <v>790.10476542859612</v>
      </c>
      <c r="I178" s="25">
        <f ca="1">IF(PaymentSchedule33[[#This Row],[Payment Number]]&lt;&gt;"",PaymentSchedule33[[#This Row],[Beginning
Balance]]*(InterestRate/PaymentsPerYear),"")</f>
        <v>994.82713108676614</v>
      </c>
      <c r="J178" s="25">
        <f ca="1">IF(PaymentSchedule33[[#This Row],[Payment Number]]&lt;&gt;"",IF(PaymentSchedule33[[#This Row],[Scheduled Payment]]+PaymentSchedule33[[#This Row],[Extra
Payment]]&lt;=PaymentSchedule33[[#This Row],[Beginning
Balance]],PaymentSchedule33[[#This Row],[Beginning
Balance]]-PaymentSchedule33[[#This Row],[Principal]],0),"")</f>
        <v>237968.40669539527</v>
      </c>
      <c r="K178" s="25">
        <f ca="1">IF(PaymentSchedule33[[#This Row],[Payment Number]]&lt;&gt;"",SUM(INDEX(PaymentSchedule33[Interest],1,1):PaymentSchedule33[[#This Row],[Interest]]),"")</f>
        <v>199982.16962043042</v>
      </c>
      <c r="L178" s="25">
        <f ca="1">IF(PaymentSchedule33[[#This Row],[Payment Number]]&lt;&gt;"",SUM(INDEX(PaymentSchedule33[Principal],1,1):PaymentSchedule33[[#This Row],[Principal]]),"")</f>
        <v>94531.593304604525</v>
      </c>
      <c r="M178" s="25">
        <f ca="1">PaymentSchedule3[[#This Row],[Total
Payment]]-PaymentSchedule33[[#This Row],[Total
Payment]]</f>
        <v>427.19889995542212</v>
      </c>
      <c r="N178" s="25">
        <f ca="1">PaymentSchedule3[[#This Row],[Interest]]-PaymentSchedule33[[#This Row],[Interest]]</f>
        <v>509.83031019101315</v>
      </c>
      <c r="O178" s="25">
        <f ca="1">PaymentSchedule3[[#This Row],[Cumulative
Interest]]-PaymentSchedule33[[#This Row],[Cumulative
Interest]]</f>
        <v>89753.214089675137</v>
      </c>
    </row>
    <row r="179" spans="2:15" x14ac:dyDescent="0.25">
      <c r="B179" s="23">
        <f ca="1">IF(LoanIsGood,IF(ROW()-ROW(PaymentSchedule33[[#Headers],[Payment Number]])&gt;ScheduledNumberOfPayments,"",ROW()-ROW(PaymentSchedule33[[#Headers],[Payment Number]])),"")</f>
        <v>166</v>
      </c>
      <c r="C179" s="24">
        <f ca="1">IF(PaymentSchedule33[[#This Row],[Payment Number]]&lt;&gt;"",EOMONTH(LoanStartDate,ROW(PaymentSchedule33[[#This Row],[Payment Number]])-ROW(PaymentSchedule33[[#Headers],[Payment Number]])-2)+DAY(LoanStartDate),"")</f>
        <v>50488</v>
      </c>
      <c r="D179" s="25">
        <f ca="1">IF(PaymentSchedule33[[#This Row],[Payment Number]]&lt;&gt;"",IF(ROW()-ROW(PaymentSchedule33[[#Headers],[Beginning
Balance]])=1,LoanAmount,INDEX(PaymentSchedule33[Ending
Balance],ROW()-ROW(PaymentSchedule33[[#Headers],[Beginning
Balance]])-1)),"")</f>
        <v>237968.40669539527</v>
      </c>
      <c r="E179" s="25">
        <f ca="1">IF(PaymentSchedule33[[#This Row],[Payment Number]]&lt;&gt;"",ScheduledPayment,"")</f>
        <v>1784.9318965153623</v>
      </c>
      <c r="F17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7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79" s="25">
        <f ca="1">IF(PaymentSchedule33[[#This Row],[Payment Number]]&lt;&gt;"",PaymentSchedule33[[#This Row],[Total
Payment]]-PaymentSchedule33[[#This Row],[Interest]],"")</f>
        <v>793.39686861788198</v>
      </c>
      <c r="I179" s="25">
        <f ca="1">IF(PaymentSchedule33[[#This Row],[Payment Number]]&lt;&gt;"",PaymentSchedule33[[#This Row],[Beginning
Balance]]*(InterestRate/PaymentsPerYear),"")</f>
        <v>991.53502789748029</v>
      </c>
      <c r="J179" s="25">
        <f ca="1">IF(PaymentSchedule33[[#This Row],[Payment Number]]&lt;&gt;"",IF(PaymentSchedule33[[#This Row],[Scheduled Payment]]+PaymentSchedule33[[#This Row],[Extra
Payment]]&lt;=PaymentSchedule33[[#This Row],[Beginning
Balance]],PaymentSchedule33[[#This Row],[Beginning
Balance]]-PaymentSchedule33[[#This Row],[Principal]],0),"")</f>
        <v>237175.00982677739</v>
      </c>
      <c r="K179" s="25">
        <f ca="1">IF(PaymentSchedule33[[#This Row],[Payment Number]]&lt;&gt;"",SUM(INDEX(PaymentSchedule33[Interest],1,1):PaymentSchedule33[[#This Row],[Interest]]),"")</f>
        <v>200973.7046483279</v>
      </c>
      <c r="L179" s="25">
        <f ca="1">IF(PaymentSchedule33[[#This Row],[Payment Number]]&lt;&gt;"",SUM(INDEX(PaymentSchedule33[Principal],1,1):PaymentSchedule33[[#This Row],[Principal]]),"")</f>
        <v>95324.99017322241</v>
      </c>
      <c r="M179" s="25">
        <f ca="1">PaymentSchedule3[[#This Row],[Total
Payment]]-PaymentSchedule33[[#This Row],[Total
Payment]]</f>
        <v>427.19889995542212</v>
      </c>
      <c r="N179" s="25">
        <f ca="1">PaymentSchedule3[[#This Row],[Interest]]-PaymentSchedule33[[#This Row],[Interest]]</f>
        <v>508.99548547500638</v>
      </c>
      <c r="O179" s="25">
        <f ca="1">PaymentSchedule3[[#This Row],[Cumulative
Interest]]-PaymentSchedule33[[#This Row],[Cumulative
Interest]]</f>
        <v>90262.209575150162</v>
      </c>
    </row>
    <row r="180" spans="2:15" x14ac:dyDescent="0.25">
      <c r="B180" s="23">
        <f ca="1">IF(LoanIsGood,IF(ROW()-ROW(PaymentSchedule33[[#Headers],[Payment Number]])&gt;ScheduledNumberOfPayments,"",ROW()-ROW(PaymentSchedule33[[#Headers],[Payment Number]])),"")</f>
        <v>167</v>
      </c>
      <c r="C180" s="24">
        <f ca="1">IF(PaymentSchedule33[[#This Row],[Payment Number]]&lt;&gt;"",EOMONTH(LoanStartDate,ROW(PaymentSchedule33[[#This Row],[Payment Number]])-ROW(PaymentSchedule33[[#Headers],[Payment Number]])-2)+DAY(LoanStartDate),"")</f>
        <v>50519</v>
      </c>
      <c r="D180" s="25">
        <f ca="1">IF(PaymentSchedule33[[#This Row],[Payment Number]]&lt;&gt;"",IF(ROW()-ROW(PaymentSchedule33[[#Headers],[Beginning
Balance]])=1,LoanAmount,INDEX(PaymentSchedule33[Ending
Balance],ROW()-ROW(PaymentSchedule33[[#Headers],[Beginning
Balance]])-1)),"")</f>
        <v>237175.00982677739</v>
      </c>
      <c r="E180" s="25">
        <f ca="1">IF(PaymentSchedule33[[#This Row],[Payment Number]]&lt;&gt;"",ScheduledPayment,"")</f>
        <v>1784.9318965153623</v>
      </c>
      <c r="F18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0" s="25">
        <f ca="1">IF(PaymentSchedule33[[#This Row],[Payment Number]]&lt;&gt;"",PaymentSchedule33[[#This Row],[Total
Payment]]-PaymentSchedule33[[#This Row],[Interest]],"")</f>
        <v>796.70268890378986</v>
      </c>
      <c r="I180" s="25">
        <f ca="1">IF(PaymentSchedule33[[#This Row],[Payment Number]]&lt;&gt;"",PaymentSchedule33[[#This Row],[Beginning
Balance]]*(InterestRate/PaymentsPerYear),"")</f>
        <v>988.22920761157241</v>
      </c>
      <c r="J180" s="25">
        <f ca="1">IF(PaymentSchedule33[[#This Row],[Payment Number]]&lt;&gt;"",IF(PaymentSchedule33[[#This Row],[Scheduled Payment]]+PaymentSchedule33[[#This Row],[Extra
Payment]]&lt;=PaymentSchedule33[[#This Row],[Beginning
Balance]],PaymentSchedule33[[#This Row],[Beginning
Balance]]-PaymentSchedule33[[#This Row],[Principal]],0),"")</f>
        <v>236378.30713787361</v>
      </c>
      <c r="K180" s="25">
        <f ca="1">IF(PaymentSchedule33[[#This Row],[Payment Number]]&lt;&gt;"",SUM(INDEX(PaymentSchedule33[Interest],1,1):PaymentSchedule33[[#This Row],[Interest]]),"")</f>
        <v>201961.93385593948</v>
      </c>
      <c r="L180" s="25">
        <f ca="1">IF(PaymentSchedule33[[#This Row],[Payment Number]]&lt;&gt;"",SUM(INDEX(PaymentSchedule33[Principal],1,1):PaymentSchedule33[[#This Row],[Principal]]),"")</f>
        <v>96121.692862126205</v>
      </c>
      <c r="M180" s="25">
        <f ca="1">PaymentSchedule3[[#This Row],[Total
Payment]]-PaymentSchedule33[[#This Row],[Total
Payment]]</f>
        <v>427.19889995542212</v>
      </c>
      <c r="N180" s="25">
        <f ca="1">PaymentSchedule3[[#This Row],[Interest]]-PaymentSchedule33[[#This Row],[Interest]]</f>
        <v>508.1503041095076</v>
      </c>
      <c r="O180" s="25">
        <f ca="1">PaymentSchedule3[[#This Row],[Cumulative
Interest]]-PaymentSchedule33[[#This Row],[Cumulative
Interest]]</f>
        <v>90770.35987925966</v>
      </c>
    </row>
    <row r="181" spans="2:15" x14ac:dyDescent="0.25">
      <c r="B181" s="23">
        <f ca="1">IF(LoanIsGood,IF(ROW()-ROW(PaymentSchedule33[[#Headers],[Payment Number]])&gt;ScheduledNumberOfPayments,"",ROW()-ROW(PaymentSchedule33[[#Headers],[Payment Number]])),"")</f>
        <v>168</v>
      </c>
      <c r="C181" s="24">
        <f ca="1">IF(PaymentSchedule33[[#This Row],[Payment Number]]&lt;&gt;"",EOMONTH(LoanStartDate,ROW(PaymentSchedule33[[#This Row],[Payment Number]])-ROW(PaymentSchedule33[[#Headers],[Payment Number]])-2)+DAY(LoanStartDate),"")</f>
        <v>50549</v>
      </c>
      <c r="D181" s="25">
        <f ca="1">IF(PaymentSchedule33[[#This Row],[Payment Number]]&lt;&gt;"",IF(ROW()-ROW(PaymentSchedule33[[#Headers],[Beginning
Balance]])=1,LoanAmount,INDEX(PaymentSchedule33[Ending
Balance],ROW()-ROW(PaymentSchedule33[[#Headers],[Beginning
Balance]])-1)),"")</f>
        <v>236378.30713787361</v>
      </c>
      <c r="E181" s="25">
        <f ca="1">IF(PaymentSchedule33[[#This Row],[Payment Number]]&lt;&gt;"",ScheduledPayment,"")</f>
        <v>1784.9318965153623</v>
      </c>
      <c r="F18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1" s="25">
        <f ca="1">IF(PaymentSchedule33[[#This Row],[Payment Number]]&lt;&gt;"",PaymentSchedule33[[#This Row],[Total
Payment]]-PaymentSchedule33[[#This Row],[Interest]],"")</f>
        <v>800.02228344088894</v>
      </c>
      <c r="I181" s="25">
        <f ca="1">IF(PaymentSchedule33[[#This Row],[Payment Number]]&lt;&gt;"",PaymentSchedule33[[#This Row],[Beginning
Balance]]*(InterestRate/PaymentsPerYear),"")</f>
        <v>984.90961307447333</v>
      </c>
      <c r="J181" s="25">
        <f ca="1">IF(PaymentSchedule33[[#This Row],[Payment Number]]&lt;&gt;"",IF(PaymentSchedule33[[#This Row],[Scheduled Payment]]+PaymentSchedule33[[#This Row],[Extra
Payment]]&lt;=PaymentSchedule33[[#This Row],[Beginning
Balance]],PaymentSchedule33[[#This Row],[Beginning
Balance]]-PaymentSchedule33[[#This Row],[Principal]],0),"")</f>
        <v>235578.28485443271</v>
      </c>
      <c r="K181" s="25">
        <f ca="1">IF(PaymentSchedule33[[#This Row],[Payment Number]]&lt;&gt;"",SUM(INDEX(PaymentSchedule33[Interest],1,1):PaymentSchedule33[[#This Row],[Interest]]),"")</f>
        <v>202946.84346901395</v>
      </c>
      <c r="L181" s="25">
        <f ca="1">IF(PaymentSchedule33[[#This Row],[Payment Number]]&lt;&gt;"",SUM(INDEX(PaymentSchedule33[Principal],1,1):PaymentSchedule33[[#This Row],[Principal]]),"")</f>
        <v>96921.715145567097</v>
      </c>
      <c r="M181" s="25">
        <f ca="1">PaymentSchedule3[[#This Row],[Total
Payment]]-PaymentSchedule33[[#This Row],[Total
Payment]]</f>
        <v>427.19889995542212</v>
      </c>
      <c r="N181" s="25">
        <f ca="1">PaymentSchedule3[[#This Row],[Interest]]-PaymentSchedule33[[#This Row],[Interest]]</f>
        <v>507.29468281890013</v>
      </c>
      <c r="O181" s="25">
        <f ca="1">PaymentSchedule3[[#This Row],[Cumulative
Interest]]-PaymentSchedule33[[#This Row],[Cumulative
Interest]]</f>
        <v>91277.654562078562</v>
      </c>
    </row>
    <row r="182" spans="2:15" x14ac:dyDescent="0.25">
      <c r="B182" s="23">
        <f ca="1">IF(LoanIsGood,IF(ROW()-ROW(PaymentSchedule33[[#Headers],[Payment Number]])&gt;ScheduledNumberOfPayments,"",ROW()-ROW(PaymentSchedule33[[#Headers],[Payment Number]])),"")</f>
        <v>169</v>
      </c>
      <c r="C182" s="24">
        <f ca="1">IF(PaymentSchedule33[[#This Row],[Payment Number]]&lt;&gt;"",EOMONTH(LoanStartDate,ROW(PaymentSchedule33[[#This Row],[Payment Number]])-ROW(PaymentSchedule33[[#Headers],[Payment Number]])-2)+DAY(LoanStartDate),"")</f>
        <v>50580</v>
      </c>
      <c r="D182" s="25">
        <f ca="1">IF(PaymentSchedule33[[#This Row],[Payment Number]]&lt;&gt;"",IF(ROW()-ROW(PaymentSchedule33[[#Headers],[Beginning
Balance]])=1,LoanAmount,INDEX(PaymentSchedule33[Ending
Balance],ROW()-ROW(PaymentSchedule33[[#Headers],[Beginning
Balance]])-1)),"")</f>
        <v>235578.28485443271</v>
      </c>
      <c r="E182" s="25">
        <f ca="1">IF(PaymentSchedule33[[#This Row],[Payment Number]]&lt;&gt;"",ScheduledPayment,"")</f>
        <v>1784.9318965153623</v>
      </c>
      <c r="F18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2" s="25">
        <f ca="1">IF(PaymentSchedule33[[#This Row],[Payment Number]]&lt;&gt;"",PaymentSchedule33[[#This Row],[Total
Payment]]-PaymentSchedule33[[#This Row],[Interest]],"")</f>
        <v>803.35570962189263</v>
      </c>
      <c r="I182" s="25">
        <f ca="1">IF(PaymentSchedule33[[#This Row],[Payment Number]]&lt;&gt;"",PaymentSchedule33[[#This Row],[Beginning
Balance]]*(InterestRate/PaymentsPerYear),"")</f>
        <v>981.57618689346964</v>
      </c>
      <c r="J182" s="25">
        <f ca="1">IF(PaymentSchedule33[[#This Row],[Payment Number]]&lt;&gt;"",IF(PaymentSchedule33[[#This Row],[Scheduled Payment]]+PaymentSchedule33[[#This Row],[Extra
Payment]]&lt;=PaymentSchedule33[[#This Row],[Beginning
Balance]],PaymentSchedule33[[#This Row],[Beginning
Balance]]-PaymentSchedule33[[#This Row],[Principal]],0),"")</f>
        <v>234774.92914481083</v>
      </c>
      <c r="K182" s="25">
        <f ca="1">IF(PaymentSchedule33[[#This Row],[Payment Number]]&lt;&gt;"",SUM(INDEX(PaymentSchedule33[Interest],1,1):PaymentSchedule33[[#This Row],[Interest]]),"")</f>
        <v>203928.41965590743</v>
      </c>
      <c r="L182" s="25">
        <f ca="1">IF(PaymentSchedule33[[#This Row],[Payment Number]]&lt;&gt;"",SUM(INDEX(PaymentSchedule33[Principal],1,1):PaymentSchedule33[[#This Row],[Principal]]),"")</f>
        <v>97725.070855188984</v>
      </c>
      <c r="M182" s="25">
        <f ca="1">PaymentSchedule3[[#This Row],[Total
Payment]]-PaymentSchedule33[[#This Row],[Total
Payment]]</f>
        <v>427.19889995542212</v>
      </c>
      <c r="N182" s="25">
        <f ca="1">PaymentSchedule3[[#This Row],[Interest]]-PaymentSchedule33[[#This Row],[Interest]]</f>
        <v>506.42853774653554</v>
      </c>
      <c r="O182" s="25">
        <f ca="1">PaymentSchedule3[[#This Row],[Cumulative
Interest]]-PaymentSchedule33[[#This Row],[Cumulative
Interest]]</f>
        <v>91784.083099825075</v>
      </c>
    </row>
    <row r="183" spans="2:15" x14ac:dyDescent="0.25">
      <c r="B183" s="23">
        <f ca="1">IF(LoanIsGood,IF(ROW()-ROW(PaymentSchedule33[[#Headers],[Payment Number]])&gt;ScheduledNumberOfPayments,"",ROW()-ROW(PaymentSchedule33[[#Headers],[Payment Number]])),"")</f>
        <v>170</v>
      </c>
      <c r="C183" s="24">
        <f ca="1">IF(PaymentSchedule33[[#This Row],[Payment Number]]&lt;&gt;"",EOMONTH(LoanStartDate,ROW(PaymentSchedule33[[#This Row],[Payment Number]])-ROW(PaymentSchedule33[[#Headers],[Payment Number]])-2)+DAY(LoanStartDate),"")</f>
        <v>50610</v>
      </c>
      <c r="D183" s="25">
        <f ca="1">IF(PaymentSchedule33[[#This Row],[Payment Number]]&lt;&gt;"",IF(ROW()-ROW(PaymentSchedule33[[#Headers],[Beginning
Balance]])=1,LoanAmount,INDEX(PaymentSchedule33[Ending
Balance],ROW()-ROW(PaymentSchedule33[[#Headers],[Beginning
Balance]])-1)),"")</f>
        <v>234774.92914481083</v>
      </c>
      <c r="E183" s="25">
        <f ca="1">IF(PaymentSchedule33[[#This Row],[Payment Number]]&lt;&gt;"",ScheduledPayment,"")</f>
        <v>1784.9318965153623</v>
      </c>
      <c r="F18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3" s="25">
        <f ca="1">IF(PaymentSchedule33[[#This Row],[Payment Number]]&lt;&gt;"",PaymentSchedule33[[#This Row],[Total
Payment]]-PaymentSchedule33[[#This Row],[Interest]],"")</f>
        <v>806.70302507865051</v>
      </c>
      <c r="I183" s="25">
        <f ca="1">IF(PaymentSchedule33[[#This Row],[Payment Number]]&lt;&gt;"",PaymentSchedule33[[#This Row],[Beginning
Balance]]*(InterestRate/PaymentsPerYear),"")</f>
        <v>978.22887143671176</v>
      </c>
      <c r="J183" s="25">
        <f ca="1">IF(PaymentSchedule33[[#This Row],[Payment Number]]&lt;&gt;"",IF(PaymentSchedule33[[#This Row],[Scheduled Payment]]+PaymentSchedule33[[#This Row],[Extra
Payment]]&lt;=PaymentSchedule33[[#This Row],[Beginning
Balance]],PaymentSchedule33[[#This Row],[Beginning
Balance]]-PaymentSchedule33[[#This Row],[Principal]],0),"")</f>
        <v>233968.22611973216</v>
      </c>
      <c r="K183" s="25">
        <f ca="1">IF(PaymentSchedule33[[#This Row],[Payment Number]]&lt;&gt;"",SUM(INDEX(PaymentSchedule33[Interest],1,1):PaymentSchedule33[[#This Row],[Interest]]),"")</f>
        <v>204906.64852734414</v>
      </c>
      <c r="L183" s="25">
        <f ca="1">IF(PaymentSchedule33[[#This Row],[Payment Number]]&lt;&gt;"",SUM(INDEX(PaymentSchedule33[Principal],1,1):PaymentSchedule33[[#This Row],[Principal]]),"")</f>
        <v>98531.773880267632</v>
      </c>
      <c r="M183" s="25">
        <f ca="1">PaymentSchedule3[[#This Row],[Total
Payment]]-PaymentSchedule33[[#This Row],[Total
Payment]]</f>
        <v>427.19889995542212</v>
      </c>
      <c r="N183" s="25">
        <f ca="1">PaymentSchedule3[[#This Row],[Interest]]-PaymentSchedule33[[#This Row],[Interest]]</f>
        <v>505.55178445094714</v>
      </c>
      <c r="O183" s="25">
        <f ca="1">PaymentSchedule3[[#This Row],[Cumulative
Interest]]-PaymentSchedule33[[#This Row],[Cumulative
Interest]]</f>
        <v>92289.634884276049</v>
      </c>
    </row>
    <row r="184" spans="2:15" x14ac:dyDescent="0.25">
      <c r="B184" s="23">
        <f ca="1">IF(LoanIsGood,IF(ROW()-ROW(PaymentSchedule33[[#Headers],[Payment Number]])&gt;ScheduledNumberOfPayments,"",ROW()-ROW(PaymentSchedule33[[#Headers],[Payment Number]])),"")</f>
        <v>171</v>
      </c>
      <c r="C184" s="24">
        <f ca="1">IF(PaymentSchedule33[[#This Row],[Payment Number]]&lt;&gt;"",EOMONTH(LoanStartDate,ROW(PaymentSchedule33[[#This Row],[Payment Number]])-ROW(PaymentSchedule33[[#Headers],[Payment Number]])-2)+DAY(LoanStartDate),"")</f>
        <v>50641</v>
      </c>
      <c r="D184" s="25">
        <f ca="1">IF(PaymentSchedule33[[#This Row],[Payment Number]]&lt;&gt;"",IF(ROW()-ROW(PaymentSchedule33[[#Headers],[Beginning
Balance]])=1,LoanAmount,INDEX(PaymentSchedule33[Ending
Balance],ROW()-ROW(PaymentSchedule33[[#Headers],[Beginning
Balance]])-1)),"")</f>
        <v>233968.22611973216</v>
      </c>
      <c r="E184" s="25">
        <f ca="1">IF(PaymentSchedule33[[#This Row],[Payment Number]]&lt;&gt;"",ScheduledPayment,"")</f>
        <v>1784.9318965153623</v>
      </c>
      <c r="F18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4" s="25">
        <f ca="1">IF(PaymentSchedule33[[#This Row],[Payment Number]]&lt;&gt;"",PaymentSchedule33[[#This Row],[Total
Payment]]-PaymentSchedule33[[#This Row],[Interest]],"")</f>
        <v>810.06428768314493</v>
      </c>
      <c r="I184" s="25">
        <f ca="1">IF(PaymentSchedule33[[#This Row],[Payment Number]]&lt;&gt;"",PaymentSchedule33[[#This Row],[Beginning
Balance]]*(InterestRate/PaymentsPerYear),"")</f>
        <v>974.86760883221734</v>
      </c>
      <c r="J184" s="25">
        <f ca="1">IF(PaymentSchedule33[[#This Row],[Payment Number]]&lt;&gt;"",IF(PaymentSchedule33[[#This Row],[Scheduled Payment]]+PaymentSchedule33[[#This Row],[Extra
Payment]]&lt;=PaymentSchedule33[[#This Row],[Beginning
Balance]],PaymentSchedule33[[#This Row],[Beginning
Balance]]-PaymentSchedule33[[#This Row],[Principal]],0),"")</f>
        <v>233158.16183204902</v>
      </c>
      <c r="K184" s="25">
        <f ca="1">IF(PaymentSchedule33[[#This Row],[Payment Number]]&lt;&gt;"",SUM(INDEX(PaymentSchedule33[Interest],1,1):PaymentSchedule33[[#This Row],[Interest]]),"")</f>
        <v>205881.51613617636</v>
      </c>
      <c r="L184" s="25">
        <f ca="1">IF(PaymentSchedule33[[#This Row],[Payment Number]]&lt;&gt;"",SUM(INDEX(PaymentSchedule33[Principal],1,1):PaymentSchedule33[[#This Row],[Principal]]),"")</f>
        <v>99341.838167950773</v>
      </c>
      <c r="M184" s="25">
        <f ca="1">PaymentSchedule3[[#This Row],[Total
Payment]]-PaymentSchedule33[[#This Row],[Total
Payment]]</f>
        <v>427.19889995542212</v>
      </c>
      <c r="N184" s="25">
        <f ca="1">PaymentSchedule3[[#This Row],[Interest]]-PaymentSchedule33[[#This Row],[Interest]]</f>
        <v>504.66433790204007</v>
      </c>
      <c r="O184" s="25">
        <f ca="1">PaymentSchedule3[[#This Row],[Cumulative
Interest]]-PaymentSchedule33[[#This Row],[Cumulative
Interest]]</f>
        <v>92794.299222178059</v>
      </c>
    </row>
    <row r="185" spans="2:15" x14ac:dyDescent="0.25">
      <c r="B185" s="23">
        <f ca="1">IF(LoanIsGood,IF(ROW()-ROW(PaymentSchedule33[[#Headers],[Payment Number]])&gt;ScheduledNumberOfPayments,"",ROW()-ROW(PaymentSchedule33[[#Headers],[Payment Number]])),"")</f>
        <v>172</v>
      </c>
      <c r="C185" s="24">
        <f ca="1">IF(PaymentSchedule33[[#This Row],[Payment Number]]&lt;&gt;"",EOMONTH(LoanStartDate,ROW(PaymentSchedule33[[#This Row],[Payment Number]])-ROW(PaymentSchedule33[[#Headers],[Payment Number]])-2)+DAY(LoanStartDate),"")</f>
        <v>50672</v>
      </c>
      <c r="D185" s="25">
        <f ca="1">IF(PaymentSchedule33[[#This Row],[Payment Number]]&lt;&gt;"",IF(ROW()-ROW(PaymentSchedule33[[#Headers],[Beginning
Balance]])=1,LoanAmount,INDEX(PaymentSchedule33[Ending
Balance],ROW()-ROW(PaymentSchedule33[[#Headers],[Beginning
Balance]])-1)),"")</f>
        <v>233158.16183204902</v>
      </c>
      <c r="E185" s="25">
        <f ca="1">IF(PaymentSchedule33[[#This Row],[Payment Number]]&lt;&gt;"",ScheduledPayment,"")</f>
        <v>1784.9318965153623</v>
      </c>
      <c r="F18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5" s="25">
        <f ca="1">IF(PaymentSchedule33[[#This Row],[Payment Number]]&lt;&gt;"",PaymentSchedule33[[#This Row],[Total
Payment]]-PaymentSchedule33[[#This Row],[Interest]],"")</f>
        <v>813.4395555484914</v>
      </c>
      <c r="I185" s="25">
        <f ca="1">IF(PaymentSchedule33[[#This Row],[Payment Number]]&lt;&gt;"",PaymentSchedule33[[#This Row],[Beginning
Balance]]*(InterestRate/PaymentsPerYear),"")</f>
        <v>971.49234096687087</v>
      </c>
      <c r="J185" s="25">
        <f ca="1">IF(PaymentSchedule33[[#This Row],[Payment Number]]&lt;&gt;"",IF(PaymentSchedule33[[#This Row],[Scheduled Payment]]+PaymentSchedule33[[#This Row],[Extra
Payment]]&lt;=PaymentSchedule33[[#This Row],[Beginning
Balance]],PaymentSchedule33[[#This Row],[Beginning
Balance]]-PaymentSchedule33[[#This Row],[Principal]],0),"")</f>
        <v>232344.72227650054</v>
      </c>
      <c r="K185" s="25">
        <f ca="1">IF(PaymentSchedule33[[#This Row],[Payment Number]]&lt;&gt;"",SUM(INDEX(PaymentSchedule33[Interest],1,1):PaymentSchedule33[[#This Row],[Interest]]),"")</f>
        <v>206853.00847714324</v>
      </c>
      <c r="L185" s="25">
        <f ca="1">IF(PaymentSchedule33[[#This Row],[Payment Number]]&lt;&gt;"",SUM(INDEX(PaymentSchedule33[Principal],1,1):PaymentSchedule33[[#This Row],[Principal]]),"")</f>
        <v>100155.27772349927</v>
      </c>
      <c r="M185" s="25">
        <f ca="1">PaymentSchedule3[[#This Row],[Total
Payment]]-PaymentSchedule33[[#This Row],[Total
Payment]]</f>
        <v>427.19889995542212</v>
      </c>
      <c r="N185" s="25">
        <f ca="1">PaymentSchedule3[[#This Row],[Interest]]-PaymentSchedule33[[#This Row],[Interest]]</f>
        <v>503.76611247725668</v>
      </c>
      <c r="O185" s="25">
        <f ca="1">PaymentSchedule3[[#This Row],[Cumulative
Interest]]-PaymentSchedule33[[#This Row],[Cumulative
Interest]]</f>
        <v>93298.065334655286</v>
      </c>
    </row>
    <row r="186" spans="2:15" x14ac:dyDescent="0.25">
      <c r="B186" s="23">
        <f ca="1">IF(LoanIsGood,IF(ROW()-ROW(PaymentSchedule33[[#Headers],[Payment Number]])&gt;ScheduledNumberOfPayments,"",ROW()-ROW(PaymentSchedule33[[#Headers],[Payment Number]])),"")</f>
        <v>173</v>
      </c>
      <c r="C186" s="24">
        <f ca="1">IF(PaymentSchedule33[[#This Row],[Payment Number]]&lt;&gt;"",EOMONTH(LoanStartDate,ROW(PaymentSchedule33[[#This Row],[Payment Number]])-ROW(PaymentSchedule33[[#Headers],[Payment Number]])-2)+DAY(LoanStartDate),"")</f>
        <v>50702</v>
      </c>
      <c r="D186" s="25">
        <f ca="1">IF(PaymentSchedule33[[#This Row],[Payment Number]]&lt;&gt;"",IF(ROW()-ROW(PaymentSchedule33[[#Headers],[Beginning
Balance]])=1,LoanAmount,INDEX(PaymentSchedule33[Ending
Balance],ROW()-ROW(PaymentSchedule33[[#Headers],[Beginning
Balance]])-1)),"")</f>
        <v>232344.72227650054</v>
      </c>
      <c r="E186" s="25">
        <f ca="1">IF(PaymentSchedule33[[#This Row],[Payment Number]]&lt;&gt;"",ScheduledPayment,"")</f>
        <v>1784.9318965153623</v>
      </c>
      <c r="F18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6" s="25">
        <f ca="1">IF(PaymentSchedule33[[#This Row],[Payment Number]]&lt;&gt;"",PaymentSchedule33[[#This Row],[Total
Payment]]-PaymentSchedule33[[#This Row],[Interest]],"")</f>
        <v>816.8288870299433</v>
      </c>
      <c r="I186" s="25">
        <f ca="1">IF(PaymentSchedule33[[#This Row],[Payment Number]]&lt;&gt;"",PaymentSchedule33[[#This Row],[Beginning
Balance]]*(InterestRate/PaymentsPerYear),"")</f>
        <v>968.10300948541897</v>
      </c>
      <c r="J186" s="25">
        <f ca="1">IF(PaymentSchedule33[[#This Row],[Payment Number]]&lt;&gt;"",IF(PaymentSchedule33[[#This Row],[Scheduled Payment]]+PaymentSchedule33[[#This Row],[Extra
Payment]]&lt;=PaymentSchedule33[[#This Row],[Beginning
Balance]],PaymentSchedule33[[#This Row],[Beginning
Balance]]-PaymentSchedule33[[#This Row],[Principal]],0),"")</f>
        <v>231527.89338947061</v>
      </c>
      <c r="K186" s="25">
        <f ca="1">IF(PaymentSchedule33[[#This Row],[Payment Number]]&lt;&gt;"",SUM(INDEX(PaymentSchedule33[Interest],1,1):PaymentSchedule33[[#This Row],[Interest]]),"")</f>
        <v>207821.11148662865</v>
      </c>
      <c r="L186" s="25">
        <f ca="1">IF(PaymentSchedule33[[#This Row],[Payment Number]]&lt;&gt;"",SUM(INDEX(PaymentSchedule33[Principal],1,1):PaymentSchedule33[[#This Row],[Principal]]),"")</f>
        <v>100972.10661052921</v>
      </c>
      <c r="M186" s="25">
        <f ca="1">PaymentSchedule3[[#This Row],[Total
Payment]]-PaymentSchedule33[[#This Row],[Total
Payment]]</f>
        <v>427.19889995542212</v>
      </c>
      <c r="N186" s="25">
        <f ca="1">PaymentSchedule3[[#This Row],[Interest]]-PaymentSchedule33[[#This Row],[Interest]]</f>
        <v>502.85702195771989</v>
      </c>
      <c r="O186" s="25">
        <f ca="1">PaymentSchedule3[[#This Row],[Cumulative
Interest]]-PaymentSchedule33[[#This Row],[Cumulative
Interest]]</f>
        <v>93800.922356613039</v>
      </c>
    </row>
    <row r="187" spans="2:15" x14ac:dyDescent="0.25">
      <c r="B187" s="23">
        <f ca="1">IF(LoanIsGood,IF(ROW()-ROW(PaymentSchedule33[[#Headers],[Payment Number]])&gt;ScheduledNumberOfPayments,"",ROW()-ROW(PaymentSchedule33[[#Headers],[Payment Number]])),"")</f>
        <v>174</v>
      </c>
      <c r="C187" s="24">
        <f ca="1">IF(PaymentSchedule33[[#This Row],[Payment Number]]&lt;&gt;"",EOMONTH(LoanStartDate,ROW(PaymentSchedule33[[#This Row],[Payment Number]])-ROW(PaymentSchedule33[[#Headers],[Payment Number]])-2)+DAY(LoanStartDate),"")</f>
        <v>50733</v>
      </c>
      <c r="D187" s="25">
        <f ca="1">IF(PaymentSchedule33[[#This Row],[Payment Number]]&lt;&gt;"",IF(ROW()-ROW(PaymentSchedule33[[#Headers],[Beginning
Balance]])=1,LoanAmount,INDEX(PaymentSchedule33[Ending
Balance],ROW()-ROW(PaymentSchedule33[[#Headers],[Beginning
Balance]])-1)),"")</f>
        <v>231527.89338947061</v>
      </c>
      <c r="E187" s="25">
        <f ca="1">IF(PaymentSchedule33[[#This Row],[Payment Number]]&lt;&gt;"",ScheduledPayment,"")</f>
        <v>1784.9318965153623</v>
      </c>
      <c r="F18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7" s="25">
        <f ca="1">IF(PaymentSchedule33[[#This Row],[Payment Number]]&lt;&gt;"",PaymentSchedule33[[#This Row],[Total
Payment]]-PaymentSchedule33[[#This Row],[Interest]],"")</f>
        <v>820.23234072590139</v>
      </c>
      <c r="I187" s="25">
        <f ca="1">IF(PaymentSchedule33[[#This Row],[Payment Number]]&lt;&gt;"",PaymentSchedule33[[#This Row],[Beginning
Balance]]*(InterestRate/PaymentsPerYear),"")</f>
        <v>964.69955578946087</v>
      </c>
      <c r="J187" s="25">
        <f ca="1">IF(PaymentSchedule33[[#This Row],[Payment Number]]&lt;&gt;"",IF(PaymentSchedule33[[#This Row],[Scheduled Payment]]+PaymentSchedule33[[#This Row],[Extra
Payment]]&lt;=PaymentSchedule33[[#This Row],[Beginning
Balance]],PaymentSchedule33[[#This Row],[Beginning
Balance]]-PaymentSchedule33[[#This Row],[Principal]],0),"")</f>
        <v>230707.66104874472</v>
      </c>
      <c r="K187" s="25">
        <f ca="1">IF(PaymentSchedule33[[#This Row],[Payment Number]]&lt;&gt;"",SUM(INDEX(PaymentSchedule33[Interest],1,1):PaymentSchedule33[[#This Row],[Interest]]),"")</f>
        <v>208785.81104241812</v>
      </c>
      <c r="L187" s="25">
        <f ca="1">IF(PaymentSchedule33[[#This Row],[Payment Number]]&lt;&gt;"",SUM(INDEX(PaymentSchedule33[Principal],1,1):PaymentSchedule33[[#This Row],[Principal]]),"")</f>
        <v>101792.33895125511</v>
      </c>
      <c r="M187" s="25">
        <f ca="1">PaymentSchedule3[[#This Row],[Total
Payment]]-PaymentSchedule33[[#This Row],[Total
Payment]]</f>
        <v>427.19889995542212</v>
      </c>
      <c r="N187" s="25">
        <f ca="1">PaymentSchedule3[[#This Row],[Interest]]-PaymentSchedule33[[#This Row],[Interest]]</f>
        <v>501.93697952435014</v>
      </c>
      <c r="O187" s="25">
        <f ca="1">PaymentSchedule3[[#This Row],[Cumulative
Interest]]-PaymentSchedule33[[#This Row],[Cumulative
Interest]]</f>
        <v>94302.859336137364</v>
      </c>
    </row>
    <row r="188" spans="2:15" x14ac:dyDescent="0.25">
      <c r="B188" s="23">
        <f ca="1">IF(LoanIsGood,IF(ROW()-ROW(PaymentSchedule33[[#Headers],[Payment Number]])&gt;ScheduledNumberOfPayments,"",ROW()-ROW(PaymentSchedule33[[#Headers],[Payment Number]])),"")</f>
        <v>175</v>
      </c>
      <c r="C188" s="24">
        <f ca="1">IF(PaymentSchedule33[[#This Row],[Payment Number]]&lt;&gt;"",EOMONTH(LoanStartDate,ROW(PaymentSchedule33[[#This Row],[Payment Number]])-ROW(PaymentSchedule33[[#Headers],[Payment Number]])-2)+DAY(LoanStartDate),"")</f>
        <v>50763</v>
      </c>
      <c r="D188" s="25">
        <f ca="1">IF(PaymentSchedule33[[#This Row],[Payment Number]]&lt;&gt;"",IF(ROW()-ROW(PaymentSchedule33[[#Headers],[Beginning
Balance]])=1,LoanAmount,INDEX(PaymentSchedule33[Ending
Balance],ROW()-ROW(PaymentSchedule33[[#Headers],[Beginning
Balance]])-1)),"")</f>
        <v>230707.66104874472</v>
      </c>
      <c r="E188" s="25">
        <f ca="1">IF(PaymentSchedule33[[#This Row],[Payment Number]]&lt;&gt;"",ScheduledPayment,"")</f>
        <v>1784.9318965153623</v>
      </c>
      <c r="F18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8" s="25">
        <f ca="1">IF(PaymentSchedule33[[#This Row],[Payment Number]]&lt;&gt;"",PaymentSchedule33[[#This Row],[Total
Payment]]-PaymentSchedule33[[#This Row],[Interest]],"")</f>
        <v>823.64997547892597</v>
      </c>
      <c r="I188" s="25">
        <f ca="1">IF(PaymentSchedule33[[#This Row],[Payment Number]]&lt;&gt;"",PaymentSchedule33[[#This Row],[Beginning
Balance]]*(InterestRate/PaymentsPerYear),"")</f>
        <v>961.2819210364363</v>
      </c>
      <c r="J188" s="25">
        <f ca="1">IF(PaymentSchedule33[[#This Row],[Payment Number]]&lt;&gt;"",IF(PaymentSchedule33[[#This Row],[Scheduled Payment]]+PaymentSchedule33[[#This Row],[Extra
Payment]]&lt;=PaymentSchedule33[[#This Row],[Beginning
Balance]],PaymentSchedule33[[#This Row],[Beginning
Balance]]-PaymentSchedule33[[#This Row],[Principal]],0),"")</f>
        <v>229884.01107326578</v>
      </c>
      <c r="K188" s="25">
        <f ca="1">IF(PaymentSchedule33[[#This Row],[Payment Number]]&lt;&gt;"",SUM(INDEX(PaymentSchedule33[Interest],1,1):PaymentSchedule33[[#This Row],[Interest]]),"")</f>
        <v>209747.09296345455</v>
      </c>
      <c r="L188" s="25">
        <f ca="1">IF(PaymentSchedule33[[#This Row],[Payment Number]]&lt;&gt;"",SUM(INDEX(PaymentSchedule33[Principal],1,1):PaymentSchedule33[[#This Row],[Principal]]),"")</f>
        <v>102615.98892673403</v>
      </c>
      <c r="M188" s="25">
        <f ca="1">PaymentSchedule3[[#This Row],[Total
Payment]]-PaymentSchedule33[[#This Row],[Total
Payment]]</f>
        <v>427.19889995542212</v>
      </c>
      <c r="N188" s="25">
        <f ca="1">PaymentSchedule3[[#This Row],[Interest]]-PaymentSchedule33[[#This Row],[Interest]]</f>
        <v>501.00589775395895</v>
      </c>
      <c r="O188" s="25">
        <f ca="1">PaymentSchedule3[[#This Row],[Cumulative
Interest]]-PaymentSchedule33[[#This Row],[Cumulative
Interest]]</f>
        <v>94803.865233891353</v>
      </c>
    </row>
    <row r="189" spans="2:15" x14ac:dyDescent="0.25">
      <c r="B189" s="23">
        <f ca="1">IF(LoanIsGood,IF(ROW()-ROW(PaymentSchedule33[[#Headers],[Payment Number]])&gt;ScheduledNumberOfPayments,"",ROW()-ROW(PaymentSchedule33[[#Headers],[Payment Number]])),"")</f>
        <v>176</v>
      </c>
      <c r="C189" s="24">
        <f ca="1">IF(PaymentSchedule33[[#This Row],[Payment Number]]&lt;&gt;"",EOMONTH(LoanStartDate,ROW(PaymentSchedule33[[#This Row],[Payment Number]])-ROW(PaymentSchedule33[[#Headers],[Payment Number]])-2)+DAY(LoanStartDate),"")</f>
        <v>50794</v>
      </c>
      <c r="D189" s="25">
        <f ca="1">IF(PaymentSchedule33[[#This Row],[Payment Number]]&lt;&gt;"",IF(ROW()-ROW(PaymentSchedule33[[#Headers],[Beginning
Balance]])=1,LoanAmount,INDEX(PaymentSchedule33[Ending
Balance],ROW()-ROW(PaymentSchedule33[[#Headers],[Beginning
Balance]])-1)),"")</f>
        <v>229884.01107326578</v>
      </c>
      <c r="E189" s="25">
        <f ca="1">IF(PaymentSchedule33[[#This Row],[Payment Number]]&lt;&gt;"",ScheduledPayment,"")</f>
        <v>1784.9318965153623</v>
      </c>
      <c r="F18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8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89" s="25">
        <f ca="1">IF(PaymentSchedule33[[#This Row],[Payment Number]]&lt;&gt;"",PaymentSchedule33[[#This Row],[Total
Payment]]-PaymentSchedule33[[#This Row],[Interest]],"")</f>
        <v>827.08185037675491</v>
      </c>
      <c r="I189" s="25">
        <f ca="1">IF(PaymentSchedule33[[#This Row],[Payment Number]]&lt;&gt;"",PaymentSchedule33[[#This Row],[Beginning
Balance]]*(InterestRate/PaymentsPerYear),"")</f>
        <v>957.85004613860735</v>
      </c>
      <c r="J189" s="25">
        <f ca="1">IF(PaymentSchedule33[[#This Row],[Payment Number]]&lt;&gt;"",IF(PaymentSchedule33[[#This Row],[Scheduled Payment]]+PaymentSchedule33[[#This Row],[Extra
Payment]]&lt;=PaymentSchedule33[[#This Row],[Beginning
Balance]],PaymentSchedule33[[#This Row],[Beginning
Balance]]-PaymentSchedule33[[#This Row],[Principal]],0),"")</f>
        <v>229056.92922288901</v>
      </c>
      <c r="K189" s="25">
        <f ca="1">IF(PaymentSchedule33[[#This Row],[Payment Number]]&lt;&gt;"",SUM(INDEX(PaymentSchedule33[Interest],1,1):PaymentSchedule33[[#This Row],[Interest]]),"")</f>
        <v>210704.94300959315</v>
      </c>
      <c r="L189" s="25">
        <f ca="1">IF(PaymentSchedule33[[#This Row],[Payment Number]]&lt;&gt;"",SUM(INDEX(PaymentSchedule33[Principal],1,1):PaymentSchedule33[[#This Row],[Principal]]),"")</f>
        <v>103443.07077711078</v>
      </c>
      <c r="M189" s="25">
        <f ca="1">PaymentSchedule3[[#This Row],[Total
Payment]]-PaymentSchedule33[[#This Row],[Total
Payment]]</f>
        <v>427.19889995542212</v>
      </c>
      <c r="N189" s="25">
        <f ca="1">PaymentSchedule3[[#This Row],[Interest]]-PaymentSchedule33[[#This Row],[Interest]]</f>
        <v>500.06368861531894</v>
      </c>
      <c r="O189" s="25">
        <f ca="1">PaymentSchedule3[[#This Row],[Cumulative
Interest]]-PaymentSchedule33[[#This Row],[Cumulative
Interest]]</f>
        <v>95303.92892250666</v>
      </c>
    </row>
    <row r="190" spans="2:15" x14ac:dyDescent="0.25">
      <c r="B190" s="23">
        <f ca="1">IF(LoanIsGood,IF(ROW()-ROW(PaymentSchedule33[[#Headers],[Payment Number]])&gt;ScheduledNumberOfPayments,"",ROW()-ROW(PaymentSchedule33[[#Headers],[Payment Number]])),"")</f>
        <v>177</v>
      </c>
      <c r="C190" s="24">
        <f ca="1">IF(PaymentSchedule33[[#This Row],[Payment Number]]&lt;&gt;"",EOMONTH(LoanStartDate,ROW(PaymentSchedule33[[#This Row],[Payment Number]])-ROW(PaymentSchedule33[[#Headers],[Payment Number]])-2)+DAY(LoanStartDate),"")</f>
        <v>50825</v>
      </c>
      <c r="D190" s="25">
        <f ca="1">IF(PaymentSchedule33[[#This Row],[Payment Number]]&lt;&gt;"",IF(ROW()-ROW(PaymentSchedule33[[#Headers],[Beginning
Balance]])=1,LoanAmount,INDEX(PaymentSchedule33[Ending
Balance],ROW()-ROW(PaymentSchedule33[[#Headers],[Beginning
Balance]])-1)),"")</f>
        <v>229056.92922288901</v>
      </c>
      <c r="E190" s="25">
        <f ca="1">IF(PaymentSchedule33[[#This Row],[Payment Number]]&lt;&gt;"",ScheduledPayment,"")</f>
        <v>1784.9318965153623</v>
      </c>
      <c r="F19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0" s="25">
        <f ca="1">IF(PaymentSchedule33[[#This Row],[Payment Number]]&lt;&gt;"",PaymentSchedule33[[#This Row],[Total
Payment]]-PaymentSchedule33[[#This Row],[Interest]],"")</f>
        <v>830.52802475332476</v>
      </c>
      <c r="I190" s="25">
        <f ca="1">IF(PaymentSchedule33[[#This Row],[Payment Number]]&lt;&gt;"",PaymentSchedule33[[#This Row],[Beginning
Balance]]*(InterestRate/PaymentsPerYear),"")</f>
        <v>954.40387176203751</v>
      </c>
      <c r="J190" s="25">
        <f ca="1">IF(PaymentSchedule33[[#This Row],[Payment Number]]&lt;&gt;"",IF(PaymentSchedule33[[#This Row],[Scheduled Payment]]+PaymentSchedule33[[#This Row],[Extra
Payment]]&lt;=PaymentSchedule33[[#This Row],[Beginning
Balance]],PaymentSchedule33[[#This Row],[Beginning
Balance]]-PaymentSchedule33[[#This Row],[Principal]],0),"")</f>
        <v>228226.40119813569</v>
      </c>
      <c r="K190" s="25">
        <f ca="1">IF(PaymentSchedule33[[#This Row],[Payment Number]]&lt;&gt;"",SUM(INDEX(PaymentSchedule33[Interest],1,1):PaymentSchedule33[[#This Row],[Interest]]),"")</f>
        <v>211659.34688135519</v>
      </c>
      <c r="L190" s="25">
        <f ca="1">IF(PaymentSchedule33[[#This Row],[Payment Number]]&lt;&gt;"",SUM(INDEX(PaymentSchedule33[Principal],1,1):PaymentSchedule33[[#This Row],[Principal]]),"")</f>
        <v>104273.59880186411</v>
      </c>
      <c r="M190" s="25">
        <f ca="1">PaymentSchedule3[[#This Row],[Total
Payment]]-PaymentSchedule33[[#This Row],[Total
Payment]]</f>
        <v>427.19889995542212</v>
      </c>
      <c r="N190" s="25">
        <f ca="1">PaymentSchedule3[[#This Row],[Interest]]-PaymentSchedule33[[#This Row],[Interest]]</f>
        <v>499.11026346520714</v>
      </c>
      <c r="O190" s="25">
        <f ca="1">PaymentSchedule3[[#This Row],[Cumulative
Interest]]-PaymentSchedule33[[#This Row],[Cumulative
Interest]]</f>
        <v>95803.039185971866</v>
      </c>
    </row>
    <row r="191" spans="2:15" x14ac:dyDescent="0.25">
      <c r="B191" s="23">
        <f ca="1">IF(LoanIsGood,IF(ROW()-ROW(PaymentSchedule33[[#Headers],[Payment Number]])&gt;ScheduledNumberOfPayments,"",ROW()-ROW(PaymentSchedule33[[#Headers],[Payment Number]])),"")</f>
        <v>178</v>
      </c>
      <c r="C191" s="24">
        <f ca="1">IF(PaymentSchedule33[[#This Row],[Payment Number]]&lt;&gt;"",EOMONTH(LoanStartDate,ROW(PaymentSchedule33[[#This Row],[Payment Number]])-ROW(PaymentSchedule33[[#Headers],[Payment Number]])-2)+DAY(LoanStartDate),"")</f>
        <v>50853</v>
      </c>
      <c r="D191" s="25">
        <f ca="1">IF(PaymentSchedule33[[#This Row],[Payment Number]]&lt;&gt;"",IF(ROW()-ROW(PaymentSchedule33[[#Headers],[Beginning
Balance]])=1,LoanAmount,INDEX(PaymentSchedule33[Ending
Balance],ROW()-ROW(PaymentSchedule33[[#Headers],[Beginning
Balance]])-1)),"")</f>
        <v>228226.40119813569</v>
      </c>
      <c r="E191" s="25">
        <f ca="1">IF(PaymentSchedule33[[#This Row],[Payment Number]]&lt;&gt;"",ScheduledPayment,"")</f>
        <v>1784.9318965153623</v>
      </c>
      <c r="F19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1" s="25">
        <f ca="1">IF(PaymentSchedule33[[#This Row],[Payment Number]]&lt;&gt;"",PaymentSchedule33[[#This Row],[Total
Payment]]-PaymentSchedule33[[#This Row],[Interest]],"")</f>
        <v>833.98855818979689</v>
      </c>
      <c r="I191" s="25">
        <f ca="1">IF(PaymentSchedule33[[#This Row],[Payment Number]]&lt;&gt;"",PaymentSchedule33[[#This Row],[Beginning
Balance]]*(InterestRate/PaymentsPerYear),"")</f>
        <v>950.94333832556538</v>
      </c>
      <c r="J191" s="25">
        <f ca="1">IF(PaymentSchedule33[[#This Row],[Payment Number]]&lt;&gt;"",IF(PaymentSchedule33[[#This Row],[Scheduled Payment]]+PaymentSchedule33[[#This Row],[Extra
Payment]]&lt;=PaymentSchedule33[[#This Row],[Beginning
Balance]],PaymentSchedule33[[#This Row],[Beginning
Balance]]-PaymentSchedule33[[#This Row],[Principal]],0),"")</f>
        <v>227392.41263994589</v>
      </c>
      <c r="K191" s="25">
        <f ca="1">IF(PaymentSchedule33[[#This Row],[Payment Number]]&lt;&gt;"",SUM(INDEX(PaymentSchedule33[Interest],1,1):PaymentSchedule33[[#This Row],[Interest]]),"")</f>
        <v>212610.29021968076</v>
      </c>
      <c r="L191" s="25">
        <f ca="1">IF(PaymentSchedule33[[#This Row],[Payment Number]]&lt;&gt;"",SUM(INDEX(PaymentSchedule33[Principal],1,1):PaymentSchedule33[[#This Row],[Principal]]),"")</f>
        <v>105107.58736005391</v>
      </c>
      <c r="M191" s="25">
        <f ca="1">PaymentSchedule3[[#This Row],[Total
Payment]]-PaymentSchedule33[[#This Row],[Total
Payment]]</f>
        <v>427.19889995542212</v>
      </c>
      <c r="N191" s="25">
        <f ca="1">PaymentSchedule3[[#This Row],[Interest]]-PaymentSchedule33[[#This Row],[Interest]]</f>
        <v>498.14553304442518</v>
      </c>
      <c r="O191" s="25">
        <f ca="1">PaymentSchedule3[[#This Row],[Cumulative
Interest]]-PaymentSchedule33[[#This Row],[Cumulative
Interest]]</f>
        <v>96301.18471901631</v>
      </c>
    </row>
    <row r="192" spans="2:15" x14ac:dyDescent="0.25">
      <c r="B192" s="23">
        <f ca="1">IF(LoanIsGood,IF(ROW()-ROW(PaymentSchedule33[[#Headers],[Payment Number]])&gt;ScheduledNumberOfPayments,"",ROW()-ROW(PaymentSchedule33[[#Headers],[Payment Number]])),"")</f>
        <v>179</v>
      </c>
      <c r="C192" s="24">
        <f ca="1">IF(PaymentSchedule33[[#This Row],[Payment Number]]&lt;&gt;"",EOMONTH(LoanStartDate,ROW(PaymentSchedule33[[#This Row],[Payment Number]])-ROW(PaymentSchedule33[[#Headers],[Payment Number]])-2)+DAY(LoanStartDate),"")</f>
        <v>50884</v>
      </c>
      <c r="D192" s="25">
        <f ca="1">IF(PaymentSchedule33[[#This Row],[Payment Number]]&lt;&gt;"",IF(ROW()-ROW(PaymentSchedule33[[#Headers],[Beginning
Balance]])=1,LoanAmount,INDEX(PaymentSchedule33[Ending
Balance],ROW()-ROW(PaymentSchedule33[[#Headers],[Beginning
Balance]])-1)),"")</f>
        <v>227392.41263994589</v>
      </c>
      <c r="E192" s="25">
        <f ca="1">IF(PaymentSchedule33[[#This Row],[Payment Number]]&lt;&gt;"",ScheduledPayment,"")</f>
        <v>1784.9318965153623</v>
      </c>
      <c r="F19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2" s="25">
        <f ca="1">IF(PaymentSchedule33[[#This Row],[Payment Number]]&lt;&gt;"",PaymentSchedule33[[#This Row],[Total
Payment]]-PaymentSchedule33[[#This Row],[Interest]],"")</f>
        <v>837.4635105155877</v>
      </c>
      <c r="I192" s="25">
        <f ca="1">IF(PaymentSchedule33[[#This Row],[Payment Number]]&lt;&gt;"",PaymentSchedule33[[#This Row],[Beginning
Balance]]*(InterestRate/PaymentsPerYear),"")</f>
        <v>947.46838599977457</v>
      </c>
      <c r="J192" s="25">
        <f ca="1">IF(PaymentSchedule33[[#This Row],[Payment Number]]&lt;&gt;"",IF(PaymentSchedule33[[#This Row],[Scheduled Payment]]+PaymentSchedule33[[#This Row],[Extra
Payment]]&lt;=PaymentSchedule33[[#This Row],[Beginning
Balance]],PaymentSchedule33[[#This Row],[Beginning
Balance]]-PaymentSchedule33[[#This Row],[Principal]],0),"")</f>
        <v>226554.94912943032</v>
      </c>
      <c r="K192" s="25">
        <f ca="1">IF(PaymentSchedule33[[#This Row],[Payment Number]]&lt;&gt;"",SUM(INDEX(PaymentSchedule33[Interest],1,1):PaymentSchedule33[[#This Row],[Interest]]),"")</f>
        <v>213557.75860568052</v>
      </c>
      <c r="L192" s="25">
        <f ca="1">IF(PaymentSchedule33[[#This Row],[Payment Number]]&lt;&gt;"",SUM(INDEX(PaymentSchedule33[Principal],1,1):PaymentSchedule33[[#This Row],[Principal]]),"")</f>
        <v>105945.0508705695</v>
      </c>
      <c r="M192" s="25">
        <f ca="1">PaymentSchedule3[[#This Row],[Total
Payment]]-PaymentSchedule33[[#This Row],[Total
Payment]]</f>
        <v>427.19889995542212</v>
      </c>
      <c r="N192" s="25">
        <f ca="1">PaymentSchedule3[[#This Row],[Interest]]-PaymentSchedule33[[#This Row],[Interest]]</f>
        <v>497.16940747379488</v>
      </c>
      <c r="O192" s="25">
        <f ca="1">PaymentSchedule3[[#This Row],[Cumulative
Interest]]-PaymentSchedule33[[#This Row],[Cumulative
Interest]]</f>
        <v>96798.3541264901</v>
      </c>
    </row>
    <row r="193" spans="2:15" x14ac:dyDescent="0.25">
      <c r="B193" s="23">
        <f ca="1">IF(LoanIsGood,IF(ROW()-ROW(PaymentSchedule33[[#Headers],[Payment Number]])&gt;ScheduledNumberOfPayments,"",ROW()-ROW(PaymentSchedule33[[#Headers],[Payment Number]])),"")</f>
        <v>180</v>
      </c>
      <c r="C193" s="24">
        <f ca="1">IF(PaymentSchedule33[[#This Row],[Payment Number]]&lt;&gt;"",EOMONTH(LoanStartDate,ROW(PaymentSchedule33[[#This Row],[Payment Number]])-ROW(PaymentSchedule33[[#Headers],[Payment Number]])-2)+DAY(LoanStartDate),"")</f>
        <v>50914</v>
      </c>
      <c r="D193" s="25">
        <f ca="1">IF(PaymentSchedule33[[#This Row],[Payment Number]]&lt;&gt;"",IF(ROW()-ROW(PaymentSchedule33[[#Headers],[Beginning
Balance]])=1,LoanAmount,INDEX(PaymentSchedule33[Ending
Balance],ROW()-ROW(PaymentSchedule33[[#Headers],[Beginning
Balance]])-1)),"")</f>
        <v>226554.94912943032</v>
      </c>
      <c r="E193" s="25">
        <f ca="1">IF(PaymentSchedule33[[#This Row],[Payment Number]]&lt;&gt;"",ScheduledPayment,"")</f>
        <v>1784.9318965153623</v>
      </c>
      <c r="F19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3" s="25">
        <f ca="1">IF(PaymentSchedule33[[#This Row],[Payment Number]]&lt;&gt;"",PaymentSchedule33[[#This Row],[Total
Payment]]-PaymentSchedule33[[#This Row],[Interest]],"")</f>
        <v>840.95294180940266</v>
      </c>
      <c r="I193" s="25">
        <f ca="1">IF(PaymentSchedule33[[#This Row],[Payment Number]]&lt;&gt;"",PaymentSchedule33[[#This Row],[Beginning
Balance]]*(InterestRate/PaymentsPerYear),"")</f>
        <v>943.97895470595961</v>
      </c>
      <c r="J193" s="25">
        <f ca="1">IF(PaymentSchedule33[[#This Row],[Payment Number]]&lt;&gt;"",IF(PaymentSchedule33[[#This Row],[Scheduled Payment]]+PaymentSchedule33[[#This Row],[Extra
Payment]]&lt;=PaymentSchedule33[[#This Row],[Beginning
Balance]],PaymentSchedule33[[#This Row],[Beginning
Balance]]-PaymentSchedule33[[#This Row],[Principal]],0),"")</f>
        <v>225713.99618762091</v>
      </c>
      <c r="K193" s="25">
        <f ca="1">IF(PaymentSchedule33[[#This Row],[Payment Number]]&lt;&gt;"",SUM(INDEX(PaymentSchedule33[Interest],1,1):PaymentSchedule33[[#This Row],[Interest]]),"")</f>
        <v>214501.73756038648</v>
      </c>
      <c r="L193" s="25">
        <f ca="1">IF(PaymentSchedule33[[#This Row],[Payment Number]]&lt;&gt;"",SUM(INDEX(PaymentSchedule33[Principal],1,1):PaymentSchedule33[[#This Row],[Principal]]),"")</f>
        <v>106786.0038123789</v>
      </c>
      <c r="M193" s="25">
        <f ca="1">PaymentSchedule3[[#This Row],[Total
Payment]]-PaymentSchedule33[[#This Row],[Total
Payment]]</f>
        <v>427.19889995542212</v>
      </c>
      <c r="N193" s="25">
        <f ca="1">PaymentSchedule3[[#This Row],[Interest]]-PaymentSchedule33[[#This Row],[Interest]]</f>
        <v>496.18179625012601</v>
      </c>
      <c r="O193" s="25">
        <f ca="1">PaymentSchedule3[[#This Row],[Cumulative
Interest]]-PaymentSchedule33[[#This Row],[Cumulative
Interest]]</f>
        <v>97294.535922740237</v>
      </c>
    </row>
    <row r="194" spans="2:15" x14ac:dyDescent="0.25">
      <c r="B194" s="23">
        <f ca="1">IF(LoanIsGood,IF(ROW()-ROW(PaymentSchedule33[[#Headers],[Payment Number]])&gt;ScheduledNumberOfPayments,"",ROW()-ROW(PaymentSchedule33[[#Headers],[Payment Number]])),"")</f>
        <v>181</v>
      </c>
      <c r="C194" s="24">
        <f ca="1">IF(PaymentSchedule33[[#This Row],[Payment Number]]&lt;&gt;"",EOMONTH(LoanStartDate,ROW(PaymentSchedule33[[#This Row],[Payment Number]])-ROW(PaymentSchedule33[[#Headers],[Payment Number]])-2)+DAY(LoanStartDate),"")</f>
        <v>50945</v>
      </c>
      <c r="D194" s="25">
        <f ca="1">IF(PaymentSchedule33[[#This Row],[Payment Number]]&lt;&gt;"",IF(ROW()-ROW(PaymentSchedule33[[#Headers],[Beginning
Balance]])=1,LoanAmount,INDEX(PaymentSchedule33[Ending
Balance],ROW()-ROW(PaymentSchedule33[[#Headers],[Beginning
Balance]])-1)),"")</f>
        <v>225713.99618762091</v>
      </c>
      <c r="E194" s="25">
        <f ca="1">IF(PaymentSchedule33[[#This Row],[Payment Number]]&lt;&gt;"",ScheduledPayment,"")</f>
        <v>1784.9318965153623</v>
      </c>
      <c r="F19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4" s="25">
        <f ca="1">IF(PaymentSchedule33[[#This Row],[Payment Number]]&lt;&gt;"",PaymentSchedule33[[#This Row],[Total
Payment]]-PaymentSchedule33[[#This Row],[Interest]],"")</f>
        <v>844.4569124002752</v>
      </c>
      <c r="I194" s="25">
        <f ca="1">IF(PaymentSchedule33[[#This Row],[Payment Number]]&lt;&gt;"",PaymentSchedule33[[#This Row],[Beginning
Balance]]*(InterestRate/PaymentsPerYear),"")</f>
        <v>940.47498411508707</v>
      </c>
      <c r="J194" s="25">
        <f ca="1">IF(PaymentSchedule33[[#This Row],[Payment Number]]&lt;&gt;"",IF(PaymentSchedule33[[#This Row],[Scheduled Payment]]+PaymentSchedule33[[#This Row],[Extra
Payment]]&lt;=PaymentSchedule33[[#This Row],[Beginning
Balance]],PaymentSchedule33[[#This Row],[Beginning
Balance]]-PaymentSchedule33[[#This Row],[Principal]],0),"")</f>
        <v>224869.53927522062</v>
      </c>
      <c r="K194" s="25">
        <f ca="1">IF(PaymentSchedule33[[#This Row],[Payment Number]]&lt;&gt;"",SUM(INDEX(PaymentSchedule33[Interest],1,1):PaymentSchedule33[[#This Row],[Interest]]),"")</f>
        <v>215442.21254450156</v>
      </c>
      <c r="L194" s="25">
        <f ca="1">IF(PaymentSchedule33[[#This Row],[Payment Number]]&lt;&gt;"",SUM(INDEX(PaymentSchedule33[Principal],1,1):PaymentSchedule33[[#This Row],[Principal]]),"")</f>
        <v>107630.46072477917</v>
      </c>
      <c r="M194" s="25">
        <f ca="1">PaymentSchedule3[[#This Row],[Total
Payment]]-PaymentSchedule33[[#This Row],[Total
Payment]]</f>
        <v>427.19889995542212</v>
      </c>
      <c r="N194" s="25">
        <f ca="1">PaymentSchedule3[[#This Row],[Interest]]-PaymentSchedule33[[#This Row],[Interest]]</f>
        <v>495.18260824216293</v>
      </c>
      <c r="O194" s="25">
        <f ca="1">PaymentSchedule3[[#This Row],[Cumulative
Interest]]-PaymentSchedule33[[#This Row],[Cumulative
Interest]]</f>
        <v>97789.718530982413</v>
      </c>
    </row>
    <row r="195" spans="2:15" x14ac:dyDescent="0.25">
      <c r="B195" s="23">
        <f ca="1">IF(LoanIsGood,IF(ROW()-ROW(PaymentSchedule33[[#Headers],[Payment Number]])&gt;ScheduledNumberOfPayments,"",ROW()-ROW(PaymentSchedule33[[#Headers],[Payment Number]])),"")</f>
        <v>182</v>
      </c>
      <c r="C195" s="24">
        <f ca="1">IF(PaymentSchedule33[[#This Row],[Payment Number]]&lt;&gt;"",EOMONTH(LoanStartDate,ROW(PaymentSchedule33[[#This Row],[Payment Number]])-ROW(PaymentSchedule33[[#Headers],[Payment Number]])-2)+DAY(LoanStartDate),"")</f>
        <v>50975</v>
      </c>
      <c r="D195" s="25">
        <f ca="1">IF(PaymentSchedule33[[#This Row],[Payment Number]]&lt;&gt;"",IF(ROW()-ROW(PaymentSchedule33[[#Headers],[Beginning
Balance]])=1,LoanAmount,INDEX(PaymentSchedule33[Ending
Balance],ROW()-ROW(PaymentSchedule33[[#Headers],[Beginning
Balance]])-1)),"")</f>
        <v>224869.53927522062</v>
      </c>
      <c r="E195" s="25">
        <f ca="1">IF(PaymentSchedule33[[#This Row],[Payment Number]]&lt;&gt;"",ScheduledPayment,"")</f>
        <v>1784.9318965153623</v>
      </c>
      <c r="F19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5" s="25">
        <f ca="1">IF(PaymentSchedule33[[#This Row],[Payment Number]]&lt;&gt;"",PaymentSchedule33[[#This Row],[Total
Payment]]-PaymentSchedule33[[#This Row],[Interest]],"")</f>
        <v>847.97548286860967</v>
      </c>
      <c r="I195" s="25">
        <f ca="1">IF(PaymentSchedule33[[#This Row],[Payment Number]]&lt;&gt;"",PaymentSchedule33[[#This Row],[Beginning
Balance]]*(InterestRate/PaymentsPerYear),"")</f>
        <v>936.95641364675259</v>
      </c>
      <c r="J195" s="25">
        <f ca="1">IF(PaymentSchedule33[[#This Row],[Payment Number]]&lt;&gt;"",IF(PaymentSchedule33[[#This Row],[Scheduled Payment]]+PaymentSchedule33[[#This Row],[Extra
Payment]]&lt;=PaymentSchedule33[[#This Row],[Beginning
Balance]],PaymentSchedule33[[#This Row],[Beginning
Balance]]-PaymentSchedule33[[#This Row],[Principal]],0),"")</f>
        <v>224021.56379235201</v>
      </c>
      <c r="K195" s="25">
        <f ca="1">IF(PaymentSchedule33[[#This Row],[Payment Number]]&lt;&gt;"",SUM(INDEX(PaymentSchedule33[Interest],1,1):PaymentSchedule33[[#This Row],[Interest]]),"")</f>
        <v>216379.16895814831</v>
      </c>
      <c r="L195" s="25">
        <f ca="1">IF(PaymentSchedule33[[#This Row],[Payment Number]]&lt;&gt;"",SUM(INDEX(PaymentSchedule33[Principal],1,1):PaymentSchedule33[[#This Row],[Principal]]),"")</f>
        <v>108478.43620764778</v>
      </c>
      <c r="M195" s="25">
        <f ca="1">PaymentSchedule3[[#This Row],[Total
Payment]]-PaymentSchedule33[[#This Row],[Total
Payment]]</f>
        <v>427.19889995542212</v>
      </c>
      <c r="N195" s="25">
        <f ca="1">PaymentSchedule3[[#This Row],[Interest]]-PaymentSchedule33[[#This Row],[Interest]]</f>
        <v>494.17175168650158</v>
      </c>
      <c r="O195" s="25">
        <f ca="1">PaymentSchedule3[[#This Row],[Cumulative
Interest]]-PaymentSchedule33[[#This Row],[Cumulative
Interest]]</f>
        <v>98283.890282668901</v>
      </c>
    </row>
    <row r="196" spans="2:15" x14ac:dyDescent="0.25">
      <c r="B196" s="23">
        <f ca="1">IF(LoanIsGood,IF(ROW()-ROW(PaymentSchedule33[[#Headers],[Payment Number]])&gt;ScheduledNumberOfPayments,"",ROW()-ROW(PaymentSchedule33[[#Headers],[Payment Number]])),"")</f>
        <v>183</v>
      </c>
      <c r="C196" s="24">
        <f ca="1">IF(PaymentSchedule33[[#This Row],[Payment Number]]&lt;&gt;"",EOMONTH(LoanStartDate,ROW(PaymentSchedule33[[#This Row],[Payment Number]])-ROW(PaymentSchedule33[[#Headers],[Payment Number]])-2)+DAY(LoanStartDate),"")</f>
        <v>51006</v>
      </c>
      <c r="D196" s="25">
        <f ca="1">IF(PaymentSchedule33[[#This Row],[Payment Number]]&lt;&gt;"",IF(ROW()-ROW(PaymentSchedule33[[#Headers],[Beginning
Balance]])=1,LoanAmount,INDEX(PaymentSchedule33[Ending
Balance],ROW()-ROW(PaymentSchedule33[[#Headers],[Beginning
Balance]])-1)),"")</f>
        <v>224021.56379235201</v>
      </c>
      <c r="E196" s="25">
        <f ca="1">IF(PaymentSchedule33[[#This Row],[Payment Number]]&lt;&gt;"",ScheduledPayment,"")</f>
        <v>1784.9318965153623</v>
      </c>
      <c r="F19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6" s="25">
        <f ca="1">IF(PaymentSchedule33[[#This Row],[Payment Number]]&lt;&gt;"",PaymentSchedule33[[#This Row],[Total
Payment]]-PaymentSchedule33[[#This Row],[Interest]],"")</f>
        <v>851.50871404722886</v>
      </c>
      <c r="I196" s="25">
        <f ca="1">IF(PaymentSchedule33[[#This Row],[Payment Number]]&lt;&gt;"",PaymentSchedule33[[#This Row],[Beginning
Balance]]*(InterestRate/PaymentsPerYear),"")</f>
        <v>933.4231824681334</v>
      </c>
      <c r="J196" s="25">
        <f ca="1">IF(PaymentSchedule33[[#This Row],[Payment Number]]&lt;&gt;"",IF(PaymentSchedule33[[#This Row],[Scheduled Payment]]+PaymentSchedule33[[#This Row],[Extra
Payment]]&lt;=PaymentSchedule33[[#This Row],[Beginning
Balance]],PaymentSchedule33[[#This Row],[Beginning
Balance]]-PaymentSchedule33[[#This Row],[Principal]],0),"")</f>
        <v>223170.05507830478</v>
      </c>
      <c r="K196" s="25">
        <f ca="1">IF(PaymentSchedule33[[#This Row],[Payment Number]]&lt;&gt;"",SUM(INDEX(PaymentSchedule33[Interest],1,1):PaymentSchedule33[[#This Row],[Interest]]),"")</f>
        <v>217312.59214061644</v>
      </c>
      <c r="L196" s="25">
        <f ca="1">IF(PaymentSchedule33[[#This Row],[Payment Number]]&lt;&gt;"",SUM(INDEX(PaymentSchedule33[Principal],1,1):PaymentSchedule33[[#This Row],[Principal]]),"")</f>
        <v>109329.94492169502</v>
      </c>
      <c r="M196" s="25">
        <f ca="1">PaymentSchedule3[[#This Row],[Total
Payment]]-PaymentSchedule33[[#This Row],[Total
Payment]]</f>
        <v>427.19889995542212</v>
      </c>
      <c r="N196" s="25">
        <f ca="1">PaymentSchedule3[[#This Row],[Interest]]-PaymentSchedule33[[#This Row],[Interest]]</f>
        <v>493.14913418348522</v>
      </c>
      <c r="O196" s="25">
        <f ca="1">PaymentSchedule3[[#This Row],[Cumulative
Interest]]-PaymentSchedule33[[#This Row],[Cumulative
Interest]]</f>
        <v>98777.039416852407</v>
      </c>
    </row>
    <row r="197" spans="2:15" x14ac:dyDescent="0.25">
      <c r="B197" s="23">
        <f ca="1">IF(LoanIsGood,IF(ROW()-ROW(PaymentSchedule33[[#Headers],[Payment Number]])&gt;ScheduledNumberOfPayments,"",ROW()-ROW(PaymentSchedule33[[#Headers],[Payment Number]])),"")</f>
        <v>184</v>
      </c>
      <c r="C197" s="24">
        <f ca="1">IF(PaymentSchedule33[[#This Row],[Payment Number]]&lt;&gt;"",EOMONTH(LoanStartDate,ROW(PaymentSchedule33[[#This Row],[Payment Number]])-ROW(PaymentSchedule33[[#Headers],[Payment Number]])-2)+DAY(LoanStartDate),"")</f>
        <v>51037</v>
      </c>
      <c r="D197" s="25">
        <f ca="1">IF(PaymentSchedule33[[#This Row],[Payment Number]]&lt;&gt;"",IF(ROW()-ROW(PaymentSchedule33[[#Headers],[Beginning
Balance]])=1,LoanAmount,INDEX(PaymentSchedule33[Ending
Balance],ROW()-ROW(PaymentSchedule33[[#Headers],[Beginning
Balance]])-1)),"")</f>
        <v>223170.05507830478</v>
      </c>
      <c r="E197" s="25">
        <f ca="1">IF(PaymentSchedule33[[#This Row],[Payment Number]]&lt;&gt;"",ScheduledPayment,"")</f>
        <v>1784.9318965153623</v>
      </c>
      <c r="F19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7" s="25">
        <f ca="1">IF(PaymentSchedule33[[#This Row],[Payment Number]]&lt;&gt;"",PaymentSchedule33[[#This Row],[Total
Payment]]-PaymentSchedule33[[#This Row],[Interest]],"")</f>
        <v>855.0566670224257</v>
      </c>
      <c r="I197" s="25">
        <f ca="1">IF(PaymentSchedule33[[#This Row],[Payment Number]]&lt;&gt;"",PaymentSchedule33[[#This Row],[Beginning
Balance]]*(InterestRate/PaymentsPerYear),"")</f>
        <v>929.87522949293657</v>
      </c>
      <c r="J197" s="25">
        <f ca="1">IF(PaymentSchedule33[[#This Row],[Payment Number]]&lt;&gt;"",IF(PaymentSchedule33[[#This Row],[Scheduled Payment]]+PaymentSchedule33[[#This Row],[Extra
Payment]]&lt;=PaymentSchedule33[[#This Row],[Beginning
Balance]],PaymentSchedule33[[#This Row],[Beginning
Balance]]-PaymentSchedule33[[#This Row],[Principal]],0),"")</f>
        <v>222314.99841128234</v>
      </c>
      <c r="K197" s="25">
        <f ca="1">IF(PaymentSchedule33[[#This Row],[Payment Number]]&lt;&gt;"",SUM(INDEX(PaymentSchedule33[Interest],1,1):PaymentSchedule33[[#This Row],[Interest]]),"")</f>
        <v>218242.46737010937</v>
      </c>
      <c r="L197" s="25">
        <f ca="1">IF(PaymentSchedule33[[#This Row],[Payment Number]]&lt;&gt;"",SUM(INDEX(PaymentSchedule33[Principal],1,1):PaymentSchedule33[[#This Row],[Principal]]),"")</f>
        <v>110185.00158871744</v>
      </c>
      <c r="M197" s="25">
        <f ca="1">PaymentSchedule3[[#This Row],[Total
Payment]]-PaymentSchedule33[[#This Row],[Total
Payment]]</f>
        <v>427.19889995542212</v>
      </c>
      <c r="N197" s="25">
        <f ca="1">PaymentSchedule3[[#This Row],[Interest]]-PaymentSchedule33[[#This Row],[Interest]]</f>
        <v>492.11466269307039</v>
      </c>
      <c r="O197" s="25">
        <f ca="1">PaymentSchedule3[[#This Row],[Cumulative
Interest]]-PaymentSchedule33[[#This Row],[Cumulative
Interest]]</f>
        <v>99269.154079545493</v>
      </c>
    </row>
    <row r="198" spans="2:15" x14ac:dyDescent="0.25">
      <c r="B198" s="23">
        <f ca="1">IF(LoanIsGood,IF(ROW()-ROW(PaymentSchedule33[[#Headers],[Payment Number]])&gt;ScheduledNumberOfPayments,"",ROW()-ROW(PaymentSchedule33[[#Headers],[Payment Number]])),"")</f>
        <v>185</v>
      </c>
      <c r="C198" s="24">
        <f ca="1">IF(PaymentSchedule33[[#This Row],[Payment Number]]&lt;&gt;"",EOMONTH(LoanStartDate,ROW(PaymentSchedule33[[#This Row],[Payment Number]])-ROW(PaymentSchedule33[[#Headers],[Payment Number]])-2)+DAY(LoanStartDate),"")</f>
        <v>51067</v>
      </c>
      <c r="D198" s="25">
        <f ca="1">IF(PaymentSchedule33[[#This Row],[Payment Number]]&lt;&gt;"",IF(ROW()-ROW(PaymentSchedule33[[#Headers],[Beginning
Balance]])=1,LoanAmount,INDEX(PaymentSchedule33[Ending
Balance],ROW()-ROW(PaymentSchedule33[[#Headers],[Beginning
Balance]])-1)),"")</f>
        <v>222314.99841128234</v>
      </c>
      <c r="E198" s="25">
        <f ca="1">IF(PaymentSchedule33[[#This Row],[Payment Number]]&lt;&gt;"",ScheduledPayment,"")</f>
        <v>1784.9318965153623</v>
      </c>
      <c r="F19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8" s="25">
        <f ca="1">IF(PaymentSchedule33[[#This Row],[Payment Number]]&lt;&gt;"",PaymentSchedule33[[#This Row],[Total
Payment]]-PaymentSchedule33[[#This Row],[Interest]],"")</f>
        <v>858.61940313501918</v>
      </c>
      <c r="I198" s="25">
        <f ca="1">IF(PaymentSchedule33[[#This Row],[Payment Number]]&lt;&gt;"",PaymentSchedule33[[#This Row],[Beginning
Balance]]*(InterestRate/PaymentsPerYear),"")</f>
        <v>926.31249338034308</v>
      </c>
      <c r="J198" s="25">
        <f ca="1">IF(PaymentSchedule33[[#This Row],[Payment Number]]&lt;&gt;"",IF(PaymentSchedule33[[#This Row],[Scheduled Payment]]+PaymentSchedule33[[#This Row],[Extra
Payment]]&lt;=PaymentSchedule33[[#This Row],[Beginning
Balance]],PaymentSchedule33[[#This Row],[Beginning
Balance]]-PaymentSchedule33[[#This Row],[Principal]],0),"")</f>
        <v>221456.37900814731</v>
      </c>
      <c r="K198" s="25">
        <f ca="1">IF(PaymentSchedule33[[#This Row],[Payment Number]]&lt;&gt;"",SUM(INDEX(PaymentSchedule33[Interest],1,1):PaymentSchedule33[[#This Row],[Interest]]),"")</f>
        <v>219168.7798634897</v>
      </c>
      <c r="L198" s="25">
        <f ca="1">IF(PaymentSchedule33[[#This Row],[Payment Number]]&lt;&gt;"",SUM(INDEX(PaymentSchedule33[Principal],1,1):PaymentSchedule33[[#This Row],[Principal]]),"")</f>
        <v>111043.62099185245</v>
      </c>
      <c r="M198" s="25">
        <f ca="1">PaymentSchedule3[[#This Row],[Total
Payment]]-PaymentSchedule33[[#This Row],[Total
Payment]]</f>
        <v>427.19889995542212</v>
      </c>
      <c r="N198" s="25">
        <f ca="1">PaymentSchedule3[[#This Row],[Interest]]-PaymentSchedule33[[#This Row],[Interest]]</f>
        <v>491.06824353066941</v>
      </c>
      <c r="O198" s="25">
        <f ca="1">PaymentSchedule3[[#This Row],[Cumulative
Interest]]-PaymentSchedule33[[#This Row],[Cumulative
Interest]]</f>
        <v>99760.222323076188</v>
      </c>
    </row>
    <row r="199" spans="2:15" x14ac:dyDescent="0.25">
      <c r="B199" s="23">
        <f ca="1">IF(LoanIsGood,IF(ROW()-ROW(PaymentSchedule33[[#Headers],[Payment Number]])&gt;ScheduledNumberOfPayments,"",ROW()-ROW(PaymentSchedule33[[#Headers],[Payment Number]])),"")</f>
        <v>186</v>
      </c>
      <c r="C199" s="24">
        <f ca="1">IF(PaymentSchedule33[[#This Row],[Payment Number]]&lt;&gt;"",EOMONTH(LoanStartDate,ROW(PaymentSchedule33[[#This Row],[Payment Number]])-ROW(PaymentSchedule33[[#Headers],[Payment Number]])-2)+DAY(LoanStartDate),"")</f>
        <v>51098</v>
      </c>
      <c r="D199" s="25">
        <f ca="1">IF(PaymentSchedule33[[#This Row],[Payment Number]]&lt;&gt;"",IF(ROW()-ROW(PaymentSchedule33[[#Headers],[Beginning
Balance]])=1,LoanAmount,INDEX(PaymentSchedule33[Ending
Balance],ROW()-ROW(PaymentSchedule33[[#Headers],[Beginning
Balance]])-1)),"")</f>
        <v>221456.37900814731</v>
      </c>
      <c r="E199" s="25">
        <f ca="1">IF(PaymentSchedule33[[#This Row],[Payment Number]]&lt;&gt;"",ScheduledPayment,"")</f>
        <v>1784.9318965153623</v>
      </c>
      <c r="F19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19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199" s="25">
        <f ca="1">IF(PaymentSchedule33[[#This Row],[Payment Number]]&lt;&gt;"",PaymentSchedule33[[#This Row],[Total
Payment]]-PaymentSchedule33[[#This Row],[Interest]],"")</f>
        <v>862.1969839814152</v>
      </c>
      <c r="I199" s="25">
        <f ca="1">IF(PaymentSchedule33[[#This Row],[Payment Number]]&lt;&gt;"",PaymentSchedule33[[#This Row],[Beginning
Balance]]*(InterestRate/PaymentsPerYear),"")</f>
        <v>922.73491253394707</v>
      </c>
      <c r="J199" s="25">
        <f ca="1">IF(PaymentSchedule33[[#This Row],[Payment Number]]&lt;&gt;"",IF(PaymentSchedule33[[#This Row],[Scheduled Payment]]+PaymentSchedule33[[#This Row],[Extra
Payment]]&lt;=PaymentSchedule33[[#This Row],[Beginning
Balance]],PaymentSchedule33[[#This Row],[Beginning
Balance]]-PaymentSchedule33[[#This Row],[Principal]],0),"")</f>
        <v>220594.1820241659</v>
      </c>
      <c r="K199" s="25">
        <f ca="1">IF(PaymentSchedule33[[#This Row],[Payment Number]]&lt;&gt;"",SUM(INDEX(PaymentSchedule33[Interest],1,1):PaymentSchedule33[[#This Row],[Interest]]),"")</f>
        <v>220091.51477602366</v>
      </c>
      <c r="L199" s="25">
        <f ca="1">IF(PaymentSchedule33[[#This Row],[Payment Number]]&lt;&gt;"",SUM(INDEX(PaymentSchedule33[Principal],1,1):PaymentSchedule33[[#This Row],[Principal]]),"")</f>
        <v>111905.81797583387</v>
      </c>
      <c r="M199" s="25">
        <f ca="1">PaymentSchedule3[[#This Row],[Total
Payment]]-PaymentSchedule33[[#This Row],[Total
Payment]]</f>
        <v>427.19889995542212</v>
      </c>
      <c r="N199" s="25">
        <f ca="1">PaymentSchedule3[[#This Row],[Interest]]-PaymentSchedule33[[#This Row],[Interest]]</f>
        <v>490.00978236296658</v>
      </c>
      <c r="O199" s="25">
        <f ca="1">PaymentSchedule3[[#This Row],[Cumulative
Interest]]-PaymentSchedule33[[#This Row],[Cumulative
Interest]]</f>
        <v>100250.23210543915</v>
      </c>
    </row>
    <row r="200" spans="2:15" x14ac:dyDescent="0.25">
      <c r="B200" s="23">
        <f ca="1">IF(LoanIsGood,IF(ROW()-ROW(PaymentSchedule33[[#Headers],[Payment Number]])&gt;ScheduledNumberOfPayments,"",ROW()-ROW(PaymentSchedule33[[#Headers],[Payment Number]])),"")</f>
        <v>187</v>
      </c>
      <c r="C200" s="24">
        <f ca="1">IF(PaymentSchedule33[[#This Row],[Payment Number]]&lt;&gt;"",EOMONTH(LoanStartDate,ROW(PaymentSchedule33[[#This Row],[Payment Number]])-ROW(PaymentSchedule33[[#Headers],[Payment Number]])-2)+DAY(LoanStartDate),"")</f>
        <v>51128</v>
      </c>
      <c r="D200" s="25">
        <f ca="1">IF(PaymentSchedule33[[#This Row],[Payment Number]]&lt;&gt;"",IF(ROW()-ROW(PaymentSchedule33[[#Headers],[Beginning
Balance]])=1,LoanAmount,INDEX(PaymentSchedule33[Ending
Balance],ROW()-ROW(PaymentSchedule33[[#Headers],[Beginning
Balance]])-1)),"")</f>
        <v>220594.1820241659</v>
      </c>
      <c r="E200" s="25">
        <f ca="1">IF(PaymentSchedule33[[#This Row],[Payment Number]]&lt;&gt;"",ScheduledPayment,"")</f>
        <v>1784.9318965153623</v>
      </c>
      <c r="F20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0" s="25">
        <f ca="1">IF(PaymentSchedule33[[#This Row],[Payment Number]]&lt;&gt;"",PaymentSchedule33[[#This Row],[Total
Payment]]-PaymentSchedule33[[#This Row],[Interest]],"")</f>
        <v>865.78947141467108</v>
      </c>
      <c r="I200" s="25">
        <f ca="1">IF(PaymentSchedule33[[#This Row],[Payment Number]]&lt;&gt;"",PaymentSchedule33[[#This Row],[Beginning
Balance]]*(InterestRate/PaymentsPerYear),"")</f>
        <v>919.14242510069118</v>
      </c>
      <c r="J200" s="25">
        <f ca="1">IF(PaymentSchedule33[[#This Row],[Payment Number]]&lt;&gt;"",IF(PaymentSchedule33[[#This Row],[Scheduled Payment]]+PaymentSchedule33[[#This Row],[Extra
Payment]]&lt;=PaymentSchedule33[[#This Row],[Beginning
Balance]],PaymentSchedule33[[#This Row],[Beginning
Balance]]-PaymentSchedule33[[#This Row],[Principal]],0),"")</f>
        <v>219728.39255275123</v>
      </c>
      <c r="K200" s="25">
        <f ca="1">IF(PaymentSchedule33[[#This Row],[Payment Number]]&lt;&gt;"",SUM(INDEX(PaymentSchedule33[Interest],1,1):PaymentSchedule33[[#This Row],[Interest]]),"")</f>
        <v>221010.65720112436</v>
      </c>
      <c r="L200" s="25">
        <f ca="1">IF(PaymentSchedule33[[#This Row],[Payment Number]]&lt;&gt;"",SUM(INDEX(PaymentSchedule33[Principal],1,1):PaymentSchedule33[[#This Row],[Principal]]),"")</f>
        <v>112771.60744724853</v>
      </c>
      <c r="M200" s="25">
        <f ca="1">PaymentSchedule3[[#This Row],[Total
Payment]]-PaymentSchedule33[[#This Row],[Total
Payment]]</f>
        <v>427.19889995542212</v>
      </c>
      <c r="N200" s="25">
        <f ca="1">PaymentSchedule3[[#This Row],[Interest]]-PaymentSchedule33[[#This Row],[Interest]]</f>
        <v>488.93918420370835</v>
      </c>
      <c r="O200" s="25">
        <f ca="1">PaymentSchedule3[[#This Row],[Cumulative
Interest]]-PaymentSchedule33[[#This Row],[Cumulative
Interest]]</f>
        <v>100739.17128964287</v>
      </c>
    </row>
    <row r="201" spans="2:15" x14ac:dyDescent="0.25">
      <c r="B201" s="23">
        <f ca="1">IF(LoanIsGood,IF(ROW()-ROW(PaymentSchedule33[[#Headers],[Payment Number]])&gt;ScheduledNumberOfPayments,"",ROW()-ROW(PaymentSchedule33[[#Headers],[Payment Number]])),"")</f>
        <v>188</v>
      </c>
      <c r="C201" s="24">
        <f ca="1">IF(PaymentSchedule33[[#This Row],[Payment Number]]&lt;&gt;"",EOMONTH(LoanStartDate,ROW(PaymentSchedule33[[#This Row],[Payment Number]])-ROW(PaymentSchedule33[[#Headers],[Payment Number]])-2)+DAY(LoanStartDate),"")</f>
        <v>51159</v>
      </c>
      <c r="D201" s="25">
        <f ca="1">IF(PaymentSchedule33[[#This Row],[Payment Number]]&lt;&gt;"",IF(ROW()-ROW(PaymentSchedule33[[#Headers],[Beginning
Balance]])=1,LoanAmount,INDEX(PaymentSchedule33[Ending
Balance],ROW()-ROW(PaymentSchedule33[[#Headers],[Beginning
Balance]])-1)),"")</f>
        <v>219728.39255275123</v>
      </c>
      <c r="E201" s="25">
        <f ca="1">IF(PaymentSchedule33[[#This Row],[Payment Number]]&lt;&gt;"",ScheduledPayment,"")</f>
        <v>1784.9318965153623</v>
      </c>
      <c r="F20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1" s="25">
        <f ca="1">IF(PaymentSchedule33[[#This Row],[Payment Number]]&lt;&gt;"",PaymentSchedule33[[#This Row],[Total
Payment]]-PaymentSchedule33[[#This Row],[Interest]],"")</f>
        <v>869.39692754556552</v>
      </c>
      <c r="I201" s="25">
        <f ca="1">IF(PaymentSchedule33[[#This Row],[Payment Number]]&lt;&gt;"",PaymentSchedule33[[#This Row],[Beginning
Balance]]*(InterestRate/PaymentsPerYear),"")</f>
        <v>915.53496896979675</v>
      </c>
      <c r="J201" s="25">
        <f ca="1">IF(PaymentSchedule33[[#This Row],[Payment Number]]&lt;&gt;"",IF(PaymentSchedule33[[#This Row],[Scheduled Payment]]+PaymentSchedule33[[#This Row],[Extra
Payment]]&lt;=PaymentSchedule33[[#This Row],[Beginning
Balance]],PaymentSchedule33[[#This Row],[Beginning
Balance]]-PaymentSchedule33[[#This Row],[Principal]],0),"")</f>
        <v>218858.99562520566</v>
      </c>
      <c r="K201" s="25">
        <f ca="1">IF(PaymentSchedule33[[#This Row],[Payment Number]]&lt;&gt;"",SUM(INDEX(PaymentSchedule33[Interest],1,1):PaymentSchedule33[[#This Row],[Interest]]),"")</f>
        <v>221926.19217009415</v>
      </c>
      <c r="L201" s="25">
        <f ca="1">IF(PaymentSchedule33[[#This Row],[Payment Number]]&lt;&gt;"",SUM(INDEX(PaymentSchedule33[Principal],1,1):PaymentSchedule33[[#This Row],[Principal]]),"")</f>
        <v>113641.00437479409</v>
      </c>
      <c r="M201" s="25">
        <f ca="1">PaymentSchedule3[[#This Row],[Total
Payment]]-PaymentSchedule33[[#This Row],[Total
Payment]]</f>
        <v>427.19889995542212</v>
      </c>
      <c r="N201" s="25">
        <f ca="1">PaymentSchedule3[[#This Row],[Interest]]-PaymentSchedule33[[#This Row],[Interest]]</f>
        <v>487.85635340946544</v>
      </c>
      <c r="O201" s="25">
        <f ca="1">PaymentSchedule3[[#This Row],[Cumulative
Interest]]-PaymentSchedule33[[#This Row],[Cumulative
Interest]]</f>
        <v>101227.02764305231</v>
      </c>
    </row>
    <row r="202" spans="2:15" x14ac:dyDescent="0.25">
      <c r="B202" s="23">
        <f ca="1">IF(LoanIsGood,IF(ROW()-ROW(PaymentSchedule33[[#Headers],[Payment Number]])&gt;ScheduledNumberOfPayments,"",ROW()-ROW(PaymentSchedule33[[#Headers],[Payment Number]])),"")</f>
        <v>189</v>
      </c>
      <c r="C202" s="24">
        <f ca="1">IF(PaymentSchedule33[[#This Row],[Payment Number]]&lt;&gt;"",EOMONTH(LoanStartDate,ROW(PaymentSchedule33[[#This Row],[Payment Number]])-ROW(PaymentSchedule33[[#Headers],[Payment Number]])-2)+DAY(LoanStartDate),"")</f>
        <v>51190</v>
      </c>
      <c r="D202" s="25">
        <f ca="1">IF(PaymentSchedule33[[#This Row],[Payment Number]]&lt;&gt;"",IF(ROW()-ROW(PaymentSchedule33[[#Headers],[Beginning
Balance]])=1,LoanAmount,INDEX(PaymentSchedule33[Ending
Balance],ROW()-ROW(PaymentSchedule33[[#Headers],[Beginning
Balance]])-1)),"")</f>
        <v>218858.99562520566</v>
      </c>
      <c r="E202" s="25">
        <f ca="1">IF(PaymentSchedule33[[#This Row],[Payment Number]]&lt;&gt;"",ScheduledPayment,"")</f>
        <v>1784.9318965153623</v>
      </c>
      <c r="F20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2" s="25">
        <f ca="1">IF(PaymentSchedule33[[#This Row],[Payment Number]]&lt;&gt;"",PaymentSchedule33[[#This Row],[Total
Payment]]-PaymentSchedule33[[#This Row],[Interest]],"")</f>
        <v>873.01941474367209</v>
      </c>
      <c r="I202" s="25">
        <f ca="1">IF(PaymentSchedule33[[#This Row],[Payment Number]]&lt;&gt;"",PaymentSchedule33[[#This Row],[Beginning
Balance]]*(InterestRate/PaymentsPerYear),"")</f>
        <v>911.91248177169018</v>
      </c>
      <c r="J202" s="25">
        <f ca="1">IF(PaymentSchedule33[[#This Row],[Payment Number]]&lt;&gt;"",IF(PaymentSchedule33[[#This Row],[Scheduled Payment]]+PaymentSchedule33[[#This Row],[Extra
Payment]]&lt;=PaymentSchedule33[[#This Row],[Beginning
Balance]],PaymentSchedule33[[#This Row],[Beginning
Balance]]-PaymentSchedule33[[#This Row],[Principal]],0),"")</f>
        <v>217985.97621046199</v>
      </c>
      <c r="K202" s="25">
        <f ca="1">IF(PaymentSchedule33[[#This Row],[Payment Number]]&lt;&gt;"",SUM(INDEX(PaymentSchedule33[Interest],1,1):PaymentSchedule33[[#This Row],[Interest]]),"")</f>
        <v>222838.10465186584</v>
      </c>
      <c r="L202" s="25">
        <f ca="1">IF(PaymentSchedule33[[#This Row],[Payment Number]]&lt;&gt;"",SUM(INDEX(PaymentSchedule33[Principal],1,1):PaymentSchedule33[[#This Row],[Principal]]),"")</f>
        <v>114514.02378953776</v>
      </c>
      <c r="M202" s="25">
        <f ca="1">PaymentSchedule3[[#This Row],[Total
Payment]]-PaymentSchedule33[[#This Row],[Total
Payment]]</f>
        <v>427.19889995542212</v>
      </c>
      <c r="N202" s="25">
        <f ca="1">PaymentSchedule3[[#This Row],[Interest]]-PaymentSchedule33[[#This Row],[Interest]]</f>
        <v>486.76119367537149</v>
      </c>
      <c r="O202" s="25">
        <f ca="1">PaymentSchedule3[[#This Row],[Cumulative
Interest]]-PaymentSchedule33[[#This Row],[Cumulative
Interest]]</f>
        <v>101713.78883672768</v>
      </c>
    </row>
    <row r="203" spans="2:15" x14ac:dyDescent="0.25">
      <c r="B203" s="23">
        <f ca="1">IF(LoanIsGood,IF(ROW()-ROW(PaymentSchedule33[[#Headers],[Payment Number]])&gt;ScheduledNumberOfPayments,"",ROW()-ROW(PaymentSchedule33[[#Headers],[Payment Number]])),"")</f>
        <v>190</v>
      </c>
      <c r="C203" s="24">
        <f ca="1">IF(PaymentSchedule33[[#This Row],[Payment Number]]&lt;&gt;"",EOMONTH(LoanStartDate,ROW(PaymentSchedule33[[#This Row],[Payment Number]])-ROW(PaymentSchedule33[[#Headers],[Payment Number]])-2)+DAY(LoanStartDate),"")</f>
        <v>51219</v>
      </c>
      <c r="D203" s="25">
        <f ca="1">IF(PaymentSchedule33[[#This Row],[Payment Number]]&lt;&gt;"",IF(ROW()-ROW(PaymentSchedule33[[#Headers],[Beginning
Balance]])=1,LoanAmount,INDEX(PaymentSchedule33[Ending
Balance],ROW()-ROW(PaymentSchedule33[[#Headers],[Beginning
Balance]])-1)),"")</f>
        <v>217985.97621046199</v>
      </c>
      <c r="E203" s="25">
        <f ca="1">IF(PaymentSchedule33[[#This Row],[Payment Number]]&lt;&gt;"",ScheduledPayment,"")</f>
        <v>1784.9318965153623</v>
      </c>
      <c r="F20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3" s="25">
        <f ca="1">IF(PaymentSchedule33[[#This Row],[Payment Number]]&lt;&gt;"",PaymentSchedule33[[#This Row],[Total
Payment]]-PaymentSchedule33[[#This Row],[Interest]],"")</f>
        <v>876.65699563843737</v>
      </c>
      <c r="I203" s="25">
        <f ca="1">IF(PaymentSchedule33[[#This Row],[Payment Number]]&lt;&gt;"",PaymentSchedule33[[#This Row],[Beginning
Balance]]*(InterestRate/PaymentsPerYear),"")</f>
        <v>908.2749008769249</v>
      </c>
      <c r="J203" s="25">
        <f ca="1">IF(PaymentSchedule33[[#This Row],[Payment Number]]&lt;&gt;"",IF(PaymentSchedule33[[#This Row],[Scheduled Payment]]+PaymentSchedule33[[#This Row],[Extra
Payment]]&lt;=PaymentSchedule33[[#This Row],[Beginning
Balance]],PaymentSchedule33[[#This Row],[Beginning
Balance]]-PaymentSchedule33[[#This Row],[Principal]],0),"")</f>
        <v>217109.31921482354</v>
      </c>
      <c r="K203" s="25">
        <f ca="1">IF(PaymentSchedule33[[#This Row],[Payment Number]]&lt;&gt;"",SUM(INDEX(PaymentSchedule33[Interest],1,1):PaymentSchedule33[[#This Row],[Interest]]),"")</f>
        <v>223746.37955274276</v>
      </c>
      <c r="L203" s="25">
        <f ca="1">IF(PaymentSchedule33[[#This Row],[Payment Number]]&lt;&gt;"",SUM(INDEX(PaymentSchedule33[Principal],1,1):PaymentSchedule33[[#This Row],[Principal]]),"")</f>
        <v>115390.6807851762</v>
      </c>
      <c r="M203" s="25">
        <f ca="1">PaymentSchedule3[[#This Row],[Total
Payment]]-PaymentSchedule33[[#This Row],[Total
Payment]]</f>
        <v>427.19889995542212</v>
      </c>
      <c r="N203" s="25">
        <f ca="1">PaymentSchedule3[[#This Row],[Interest]]-PaymentSchedule33[[#This Row],[Interest]]</f>
        <v>485.65360803083149</v>
      </c>
      <c r="O203" s="25">
        <f ca="1">PaymentSchedule3[[#This Row],[Cumulative
Interest]]-PaymentSchedule33[[#This Row],[Cumulative
Interest]]</f>
        <v>102199.44244475849</v>
      </c>
    </row>
    <row r="204" spans="2:15" x14ac:dyDescent="0.25">
      <c r="B204" s="23">
        <f ca="1">IF(LoanIsGood,IF(ROW()-ROW(PaymentSchedule33[[#Headers],[Payment Number]])&gt;ScheduledNumberOfPayments,"",ROW()-ROW(PaymentSchedule33[[#Headers],[Payment Number]])),"")</f>
        <v>191</v>
      </c>
      <c r="C204" s="24">
        <f ca="1">IF(PaymentSchedule33[[#This Row],[Payment Number]]&lt;&gt;"",EOMONTH(LoanStartDate,ROW(PaymentSchedule33[[#This Row],[Payment Number]])-ROW(PaymentSchedule33[[#Headers],[Payment Number]])-2)+DAY(LoanStartDate),"")</f>
        <v>51250</v>
      </c>
      <c r="D204" s="25">
        <f ca="1">IF(PaymentSchedule33[[#This Row],[Payment Number]]&lt;&gt;"",IF(ROW()-ROW(PaymentSchedule33[[#Headers],[Beginning
Balance]])=1,LoanAmount,INDEX(PaymentSchedule33[Ending
Balance],ROW()-ROW(PaymentSchedule33[[#Headers],[Beginning
Balance]])-1)),"")</f>
        <v>217109.31921482354</v>
      </c>
      <c r="E204" s="25">
        <f ca="1">IF(PaymentSchedule33[[#This Row],[Payment Number]]&lt;&gt;"",ScheduledPayment,"")</f>
        <v>1784.9318965153623</v>
      </c>
      <c r="F20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4" s="25">
        <f ca="1">IF(PaymentSchedule33[[#This Row],[Payment Number]]&lt;&gt;"",PaymentSchedule33[[#This Row],[Total
Payment]]-PaymentSchedule33[[#This Row],[Interest]],"")</f>
        <v>880.30973312026424</v>
      </c>
      <c r="I204" s="25">
        <f ca="1">IF(PaymentSchedule33[[#This Row],[Payment Number]]&lt;&gt;"",PaymentSchedule33[[#This Row],[Beginning
Balance]]*(InterestRate/PaymentsPerYear),"")</f>
        <v>904.62216339509803</v>
      </c>
      <c r="J204" s="25">
        <f ca="1">IF(PaymentSchedule33[[#This Row],[Payment Number]]&lt;&gt;"",IF(PaymentSchedule33[[#This Row],[Scheduled Payment]]+PaymentSchedule33[[#This Row],[Extra
Payment]]&lt;=PaymentSchedule33[[#This Row],[Beginning
Balance]],PaymentSchedule33[[#This Row],[Beginning
Balance]]-PaymentSchedule33[[#This Row],[Principal]],0),"")</f>
        <v>216229.00948170328</v>
      </c>
      <c r="K204" s="25">
        <f ca="1">IF(PaymentSchedule33[[#This Row],[Payment Number]]&lt;&gt;"",SUM(INDEX(PaymentSchedule33[Interest],1,1):PaymentSchedule33[[#This Row],[Interest]]),"")</f>
        <v>224651.00171613786</v>
      </c>
      <c r="L204" s="25">
        <f ca="1">IF(PaymentSchedule33[[#This Row],[Payment Number]]&lt;&gt;"",SUM(INDEX(PaymentSchedule33[Principal],1,1):PaymentSchedule33[[#This Row],[Principal]]),"")</f>
        <v>116270.99051829646</v>
      </c>
      <c r="M204" s="25">
        <f ca="1">PaymentSchedule3[[#This Row],[Total
Payment]]-PaymentSchedule33[[#This Row],[Total
Payment]]</f>
        <v>427.19889995542212</v>
      </c>
      <c r="N204" s="25">
        <f ca="1">PaymentSchedule3[[#This Row],[Interest]]-PaymentSchedule33[[#This Row],[Interest]]</f>
        <v>484.53349883520752</v>
      </c>
      <c r="O204" s="25">
        <f ca="1">PaymentSchedule3[[#This Row],[Cumulative
Interest]]-PaymentSchedule33[[#This Row],[Cumulative
Interest]]</f>
        <v>102683.97594359372</v>
      </c>
    </row>
    <row r="205" spans="2:15" x14ac:dyDescent="0.25">
      <c r="B205" s="23">
        <f ca="1">IF(LoanIsGood,IF(ROW()-ROW(PaymentSchedule33[[#Headers],[Payment Number]])&gt;ScheduledNumberOfPayments,"",ROW()-ROW(PaymentSchedule33[[#Headers],[Payment Number]])),"")</f>
        <v>192</v>
      </c>
      <c r="C205" s="24">
        <f ca="1">IF(PaymentSchedule33[[#This Row],[Payment Number]]&lt;&gt;"",EOMONTH(LoanStartDate,ROW(PaymentSchedule33[[#This Row],[Payment Number]])-ROW(PaymentSchedule33[[#Headers],[Payment Number]])-2)+DAY(LoanStartDate),"")</f>
        <v>51280</v>
      </c>
      <c r="D205" s="25">
        <f ca="1">IF(PaymentSchedule33[[#This Row],[Payment Number]]&lt;&gt;"",IF(ROW()-ROW(PaymentSchedule33[[#Headers],[Beginning
Balance]])=1,LoanAmount,INDEX(PaymentSchedule33[Ending
Balance],ROW()-ROW(PaymentSchedule33[[#Headers],[Beginning
Balance]])-1)),"")</f>
        <v>216229.00948170328</v>
      </c>
      <c r="E205" s="25">
        <f ca="1">IF(PaymentSchedule33[[#This Row],[Payment Number]]&lt;&gt;"",ScheduledPayment,"")</f>
        <v>1784.9318965153623</v>
      </c>
      <c r="F20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5" s="25">
        <f ca="1">IF(PaymentSchedule33[[#This Row],[Payment Number]]&lt;&gt;"",PaymentSchedule33[[#This Row],[Total
Payment]]-PaymentSchedule33[[#This Row],[Interest]],"")</f>
        <v>883.97769034159865</v>
      </c>
      <c r="I205" s="25">
        <f ca="1">IF(PaymentSchedule33[[#This Row],[Payment Number]]&lt;&gt;"",PaymentSchedule33[[#This Row],[Beginning
Balance]]*(InterestRate/PaymentsPerYear),"")</f>
        <v>900.95420617376362</v>
      </c>
      <c r="J205" s="25">
        <f ca="1">IF(PaymentSchedule33[[#This Row],[Payment Number]]&lt;&gt;"",IF(PaymentSchedule33[[#This Row],[Scheduled Payment]]+PaymentSchedule33[[#This Row],[Extra
Payment]]&lt;=PaymentSchedule33[[#This Row],[Beginning
Balance]],PaymentSchedule33[[#This Row],[Beginning
Balance]]-PaymentSchedule33[[#This Row],[Principal]],0),"")</f>
        <v>215345.03179136169</v>
      </c>
      <c r="K205" s="25">
        <f ca="1">IF(PaymentSchedule33[[#This Row],[Payment Number]]&lt;&gt;"",SUM(INDEX(PaymentSchedule33[Interest],1,1):PaymentSchedule33[[#This Row],[Interest]]),"")</f>
        <v>225551.95592231164</v>
      </c>
      <c r="L205" s="25">
        <f ca="1">IF(PaymentSchedule33[[#This Row],[Payment Number]]&lt;&gt;"",SUM(INDEX(PaymentSchedule33[Principal],1,1):PaymentSchedule33[[#This Row],[Principal]]),"")</f>
        <v>117154.96820863805</v>
      </c>
      <c r="M205" s="25">
        <f ca="1">PaymentSchedule3[[#This Row],[Total
Payment]]-PaymentSchedule33[[#This Row],[Total
Payment]]</f>
        <v>427.19889995542212</v>
      </c>
      <c r="N205" s="25">
        <f ca="1">PaymentSchedule3[[#This Row],[Interest]]-PaymentSchedule33[[#This Row],[Interest]]</f>
        <v>483.40076777347235</v>
      </c>
      <c r="O205" s="25">
        <f ca="1">PaymentSchedule3[[#This Row],[Cumulative
Interest]]-PaymentSchedule33[[#This Row],[Cumulative
Interest]]</f>
        <v>103167.37671136716</v>
      </c>
    </row>
    <row r="206" spans="2:15" x14ac:dyDescent="0.25">
      <c r="B206" s="23">
        <f ca="1">IF(LoanIsGood,IF(ROW()-ROW(PaymentSchedule33[[#Headers],[Payment Number]])&gt;ScheduledNumberOfPayments,"",ROW()-ROW(PaymentSchedule33[[#Headers],[Payment Number]])),"")</f>
        <v>193</v>
      </c>
      <c r="C206" s="24">
        <f ca="1">IF(PaymentSchedule33[[#This Row],[Payment Number]]&lt;&gt;"",EOMONTH(LoanStartDate,ROW(PaymentSchedule33[[#This Row],[Payment Number]])-ROW(PaymentSchedule33[[#Headers],[Payment Number]])-2)+DAY(LoanStartDate),"")</f>
        <v>51311</v>
      </c>
      <c r="D206" s="25">
        <f ca="1">IF(PaymentSchedule33[[#This Row],[Payment Number]]&lt;&gt;"",IF(ROW()-ROW(PaymentSchedule33[[#Headers],[Beginning
Balance]])=1,LoanAmount,INDEX(PaymentSchedule33[Ending
Balance],ROW()-ROW(PaymentSchedule33[[#Headers],[Beginning
Balance]])-1)),"")</f>
        <v>215345.03179136169</v>
      </c>
      <c r="E206" s="25">
        <f ca="1">IF(PaymentSchedule33[[#This Row],[Payment Number]]&lt;&gt;"",ScheduledPayment,"")</f>
        <v>1784.9318965153623</v>
      </c>
      <c r="F20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6" s="25">
        <f ca="1">IF(PaymentSchedule33[[#This Row],[Payment Number]]&lt;&gt;"",PaymentSchedule33[[#This Row],[Total
Payment]]-PaymentSchedule33[[#This Row],[Interest]],"")</f>
        <v>887.66093071802186</v>
      </c>
      <c r="I206" s="25">
        <f ca="1">IF(PaymentSchedule33[[#This Row],[Payment Number]]&lt;&gt;"",PaymentSchedule33[[#This Row],[Beginning
Balance]]*(InterestRate/PaymentsPerYear),"")</f>
        <v>897.27096579734041</v>
      </c>
      <c r="J206" s="25">
        <f ca="1">IF(PaymentSchedule33[[#This Row],[Payment Number]]&lt;&gt;"",IF(PaymentSchedule33[[#This Row],[Scheduled Payment]]+PaymentSchedule33[[#This Row],[Extra
Payment]]&lt;=PaymentSchedule33[[#This Row],[Beginning
Balance]],PaymentSchedule33[[#This Row],[Beginning
Balance]]-PaymentSchedule33[[#This Row],[Principal]],0),"")</f>
        <v>214457.37086064366</v>
      </c>
      <c r="K206" s="25">
        <f ca="1">IF(PaymentSchedule33[[#This Row],[Payment Number]]&lt;&gt;"",SUM(INDEX(PaymentSchedule33[Interest],1,1):PaymentSchedule33[[#This Row],[Interest]]),"")</f>
        <v>226449.22688810897</v>
      </c>
      <c r="L206" s="25">
        <f ca="1">IF(PaymentSchedule33[[#This Row],[Payment Number]]&lt;&gt;"",SUM(INDEX(PaymentSchedule33[Principal],1,1):PaymentSchedule33[[#This Row],[Principal]]),"")</f>
        <v>118042.62913935607</v>
      </c>
      <c r="M206" s="25">
        <f ca="1">PaymentSchedule3[[#This Row],[Total
Payment]]-PaymentSchedule33[[#This Row],[Total
Payment]]</f>
        <v>427.19889995542212</v>
      </c>
      <c r="N206" s="25">
        <f ca="1">PaymentSchedule3[[#This Row],[Interest]]-PaymentSchedule33[[#This Row],[Interest]]</f>
        <v>482.2553158518416</v>
      </c>
      <c r="O206" s="25">
        <f ca="1">PaymentSchedule3[[#This Row],[Cumulative
Interest]]-PaymentSchedule33[[#This Row],[Cumulative
Interest]]</f>
        <v>103649.63202721902</v>
      </c>
    </row>
    <row r="207" spans="2:15" x14ac:dyDescent="0.25">
      <c r="B207" s="23">
        <f ca="1">IF(LoanIsGood,IF(ROW()-ROW(PaymentSchedule33[[#Headers],[Payment Number]])&gt;ScheduledNumberOfPayments,"",ROW()-ROW(PaymentSchedule33[[#Headers],[Payment Number]])),"")</f>
        <v>194</v>
      </c>
      <c r="C207" s="24">
        <f ca="1">IF(PaymentSchedule33[[#This Row],[Payment Number]]&lt;&gt;"",EOMONTH(LoanStartDate,ROW(PaymentSchedule33[[#This Row],[Payment Number]])-ROW(PaymentSchedule33[[#Headers],[Payment Number]])-2)+DAY(LoanStartDate),"")</f>
        <v>51341</v>
      </c>
      <c r="D207" s="25">
        <f ca="1">IF(PaymentSchedule33[[#This Row],[Payment Number]]&lt;&gt;"",IF(ROW()-ROW(PaymentSchedule33[[#Headers],[Beginning
Balance]])=1,LoanAmount,INDEX(PaymentSchedule33[Ending
Balance],ROW()-ROW(PaymentSchedule33[[#Headers],[Beginning
Balance]])-1)),"")</f>
        <v>214457.37086064366</v>
      </c>
      <c r="E207" s="25">
        <f ca="1">IF(PaymentSchedule33[[#This Row],[Payment Number]]&lt;&gt;"",ScheduledPayment,"")</f>
        <v>1784.9318965153623</v>
      </c>
      <c r="F20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7" s="25">
        <f ca="1">IF(PaymentSchedule33[[#This Row],[Payment Number]]&lt;&gt;"",PaymentSchedule33[[#This Row],[Total
Payment]]-PaymentSchedule33[[#This Row],[Interest]],"")</f>
        <v>891.35951792934702</v>
      </c>
      <c r="I207" s="25">
        <f ca="1">IF(PaymentSchedule33[[#This Row],[Payment Number]]&lt;&gt;"",PaymentSchedule33[[#This Row],[Beginning
Balance]]*(InterestRate/PaymentsPerYear),"")</f>
        <v>893.57237858601525</v>
      </c>
      <c r="J207" s="25">
        <f ca="1">IF(PaymentSchedule33[[#This Row],[Payment Number]]&lt;&gt;"",IF(PaymentSchedule33[[#This Row],[Scheduled Payment]]+PaymentSchedule33[[#This Row],[Extra
Payment]]&lt;=PaymentSchedule33[[#This Row],[Beginning
Balance]],PaymentSchedule33[[#This Row],[Beginning
Balance]]-PaymentSchedule33[[#This Row],[Principal]],0),"")</f>
        <v>213566.01134271431</v>
      </c>
      <c r="K207" s="25">
        <f ca="1">IF(PaymentSchedule33[[#This Row],[Payment Number]]&lt;&gt;"",SUM(INDEX(PaymentSchedule33[Interest],1,1):PaymentSchedule33[[#This Row],[Interest]]),"")</f>
        <v>227342.79926669499</v>
      </c>
      <c r="L207" s="25">
        <f ca="1">IF(PaymentSchedule33[[#This Row],[Payment Number]]&lt;&gt;"",SUM(INDEX(PaymentSchedule33[Principal],1,1):PaymentSchedule33[[#This Row],[Principal]]),"")</f>
        <v>118933.98865728542</v>
      </c>
      <c r="M207" s="25">
        <f ca="1">PaymentSchedule3[[#This Row],[Total
Payment]]-PaymentSchedule33[[#This Row],[Total
Payment]]</f>
        <v>427.19889995542212</v>
      </c>
      <c r="N207" s="25">
        <f ca="1">PaymentSchedule3[[#This Row],[Interest]]-PaymentSchedule33[[#This Row],[Interest]]</f>
        <v>481.09704339337395</v>
      </c>
      <c r="O207" s="25">
        <f ca="1">PaymentSchedule3[[#This Row],[Cumulative
Interest]]-PaymentSchedule33[[#This Row],[Cumulative
Interest]]</f>
        <v>104130.7290706124</v>
      </c>
    </row>
    <row r="208" spans="2:15" x14ac:dyDescent="0.25">
      <c r="B208" s="23">
        <f ca="1">IF(LoanIsGood,IF(ROW()-ROW(PaymentSchedule33[[#Headers],[Payment Number]])&gt;ScheduledNumberOfPayments,"",ROW()-ROW(PaymentSchedule33[[#Headers],[Payment Number]])),"")</f>
        <v>195</v>
      </c>
      <c r="C208" s="24">
        <f ca="1">IF(PaymentSchedule33[[#This Row],[Payment Number]]&lt;&gt;"",EOMONTH(LoanStartDate,ROW(PaymentSchedule33[[#This Row],[Payment Number]])-ROW(PaymentSchedule33[[#Headers],[Payment Number]])-2)+DAY(LoanStartDate),"")</f>
        <v>51372</v>
      </c>
      <c r="D208" s="25">
        <f ca="1">IF(PaymentSchedule33[[#This Row],[Payment Number]]&lt;&gt;"",IF(ROW()-ROW(PaymentSchedule33[[#Headers],[Beginning
Balance]])=1,LoanAmount,INDEX(PaymentSchedule33[Ending
Balance],ROW()-ROW(PaymentSchedule33[[#Headers],[Beginning
Balance]])-1)),"")</f>
        <v>213566.01134271431</v>
      </c>
      <c r="E208" s="25">
        <f ca="1">IF(PaymentSchedule33[[#This Row],[Payment Number]]&lt;&gt;"",ScheduledPayment,"")</f>
        <v>1784.9318965153623</v>
      </c>
      <c r="F20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8" s="25">
        <f ca="1">IF(PaymentSchedule33[[#This Row],[Payment Number]]&lt;&gt;"",PaymentSchedule33[[#This Row],[Total
Payment]]-PaymentSchedule33[[#This Row],[Interest]],"")</f>
        <v>895.07351592071939</v>
      </c>
      <c r="I208" s="25">
        <f ca="1">IF(PaymentSchedule33[[#This Row],[Payment Number]]&lt;&gt;"",PaymentSchedule33[[#This Row],[Beginning
Balance]]*(InterestRate/PaymentsPerYear),"")</f>
        <v>889.85838059464288</v>
      </c>
      <c r="J208" s="25">
        <f ca="1">IF(PaymentSchedule33[[#This Row],[Payment Number]]&lt;&gt;"",IF(PaymentSchedule33[[#This Row],[Scheduled Payment]]+PaymentSchedule33[[#This Row],[Extra
Payment]]&lt;=PaymentSchedule33[[#This Row],[Beginning
Balance]],PaymentSchedule33[[#This Row],[Beginning
Balance]]-PaymentSchedule33[[#This Row],[Principal]],0),"")</f>
        <v>212670.93782679358</v>
      </c>
      <c r="K208" s="25">
        <f ca="1">IF(PaymentSchedule33[[#This Row],[Payment Number]]&lt;&gt;"",SUM(INDEX(PaymentSchedule33[Interest],1,1):PaymentSchedule33[[#This Row],[Interest]]),"")</f>
        <v>228232.65764728963</v>
      </c>
      <c r="L208" s="25">
        <f ca="1">IF(PaymentSchedule33[[#This Row],[Payment Number]]&lt;&gt;"",SUM(INDEX(PaymentSchedule33[Principal],1,1):PaymentSchedule33[[#This Row],[Principal]]),"")</f>
        <v>119829.06217320614</v>
      </c>
      <c r="M208" s="25">
        <f ca="1">PaymentSchedule3[[#This Row],[Total
Payment]]-PaymentSchedule33[[#This Row],[Total
Payment]]</f>
        <v>427.19889995542212</v>
      </c>
      <c r="N208" s="25">
        <f ca="1">PaymentSchedule3[[#This Row],[Interest]]-PaymentSchedule33[[#This Row],[Interest]]</f>
        <v>479.92585003354645</v>
      </c>
      <c r="O208" s="25">
        <f ca="1">PaymentSchedule3[[#This Row],[Cumulative
Interest]]-PaymentSchedule33[[#This Row],[Cumulative
Interest]]</f>
        <v>104610.65492064593</v>
      </c>
    </row>
    <row r="209" spans="2:15" x14ac:dyDescent="0.25">
      <c r="B209" s="23">
        <f ca="1">IF(LoanIsGood,IF(ROW()-ROW(PaymentSchedule33[[#Headers],[Payment Number]])&gt;ScheduledNumberOfPayments,"",ROW()-ROW(PaymentSchedule33[[#Headers],[Payment Number]])),"")</f>
        <v>196</v>
      </c>
      <c r="C209" s="24">
        <f ca="1">IF(PaymentSchedule33[[#This Row],[Payment Number]]&lt;&gt;"",EOMONTH(LoanStartDate,ROW(PaymentSchedule33[[#This Row],[Payment Number]])-ROW(PaymentSchedule33[[#Headers],[Payment Number]])-2)+DAY(LoanStartDate),"")</f>
        <v>51403</v>
      </c>
      <c r="D209" s="25">
        <f ca="1">IF(PaymentSchedule33[[#This Row],[Payment Number]]&lt;&gt;"",IF(ROW()-ROW(PaymentSchedule33[[#Headers],[Beginning
Balance]])=1,LoanAmount,INDEX(PaymentSchedule33[Ending
Balance],ROW()-ROW(PaymentSchedule33[[#Headers],[Beginning
Balance]])-1)),"")</f>
        <v>212670.93782679358</v>
      </c>
      <c r="E209" s="25">
        <f ca="1">IF(PaymentSchedule33[[#This Row],[Payment Number]]&lt;&gt;"",ScheduledPayment,"")</f>
        <v>1784.9318965153623</v>
      </c>
      <c r="F20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0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09" s="25">
        <f ca="1">IF(PaymentSchedule33[[#This Row],[Payment Number]]&lt;&gt;"",PaymentSchedule33[[#This Row],[Total
Payment]]-PaymentSchedule33[[#This Row],[Interest]],"")</f>
        <v>898.80298890372239</v>
      </c>
      <c r="I209" s="25">
        <f ca="1">IF(PaymentSchedule33[[#This Row],[Payment Number]]&lt;&gt;"",PaymentSchedule33[[#This Row],[Beginning
Balance]]*(InterestRate/PaymentsPerYear),"")</f>
        <v>886.12890761163987</v>
      </c>
      <c r="J209" s="25">
        <f ca="1">IF(PaymentSchedule33[[#This Row],[Payment Number]]&lt;&gt;"",IF(PaymentSchedule33[[#This Row],[Scheduled Payment]]+PaymentSchedule33[[#This Row],[Extra
Payment]]&lt;=PaymentSchedule33[[#This Row],[Beginning
Balance]],PaymentSchedule33[[#This Row],[Beginning
Balance]]-PaymentSchedule33[[#This Row],[Principal]],0),"")</f>
        <v>211772.13483788987</v>
      </c>
      <c r="K209" s="25">
        <f ca="1">IF(PaymentSchedule33[[#This Row],[Payment Number]]&lt;&gt;"",SUM(INDEX(PaymentSchedule33[Interest],1,1):PaymentSchedule33[[#This Row],[Interest]]),"")</f>
        <v>229118.78655490128</v>
      </c>
      <c r="L209" s="25">
        <f ca="1">IF(PaymentSchedule33[[#This Row],[Payment Number]]&lt;&gt;"",SUM(INDEX(PaymentSchedule33[Principal],1,1):PaymentSchedule33[[#This Row],[Principal]]),"")</f>
        <v>120727.86516210987</v>
      </c>
      <c r="M209" s="25">
        <f ca="1">PaymentSchedule3[[#This Row],[Total
Payment]]-PaymentSchedule33[[#This Row],[Total
Payment]]</f>
        <v>427.19889995542212</v>
      </c>
      <c r="N209" s="25">
        <f ca="1">PaymentSchedule3[[#This Row],[Interest]]-PaymentSchedule33[[#This Row],[Interest]]</f>
        <v>478.74163471580107</v>
      </c>
      <c r="O209" s="25">
        <f ca="1">PaymentSchedule3[[#This Row],[Cumulative
Interest]]-PaymentSchedule33[[#This Row],[Cumulative
Interest]]</f>
        <v>105089.39655536175</v>
      </c>
    </row>
    <row r="210" spans="2:15" x14ac:dyDescent="0.25">
      <c r="B210" s="23">
        <f ca="1">IF(LoanIsGood,IF(ROW()-ROW(PaymentSchedule33[[#Headers],[Payment Number]])&gt;ScheduledNumberOfPayments,"",ROW()-ROW(PaymentSchedule33[[#Headers],[Payment Number]])),"")</f>
        <v>197</v>
      </c>
      <c r="C210" s="24">
        <f ca="1">IF(PaymentSchedule33[[#This Row],[Payment Number]]&lt;&gt;"",EOMONTH(LoanStartDate,ROW(PaymentSchedule33[[#This Row],[Payment Number]])-ROW(PaymentSchedule33[[#Headers],[Payment Number]])-2)+DAY(LoanStartDate),"")</f>
        <v>51433</v>
      </c>
      <c r="D210" s="25">
        <f ca="1">IF(PaymentSchedule33[[#This Row],[Payment Number]]&lt;&gt;"",IF(ROW()-ROW(PaymentSchedule33[[#Headers],[Beginning
Balance]])=1,LoanAmount,INDEX(PaymentSchedule33[Ending
Balance],ROW()-ROW(PaymentSchedule33[[#Headers],[Beginning
Balance]])-1)),"")</f>
        <v>211772.13483788987</v>
      </c>
      <c r="E210" s="25">
        <f ca="1">IF(PaymentSchedule33[[#This Row],[Payment Number]]&lt;&gt;"",ScheduledPayment,"")</f>
        <v>1784.9318965153623</v>
      </c>
      <c r="F21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0" s="25">
        <f ca="1">IF(PaymentSchedule33[[#This Row],[Payment Number]]&lt;&gt;"",PaymentSchedule33[[#This Row],[Total
Payment]]-PaymentSchedule33[[#This Row],[Interest]],"")</f>
        <v>902.54800135748781</v>
      </c>
      <c r="I210" s="25">
        <f ca="1">IF(PaymentSchedule33[[#This Row],[Payment Number]]&lt;&gt;"",PaymentSchedule33[[#This Row],[Beginning
Balance]]*(InterestRate/PaymentsPerYear),"")</f>
        <v>882.38389515787446</v>
      </c>
      <c r="J210" s="25">
        <f ca="1">IF(PaymentSchedule33[[#This Row],[Payment Number]]&lt;&gt;"",IF(PaymentSchedule33[[#This Row],[Scheduled Payment]]+PaymentSchedule33[[#This Row],[Extra
Payment]]&lt;=PaymentSchedule33[[#This Row],[Beginning
Balance]],PaymentSchedule33[[#This Row],[Beginning
Balance]]-PaymentSchedule33[[#This Row],[Principal]],0),"")</f>
        <v>210869.58683653237</v>
      </c>
      <c r="K210" s="25">
        <f ca="1">IF(PaymentSchedule33[[#This Row],[Payment Number]]&lt;&gt;"",SUM(INDEX(PaymentSchedule33[Interest],1,1):PaymentSchedule33[[#This Row],[Interest]]),"")</f>
        <v>230001.17045005914</v>
      </c>
      <c r="L210" s="25">
        <f ca="1">IF(PaymentSchedule33[[#This Row],[Payment Number]]&lt;&gt;"",SUM(INDEX(PaymentSchedule33[Principal],1,1):PaymentSchedule33[[#This Row],[Principal]]),"")</f>
        <v>121630.41316346735</v>
      </c>
      <c r="M210" s="25">
        <f ca="1">PaymentSchedule3[[#This Row],[Total
Payment]]-PaymentSchedule33[[#This Row],[Total
Payment]]</f>
        <v>427.19889995542212</v>
      </c>
      <c r="N210" s="25">
        <f ca="1">PaymentSchedule3[[#This Row],[Interest]]-PaymentSchedule33[[#This Row],[Interest]]</f>
        <v>477.54429568706371</v>
      </c>
      <c r="O210" s="25">
        <f ca="1">PaymentSchedule3[[#This Row],[Cumulative
Interest]]-PaymentSchedule33[[#This Row],[Cumulative
Interest]]</f>
        <v>105566.94085104883</v>
      </c>
    </row>
    <row r="211" spans="2:15" x14ac:dyDescent="0.25">
      <c r="B211" s="23">
        <f ca="1">IF(LoanIsGood,IF(ROW()-ROW(PaymentSchedule33[[#Headers],[Payment Number]])&gt;ScheduledNumberOfPayments,"",ROW()-ROW(PaymentSchedule33[[#Headers],[Payment Number]])),"")</f>
        <v>198</v>
      </c>
      <c r="C211" s="24">
        <f ca="1">IF(PaymentSchedule33[[#This Row],[Payment Number]]&lt;&gt;"",EOMONTH(LoanStartDate,ROW(PaymentSchedule33[[#This Row],[Payment Number]])-ROW(PaymentSchedule33[[#Headers],[Payment Number]])-2)+DAY(LoanStartDate),"")</f>
        <v>51464</v>
      </c>
      <c r="D211" s="25">
        <f ca="1">IF(PaymentSchedule33[[#This Row],[Payment Number]]&lt;&gt;"",IF(ROW()-ROW(PaymentSchedule33[[#Headers],[Beginning
Balance]])=1,LoanAmount,INDEX(PaymentSchedule33[Ending
Balance],ROW()-ROW(PaymentSchedule33[[#Headers],[Beginning
Balance]])-1)),"")</f>
        <v>210869.58683653237</v>
      </c>
      <c r="E211" s="25">
        <f ca="1">IF(PaymentSchedule33[[#This Row],[Payment Number]]&lt;&gt;"",ScheduledPayment,"")</f>
        <v>1784.9318965153623</v>
      </c>
      <c r="F21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1" s="25">
        <f ca="1">IF(PaymentSchedule33[[#This Row],[Payment Number]]&lt;&gt;"",PaymentSchedule33[[#This Row],[Total
Payment]]-PaymentSchedule33[[#This Row],[Interest]],"")</f>
        <v>906.30861802981076</v>
      </c>
      <c r="I211" s="25">
        <f ca="1">IF(PaymentSchedule33[[#This Row],[Payment Number]]&lt;&gt;"",PaymentSchedule33[[#This Row],[Beginning
Balance]]*(InterestRate/PaymentsPerYear),"")</f>
        <v>878.62327848555151</v>
      </c>
      <c r="J211" s="25">
        <f ca="1">IF(PaymentSchedule33[[#This Row],[Payment Number]]&lt;&gt;"",IF(PaymentSchedule33[[#This Row],[Scheduled Payment]]+PaymentSchedule33[[#This Row],[Extra
Payment]]&lt;=PaymentSchedule33[[#This Row],[Beginning
Balance]],PaymentSchedule33[[#This Row],[Beginning
Balance]]-PaymentSchedule33[[#This Row],[Principal]],0),"")</f>
        <v>209963.27821850256</v>
      </c>
      <c r="K211" s="25">
        <f ca="1">IF(PaymentSchedule33[[#This Row],[Payment Number]]&lt;&gt;"",SUM(INDEX(PaymentSchedule33[Interest],1,1):PaymentSchedule33[[#This Row],[Interest]]),"")</f>
        <v>230879.7937285447</v>
      </c>
      <c r="L211" s="25">
        <f ca="1">IF(PaymentSchedule33[[#This Row],[Payment Number]]&lt;&gt;"",SUM(INDEX(PaymentSchedule33[Principal],1,1):PaymentSchedule33[[#This Row],[Principal]]),"")</f>
        <v>122536.72178149717</v>
      </c>
      <c r="M211" s="25">
        <f ca="1">PaymentSchedule3[[#This Row],[Total
Payment]]-PaymentSchedule33[[#This Row],[Total
Payment]]</f>
        <v>427.19889995542212</v>
      </c>
      <c r="N211" s="25">
        <f ca="1">PaymentSchedule3[[#This Row],[Interest]]-PaymentSchedule33[[#This Row],[Interest]]</f>
        <v>476.33373049323586</v>
      </c>
      <c r="O211" s="25">
        <f ca="1">PaymentSchedule3[[#This Row],[Cumulative
Interest]]-PaymentSchedule33[[#This Row],[Cumulative
Interest]]</f>
        <v>106043.27458154203</v>
      </c>
    </row>
    <row r="212" spans="2:15" x14ac:dyDescent="0.25">
      <c r="B212" s="23">
        <f ca="1">IF(LoanIsGood,IF(ROW()-ROW(PaymentSchedule33[[#Headers],[Payment Number]])&gt;ScheduledNumberOfPayments,"",ROW()-ROW(PaymentSchedule33[[#Headers],[Payment Number]])),"")</f>
        <v>199</v>
      </c>
      <c r="C212" s="24">
        <f ca="1">IF(PaymentSchedule33[[#This Row],[Payment Number]]&lt;&gt;"",EOMONTH(LoanStartDate,ROW(PaymentSchedule33[[#This Row],[Payment Number]])-ROW(PaymentSchedule33[[#Headers],[Payment Number]])-2)+DAY(LoanStartDate),"")</f>
        <v>51494</v>
      </c>
      <c r="D212" s="25">
        <f ca="1">IF(PaymentSchedule33[[#This Row],[Payment Number]]&lt;&gt;"",IF(ROW()-ROW(PaymentSchedule33[[#Headers],[Beginning
Balance]])=1,LoanAmount,INDEX(PaymentSchedule33[Ending
Balance],ROW()-ROW(PaymentSchedule33[[#Headers],[Beginning
Balance]])-1)),"")</f>
        <v>209963.27821850256</v>
      </c>
      <c r="E212" s="25">
        <f ca="1">IF(PaymentSchedule33[[#This Row],[Payment Number]]&lt;&gt;"",ScheduledPayment,"")</f>
        <v>1784.9318965153623</v>
      </c>
      <c r="F21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2" s="25">
        <f ca="1">IF(PaymentSchedule33[[#This Row],[Payment Number]]&lt;&gt;"",PaymentSchedule33[[#This Row],[Total
Payment]]-PaymentSchedule33[[#This Row],[Interest]],"")</f>
        <v>910.08490393826833</v>
      </c>
      <c r="I212" s="25">
        <f ca="1">IF(PaymentSchedule33[[#This Row],[Payment Number]]&lt;&gt;"",PaymentSchedule33[[#This Row],[Beginning
Balance]]*(InterestRate/PaymentsPerYear),"")</f>
        <v>874.84699257709394</v>
      </c>
      <c r="J212" s="25">
        <f ca="1">IF(PaymentSchedule33[[#This Row],[Payment Number]]&lt;&gt;"",IF(PaymentSchedule33[[#This Row],[Scheduled Payment]]+PaymentSchedule33[[#This Row],[Extra
Payment]]&lt;=PaymentSchedule33[[#This Row],[Beginning
Balance]],PaymentSchedule33[[#This Row],[Beginning
Balance]]-PaymentSchedule33[[#This Row],[Principal]],0),"")</f>
        <v>209053.1933145643</v>
      </c>
      <c r="K212" s="25">
        <f ca="1">IF(PaymentSchedule33[[#This Row],[Payment Number]]&lt;&gt;"",SUM(INDEX(PaymentSchedule33[Interest],1,1):PaymentSchedule33[[#This Row],[Interest]]),"")</f>
        <v>231754.6407211218</v>
      </c>
      <c r="L212" s="25">
        <f ca="1">IF(PaymentSchedule33[[#This Row],[Payment Number]]&lt;&gt;"",SUM(INDEX(PaymentSchedule33[Principal],1,1):PaymentSchedule33[[#This Row],[Principal]]),"")</f>
        <v>123446.80668543544</v>
      </c>
      <c r="M212" s="25">
        <f ca="1">PaymentSchedule3[[#This Row],[Total
Payment]]-PaymentSchedule33[[#This Row],[Total
Payment]]</f>
        <v>427.19889995542212</v>
      </c>
      <c r="N212" s="25">
        <f ca="1">PaymentSchedule3[[#This Row],[Interest]]-PaymentSchedule33[[#This Row],[Interest]]</f>
        <v>475.10983597465679</v>
      </c>
      <c r="O212" s="25">
        <f ca="1">PaymentSchedule3[[#This Row],[Cumulative
Interest]]-PaymentSchedule33[[#This Row],[Cumulative
Interest]]</f>
        <v>106518.3844175167</v>
      </c>
    </row>
    <row r="213" spans="2:15" x14ac:dyDescent="0.25">
      <c r="B213" s="23">
        <f ca="1">IF(LoanIsGood,IF(ROW()-ROW(PaymentSchedule33[[#Headers],[Payment Number]])&gt;ScheduledNumberOfPayments,"",ROW()-ROW(PaymentSchedule33[[#Headers],[Payment Number]])),"")</f>
        <v>200</v>
      </c>
      <c r="C213" s="24">
        <f ca="1">IF(PaymentSchedule33[[#This Row],[Payment Number]]&lt;&gt;"",EOMONTH(LoanStartDate,ROW(PaymentSchedule33[[#This Row],[Payment Number]])-ROW(PaymentSchedule33[[#Headers],[Payment Number]])-2)+DAY(LoanStartDate),"")</f>
        <v>51525</v>
      </c>
      <c r="D213" s="25">
        <f ca="1">IF(PaymentSchedule33[[#This Row],[Payment Number]]&lt;&gt;"",IF(ROW()-ROW(PaymentSchedule33[[#Headers],[Beginning
Balance]])=1,LoanAmount,INDEX(PaymentSchedule33[Ending
Balance],ROW()-ROW(PaymentSchedule33[[#Headers],[Beginning
Balance]])-1)),"")</f>
        <v>209053.1933145643</v>
      </c>
      <c r="E213" s="25">
        <f ca="1">IF(PaymentSchedule33[[#This Row],[Payment Number]]&lt;&gt;"",ScheduledPayment,"")</f>
        <v>1784.9318965153623</v>
      </c>
      <c r="F21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3" s="25">
        <f ca="1">IF(PaymentSchedule33[[#This Row],[Payment Number]]&lt;&gt;"",PaymentSchedule33[[#This Row],[Total
Payment]]-PaymentSchedule33[[#This Row],[Interest]],"")</f>
        <v>913.87692437134433</v>
      </c>
      <c r="I213" s="25">
        <f ca="1">IF(PaymentSchedule33[[#This Row],[Payment Number]]&lt;&gt;"",PaymentSchedule33[[#This Row],[Beginning
Balance]]*(InterestRate/PaymentsPerYear),"")</f>
        <v>871.05497214401794</v>
      </c>
      <c r="J213" s="25">
        <f ca="1">IF(PaymentSchedule33[[#This Row],[Payment Number]]&lt;&gt;"",IF(PaymentSchedule33[[#This Row],[Scheduled Payment]]+PaymentSchedule33[[#This Row],[Extra
Payment]]&lt;=PaymentSchedule33[[#This Row],[Beginning
Balance]],PaymentSchedule33[[#This Row],[Beginning
Balance]]-PaymentSchedule33[[#This Row],[Principal]],0),"")</f>
        <v>208139.31639019295</v>
      </c>
      <c r="K213" s="25">
        <f ca="1">IF(PaymentSchedule33[[#This Row],[Payment Number]]&lt;&gt;"",SUM(INDEX(PaymentSchedule33[Interest],1,1):PaymentSchedule33[[#This Row],[Interest]]),"")</f>
        <v>232625.69569326582</v>
      </c>
      <c r="L213" s="25">
        <f ca="1">IF(PaymentSchedule33[[#This Row],[Payment Number]]&lt;&gt;"",SUM(INDEX(PaymentSchedule33[Principal],1,1):PaymentSchedule33[[#This Row],[Principal]]),"")</f>
        <v>124360.68360980679</v>
      </c>
      <c r="M213" s="25">
        <f ca="1">PaymentSchedule3[[#This Row],[Total
Payment]]-PaymentSchedule33[[#This Row],[Total
Payment]]</f>
        <v>427.19889995542212</v>
      </c>
      <c r="N213" s="25">
        <f ca="1">PaymentSchedule3[[#This Row],[Interest]]-PaymentSchedule33[[#This Row],[Interest]]</f>
        <v>473.87250826153831</v>
      </c>
      <c r="O213" s="25">
        <f ca="1">PaymentSchedule3[[#This Row],[Cumulative
Interest]]-PaymentSchedule33[[#This Row],[Cumulative
Interest]]</f>
        <v>106992.25692577823</v>
      </c>
    </row>
    <row r="214" spans="2:15" x14ac:dyDescent="0.25">
      <c r="B214" s="23">
        <f ca="1">IF(LoanIsGood,IF(ROW()-ROW(PaymentSchedule33[[#Headers],[Payment Number]])&gt;ScheduledNumberOfPayments,"",ROW()-ROW(PaymentSchedule33[[#Headers],[Payment Number]])),"")</f>
        <v>201</v>
      </c>
      <c r="C214" s="24">
        <f ca="1">IF(PaymentSchedule33[[#This Row],[Payment Number]]&lt;&gt;"",EOMONTH(LoanStartDate,ROW(PaymentSchedule33[[#This Row],[Payment Number]])-ROW(PaymentSchedule33[[#Headers],[Payment Number]])-2)+DAY(LoanStartDate),"")</f>
        <v>51556</v>
      </c>
      <c r="D214" s="25">
        <f ca="1">IF(PaymentSchedule33[[#This Row],[Payment Number]]&lt;&gt;"",IF(ROW()-ROW(PaymentSchedule33[[#Headers],[Beginning
Balance]])=1,LoanAmount,INDEX(PaymentSchedule33[Ending
Balance],ROW()-ROW(PaymentSchedule33[[#Headers],[Beginning
Balance]])-1)),"")</f>
        <v>208139.31639019295</v>
      </c>
      <c r="E214" s="25">
        <f ca="1">IF(PaymentSchedule33[[#This Row],[Payment Number]]&lt;&gt;"",ScheduledPayment,"")</f>
        <v>1784.9318965153623</v>
      </c>
      <c r="F21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4" s="25">
        <f ca="1">IF(PaymentSchedule33[[#This Row],[Payment Number]]&lt;&gt;"",PaymentSchedule33[[#This Row],[Total
Payment]]-PaymentSchedule33[[#This Row],[Interest]],"")</f>
        <v>917.68474488955837</v>
      </c>
      <c r="I214" s="25">
        <f ca="1">IF(PaymentSchedule33[[#This Row],[Payment Number]]&lt;&gt;"",PaymentSchedule33[[#This Row],[Beginning
Balance]]*(InterestRate/PaymentsPerYear),"")</f>
        <v>867.24715162580389</v>
      </c>
      <c r="J214" s="25">
        <f ca="1">IF(PaymentSchedule33[[#This Row],[Payment Number]]&lt;&gt;"",IF(PaymentSchedule33[[#This Row],[Scheduled Payment]]+PaymentSchedule33[[#This Row],[Extra
Payment]]&lt;=PaymentSchedule33[[#This Row],[Beginning
Balance]],PaymentSchedule33[[#This Row],[Beginning
Balance]]-PaymentSchedule33[[#This Row],[Principal]],0),"")</f>
        <v>207221.63164530339</v>
      </c>
      <c r="K214" s="25">
        <f ca="1">IF(PaymentSchedule33[[#This Row],[Payment Number]]&lt;&gt;"",SUM(INDEX(PaymentSchedule33[Interest],1,1):PaymentSchedule33[[#This Row],[Interest]]),"")</f>
        <v>233492.94284489163</v>
      </c>
      <c r="L214" s="25">
        <f ca="1">IF(PaymentSchedule33[[#This Row],[Payment Number]]&lt;&gt;"",SUM(INDEX(PaymentSchedule33[Principal],1,1):PaymentSchedule33[[#This Row],[Principal]]),"")</f>
        <v>125278.36835469634</v>
      </c>
      <c r="M214" s="25">
        <f ca="1">PaymentSchedule3[[#This Row],[Total
Payment]]-PaymentSchedule33[[#This Row],[Total
Payment]]</f>
        <v>427.19889995542212</v>
      </c>
      <c r="N214" s="25">
        <f ca="1">PaymentSchedule3[[#This Row],[Interest]]-PaymentSchedule33[[#This Row],[Interest]]</f>
        <v>472.62164276937199</v>
      </c>
      <c r="O214" s="25">
        <f ca="1">PaymentSchedule3[[#This Row],[Cumulative
Interest]]-PaymentSchedule33[[#This Row],[Cumulative
Interest]]</f>
        <v>107464.8785685476</v>
      </c>
    </row>
    <row r="215" spans="2:15" x14ac:dyDescent="0.25">
      <c r="B215" s="23">
        <f ca="1">IF(LoanIsGood,IF(ROW()-ROW(PaymentSchedule33[[#Headers],[Payment Number]])&gt;ScheduledNumberOfPayments,"",ROW()-ROW(PaymentSchedule33[[#Headers],[Payment Number]])),"")</f>
        <v>202</v>
      </c>
      <c r="C215" s="24">
        <f ca="1">IF(PaymentSchedule33[[#This Row],[Payment Number]]&lt;&gt;"",EOMONTH(LoanStartDate,ROW(PaymentSchedule33[[#This Row],[Payment Number]])-ROW(PaymentSchedule33[[#Headers],[Payment Number]])-2)+DAY(LoanStartDate),"")</f>
        <v>51584</v>
      </c>
      <c r="D215" s="25">
        <f ca="1">IF(PaymentSchedule33[[#This Row],[Payment Number]]&lt;&gt;"",IF(ROW()-ROW(PaymentSchedule33[[#Headers],[Beginning
Balance]])=1,LoanAmount,INDEX(PaymentSchedule33[Ending
Balance],ROW()-ROW(PaymentSchedule33[[#Headers],[Beginning
Balance]])-1)),"")</f>
        <v>207221.63164530339</v>
      </c>
      <c r="E215" s="25">
        <f ca="1">IF(PaymentSchedule33[[#This Row],[Payment Number]]&lt;&gt;"",ScheduledPayment,"")</f>
        <v>1784.9318965153623</v>
      </c>
      <c r="F21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5" s="25">
        <f ca="1">IF(PaymentSchedule33[[#This Row],[Payment Number]]&lt;&gt;"",PaymentSchedule33[[#This Row],[Total
Payment]]-PaymentSchedule33[[#This Row],[Interest]],"")</f>
        <v>921.50843132659816</v>
      </c>
      <c r="I215" s="25">
        <f ca="1">IF(PaymentSchedule33[[#This Row],[Payment Number]]&lt;&gt;"",PaymentSchedule33[[#This Row],[Beginning
Balance]]*(InterestRate/PaymentsPerYear),"")</f>
        <v>863.42346518876411</v>
      </c>
      <c r="J215" s="25">
        <f ca="1">IF(PaymentSchedule33[[#This Row],[Payment Number]]&lt;&gt;"",IF(PaymentSchedule33[[#This Row],[Scheduled Payment]]+PaymentSchedule33[[#This Row],[Extra
Payment]]&lt;=PaymentSchedule33[[#This Row],[Beginning
Balance]],PaymentSchedule33[[#This Row],[Beginning
Balance]]-PaymentSchedule33[[#This Row],[Principal]],0),"")</f>
        <v>206300.1232139768</v>
      </c>
      <c r="K215" s="25">
        <f ca="1">IF(PaymentSchedule33[[#This Row],[Payment Number]]&lt;&gt;"",SUM(INDEX(PaymentSchedule33[Interest],1,1):PaymentSchedule33[[#This Row],[Interest]]),"")</f>
        <v>234356.3663100804</v>
      </c>
      <c r="L215" s="25">
        <f ca="1">IF(PaymentSchedule33[[#This Row],[Payment Number]]&lt;&gt;"",SUM(INDEX(PaymentSchedule33[Principal],1,1):PaymentSchedule33[[#This Row],[Principal]]),"")</f>
        <v>126199.87678602294</v>
      </c>
      <c r="M215" s="25">
        <f ca="1">PaymentSchedule3[[#This Row],[Total
Payment]]-PaymentSchedule33[[#This Row],[Total
Payment]]</f>
        <v>427.19889995542212</v>
      </c>
      <c r="N215" s="25">
        <f ca="1">PaymentSchedule3[[#This Row],[Interest]]-PaymentSchedule33[[#This Row],[Interest]]</f>
        <v>471.35713419430408</v>
      </c>
      <c r="O215" s="25">
        <f ca="1">PaymentSchedule3[[#This Row],[Cumulative
Interest]]-PaymentSchedule33[[#This Row],[Cumulative
Interest]]</f>
        <v>107936.23570274189</v>
      </c>
    </row>
    <row r="216" spans="2:15" x14ac:dyDescent="0.25">
      <c r="B216" s="23">
        <f ca="1">IF(LoanIsGood,IF(ROW()-ROW(PaymentSchedule33[[#Headers],[Payment Number]])&gt;ScheduledNumberOfPayments,"",ROW()-ROW(PaymentSchedule33[[#Headers],[Payment Number]])),"")</f>
        <v>203</v>
      </c>
      <c r="C216" s="24">
        <f ca="1">IF(PaymentSchedule33[[#This Row],[Payment Number]]&lt;&gt;"",EOMONTH(LoanStartDate,ROW(PaymentSchedule33[[#This Row],[Payment Number]])-ROW(PaymentSchedule33[[#Headers],[Payment Number]])-2)+DAY(LoanStartDate),"")</f>
        <v>51615</v>
      </c>
      <c r="D216" s="25">
        <f ca="1">IF(PaymentSchedule33[[#This Row],[Payment Number]]&lt;&gt;"",IF(ROW()-ROW(PaymentSchedule33[[#Headers],[Beginning
Balance]])=1,LoanAmount,INDEX(PaymentSchedule33[Ending
Balance],ROW()-ROW(PaymentSchedule33[[#Headers],[Beginning
Balance]])-1)),"")</f>
        <v>206300.1232139768</v>
      </c>
      <c r="E216" s="25">
        <f ca="1">IF(PaymentSchedule33[[#This Row],[Payment Number]]&lt;&gt;"",ScheduledPayment,"")</f>
        <v>1784.9318965153623</v>
      </c>
      <c r="F21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6" s="25">
        <f ca="1">IF(PaymentSchedule33[[#This Row],[Payment Number]]&lt;&gt;"",PaymentSchedule33[[#This Row],[Total
Payment]]-PaymentSchedule33[[#This Row],[Interest]],"")</f>
        <v>925.34804979045896</v>
      </c>
      <c r="I216" s="25">
        <f ca="1">IF(PaymentSchedule33[[#This Row],[Payment Number]]&lt;&gt;"",PaymentSchedule33[[#This Row],[Beginning
Balance]]*(InterestRate/PaymentsPerYear),"")</f>
        <v>859.58384672490331</v>
      </c>
      <c r="J216" s="25">
        <f ca="1">IF(PaymentSchedule33[[#This Row],[Payment Number]]&lt;&gt;"",IF(PaymentSchedule33[[#This Row],[Scheduled Payment]]+PaymentSchedule33[[#This Row],[Extra
Payment]]&lt;=PaymentSchedule33[[#This Row],[Beginning
Balance]],PaymentSchedule33[[#This Row],[Beginning
Balance]]-PaymentSchedule33[[#This Row],[Principal]],0),"")</f>
        <v>205374.77516418634</v>
      </c>
      <c r="K216" s="25">
        <f ca="1">IF(PaymentSchedule33[[#This Row],[Payment Number]]&lt;&gt;"",SUM(INDEX(PaymentSchedule33[Interest],1,1):PaymentSchedule33[[#This Row],[Interest]]),"")</f>
        <v>235215.95015680531</v>
      </c>
      <c r="L216" s="25">
        <f ca="1">IF(PaymentSchedule33[[#This Row],[Payment Number]]&lt;&gt;"",SUM(INDEX(PaymentSchedule33[Principal],1,1):PaymentSchedule33[[#This Row],[Principal]]),"")</f>
        <v>127125.22483581339</v>
      </c>
      <c r="M216" s="25">
        <f ca="1">PaymentSchedule3[[#This Row],[Total
Payment]]-PaymentSchedule33[[#This Row],[Total
Payment]]</f>
        <v>427.19889995542212</v>
      </c>
      <c r="N216" s="25">
        <f ca="1">PaymentSchedule3[[#This Row],[Interest]]-PaymentSchedule33[[#This Row],[Interest]]</f>
        <v>470.07887650848659</v>
      </c>
      <c r="O216" s="25">
        <f ca="1">PaymentSchedule3[[#This Row],[Cumulative
Interest]]-PaymentSchedule33[[#This Row],[Cumulative
Interest]]</f>
        <v>108406.31457925038</v>
      </c>
    </row>
    <row r="217" spans="2:15" x14ac:dyDescent="0.25">
      <c r="B217" s="23">
        <f ca="1">IF(LoanIsGood,IF(ROW()-ROW(PaymentSchedule33[[#Headers],[Payment Number]])&gt;ScheduledNumberOfPayments,"",ROW()-ROW(PaymentSchedule33[[#Headers],[Payment Number]])),"")</f>
        <v>204</v>
      </c>
      <c r="C217" s="24">
        <f ca="1">IF(PaymentSchedule33[[#This Row],[Payment Number]]&lt;&gt;"",EOMONTH(LoanStartDate,ROW(PaymentSchedule33[[#This Row],[Payment Number]])-ROW(PaymentSchedule33[[#Headers],[Payment Number]])-2)+DAY(LoanStartDate),"")</f>
        <v>51645</v>
      </c>
      <c r="D217" s="25">
        <f ca="1">IF(PaymentSchedule33[[#This Row],[Payment Number]]&lt;&gt;"",IF(ROW()-ROW(PaymentSchedule33[[#Headers],[Beginning
Balance]])=1,LoanAmount,INDEX(PaymentSchedule33[Ending
Balance],ROW()-ROW(PaymentSchedule33[[#Headers],[Beginning
Balance]])-1)),"")</f>
        <v>205374.77516418634</v>
      </c>
      <c r="E217" s="25">
        <f ca="1">IF(PaymentSchedule33[[#This Row],[Payment Number]]&lt;&gt;"",ScheduledPayment,"")</f>
        <v>1784.9318965153623</v>
      </c>
      <c r="F21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7" s="25">
        <f ca="1">IF(PaymentSchedule33[[#This Row],[Payment Number]]&lt;&gt;"",PaymentSchedule33[[#This Row],[Total
Payment]]-PaymentSchedule33[[#This Row],[Interest]],"")</f>
        <v>929.20366666458585</v>
      </c>
      <c r="I217" s="25">
        <f ca="1">IF(PaymentSchedule33[[#This Row],[Payment Number]]&lt;&gt;"",PaymentSchedule33[[#This Row],[Beginning
Balance]]*(InterestRate/PaymentsPerYear),"")</f>
        <v>855.72822985077642</v>
      </c>
      <c r="J217" s="25">
        <f ca="1">IF(PaymentSchedule33[[#This Row],[Payment Number]]&lt;&gt;"",IF(PaymentSchedule33[[#This Row],[Scheduled Payment]]+PaymentSchedule33[[#This Row],[Extra
Payment]]&lt;=PaymentSchedule33[[#This Row],[Beginning
Balance]],PaymentSchedule33[[#This Row],[Beginning
Balance]]-PaymentSchedule33[[#This Row],[Principal]],0),"")</f>
        <v>204445.57149752177</v>
      </c>
      <c r="K217" s="25">
        <f ca="1">IF(PaymentSchedule33[[#This Row],[Payment Number]]&lt;&gt;"",SUM(INDEX(PaymentSchedule33[Interest],1,1):PaymentSchedule33[[#This Row],[Interest]]),"")</f>
        <v>236071.67838665607</v>
      </c>
      <c r="L217" s="25">
        <f ca="1">IF(PaymentSchedule33[[#This Row],[Payment Number]]&lt;&gt;"",SUM(INDEX(PaymentSchedule33[Principal],1,1):PaymentSchedule33[[#This Row],[Principal]]),"")</f>
        <v>128054.42850247798</v>
      </c>
      <c r="M217" s="25">
        <f ca="1">PaymentSchedule3[[#This Row],[Total
Payment]]-PaymentSchedule33[[#This Row],[Total
Payment]]</f>
        <v>427.19889995542212</v>
      </c>
      <c r="N217" s="25">
        <f ca="1">PaymentSchedule3[[#This Row],[Interest]]-PaymentSchedule33[[#This Row],[Interest]]</f>
        <v>468.78676295539526</v>
      </c>
      <c r="O217" s="25">
        <f ca="1">PaymentSchedule3[[#This Row],[Cumulative
Interest]]-PaymentSchedule33[[#This Row],[Cumulative
Interest]]</f>
        <v>108875.1013422058</v>
      </c>
    </row>
    <row r="218" spans="2:15" x14ac:dyDescent="0.25">
      <c r="B218" s="23">
        <f ca="1">IF(LoanIsGood,IF(ROW()-ROW(PaymentSchedule33[[#Headers],[Payment Number]])&gt;ScheduledNumberOfPayments,"",ROW()-ROW(PaymentSchedule33[[#Headers],[Payment Number]])),"")</f>
        <v>205</v>
      </c>
      <c r="C218" s="24">
        <f ca="1">IF(PaymentSchedule33[[#This Row],[Payment Number]]&lt;&gt;"",EOMONTH(LoanStartDate,ROW(PaymentSchedule33[[#This Row],[Payment Number]])-ROW(PaymentSchedule33[[#Headers],[Payment Number]])-2)+DAY(LoanStartDate),"")</f>
        <v>51676</v>
      </c>
      <c r="D218" s="25">
        <f ca="1">IF(PaymentSchedule33[[#This Row],[Payment Number]]&lt;&gt;"",IF(ROW()-ROW(PaymentSchedule33[[#Headers],[Beginning
Balance]])=1,LoanAmount,INDEX(PaymentSchedule33[Ending
Balance],ROW()-ROW(PaymentSchedule33[[#Headers],[Beginning
Balance]])-1)),"")</f>
        <v>204445.57149752177</v>
      </c>
      <c r="E218" s="25">
        <f ca="1">IF(PaymentSchedule33[[#This Row],[Payment Number]]&lt;&gt;"",ScheduledPayment,"")</f>
        <v>1784.9318965153623</v>
      </c>
      <c r="F21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8" s="25">
        <f ca="1">IF(PaymentSchedule33[[#This Row],[Payment Number]]&lt;&gt;"",PaymentSchedule33[[#This Row],[Total
Payment]]-PaymentSchedule33[[#This Row],[Interest]],"")</f>
        <v>933.0753486090216</v>
      </c>
      <c r="I218" s="25">
        <f ca="1">IF(PaymentSchedule33[[#This Row],[Payment Number]]&lt;&gt;"",PaymentSchedule33[[#This Row],[Beginning
Balance]]*(InterestRate/PaymentsPerYear),"")</f>
        <v>851.85654790634067</v>
      </c>
      <c r="J218" s="25">
        <f ca="1">IF(PaymentSchedule33[[#This Row],[Payment Number]]&lt;&gt;"",IF(PaymentSchedule33[[#This Row],[Scheduled Payment]]+PaymentSchedule33[[#This Row],[Extra
Payment]]&lt;=PaymentSchedule33[[#This Row],[Beginning
Balance]],PaymentSchedule33[[#This Row],[Beginning
Balance]]-PaymentSchedule33[[#This Row],[Principal]],0),"")</f>
        <v>203512.49614891276</v>
      </c>
      <c r="K218" s="25">
        <f ca="1">IF(PaymentSchedule33[[#This Row],[Payment Number]]&lt;&gt;"",SUM(INDEX(PaymentSchedule33[Interest],1,1):PaymentSchedule33[[#This Row],[Interest]]),"")</f>
        <v>236923.53493456243</v>
      </c>
      <c r="L218" s="25">
        <f ca="1">IF(PaymentSchedule33[[#This Row],[Payment Number]]&lt;&gt;"",SUM(INDEX(PaymentSchedule33[Principal],1,1):PaymentSchedule33[[#This Row],[Principal]]),"")</f>
        <v>128987.50385108701</v>
      </c>
      <c r="M218" s="25">
        <f ca="1">PaymentSchedule3[[#This Row],[Total
Payment]]-PaymentSchedule33[[#This Row],[Total
Payment]]</f>
        <v>427.19889995542212</v>
      </c>
      <c r="N218" s="25">
        <f ca="1">PaymentSchedule3[[#This Row],[Interest]]-PaymentSchedule33[[#This Row],[Interest]]</f>
        <v>467.48068604512082</v>
      </c>
      <c r="O218" s="25">
        <f ca="1">PaymentSchedule3[[#This Row],[Cumulative
Interest]]-PaymentSchedule33[[#This Row],[Cumulative
Interest]]</f>
        <v>109342.58202825094</v>
      </c>
    </row>
    <row r="219" spans="2:15" x14ac:dyDescent="0.25">
      <c r="B219" s="23">
        <f ca="1">IF(LoanIsGood,IF(ROW()-ROW(PaymentSchedule33[[#Headers],[Payment Number]])&gt;ScheduledNumberOfPayments,"",ROW()-ROW(PaymentSchedule33[[#Headers],[Payment Number]])),"")</f>
        <v>206</v>
      </c>
      <c r="C219" s="24">
        <f ca="1">IF(PaymentSchedule33[[#This Row],[Payment Number]]&lt;&gt;"",EOMONTH(LoanStartDate,ROW(PaymentSchedule33[[#This Row],[Payment Number]])-ROW(PaymentSchedule33[[#Headers],[Payment Number]])-2)+DAY(LoanStartDate),"")</f>
        <v>51706</v>
      </c>
      <c r="D219" s="25">
        <f ca="1">IF(PaymentSchedule33[[#This Row],[Payment Number]]&lt;&gt;"",IF(ROW()-ROW(PaymentSchedule33[[#Headers],[Beginning
Balance]])=1,LoanAmount,INDEX(PaymentSchedule33[Ending
Balance],ROW()-ROW(PaymentSchedule33[[#Headers],[Beginning
Balance]])-1)),"")</f>
        <v>203512.49614891276</v>
      </c>
      <c r="E219" s="25">
        <f ca="1">IF(PaymentSchedule33[[#This Row],[Payment Number]]&lt;&gt;"",ScheduledPayment,"")</f>
        <v>1784.9318965153623</v>
      </c>
      <c r="F21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1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19" s="25">
        <f ca="1">IF(PaymentSchedule33[[#This Row],[Payment Number]]&lt;&gt;"",PaymentSchedule33[[#This Row],[Total
Payment]]-PaymentSchedule33[[#This Row],[Interest]],"")</f>
        <v>936.9631625615591</v>
      </c>
      <c r="I219" s="25">
        <f ca="1">IF(PaymentSchedule33[[#This Row],[Payment Number]]&lt;&gt;"",PaymentSchedule33[[#This Row],[Beginning
Balance]]*(InterestRate/PaymentsPerYear),"")</f>
        <v>847.96873395380317</v>
      </c>
      <c r="J219" s="25">
        <f ca="1">IF(PaymentSchedule33[[#This Row],[Payment Number]]&lt;&gt;"",IF(PaymentSchedule33[[#This Row],[Scheduled Payment]]+PaymentSchedule33[[#This Row],[Extra
Payment]]&lt;=PaymentSchedule33[[#This Row],[Beginning
Balance]],PaymentSchedule33[[#This Row],[Beginning
Balance]]-PaymentSchedule33[[#This Row],[Principal]],0),"")</f>
        <v>202575.5329863512</v>
      </c>
      <c r="K219" s="25">
        <f ca="1">IF(PaymentSchedule33[[#This Row],[Payment Number]]&lt;&gt;"",SUM(INDEX(PaymentSchedule33[Interest],1,1):PaymentSchedule33[[#This Row],[Interest]]),"")</f>
        <v>237771.50366851623</v>
      </c>
      <c r="L219" s="25">
        <f ca="1">IF(PaymentSchedule33[[#This Row],[Payment Number]]&lt;&gt;"",SUM(INDEX(PaymentSchedule33[Principal],1,1):PaymentSchedule33[[#This Row],[Principal]]),"")</f>
        <v>129924.46701364857</v>
      </c>
      <c r="M219" s="25">
        <f ca="1">PaymentSchedule3[[#This Row],[Total
Payment]]-PaymentSchedule33[[#This Row],[Total
Payment]]</f>
        <v>427.19889995542212</v>
      </c>
      <c r="N219" s="25">
        <f ca="1">PaymentSchedule3[[#This Row],[Interest]]-PaymentSchedule33[[#This Row],[Interest]]</f>
        <v>466.16053754962877</v>
      </c>
      <c r="O219" s="25">
        <f ca="1">PaymentSchedule3[[#This Row],[Cumulative
Interest]]-PaymentSchedule33[[#This Row],[Cumulative
Interest]]</f>
        <v>109808.74256580055</v>
      </c>
    </row>
    <row r="220" spans="2:15" x14ac:dyDescent="0.25">
      <c r="B220" s="23">
        <f ca="1">IF(LoanIsGood,IF(ROW()-ROW(PaymentSchedule33[[#Headers],[Payment Number]])&gt;ScheduledNumberOfPayments,"",ROW()-ROW(PaymentSchedule33[[#Headers],[Payment Number]])),"")</f>
        <v>207</v>
      </c>
      <c r="C220" s="24">
        <f ca="1">IF(PaymentSchedule33[[#This Row],[Payment Number]]&lt;&gt;"",EOMONTH(LoanStartDate,ROW(PaymentSchedule33[[#This Row],[Payment Number]])-ROW(PaymentSchedule33[[#Headers],[Payment Number]])-2)+DAY(LoanStartDate),"")</f>
        <v>51737</v>
      </c>
      <c r="D220" s="25">
        <f ca="1">IF(PaymentSchedule33[[#This Row],[Payment Number]]&lt;&gt;"",IF(ROW()-ROW(PaymentSchedule33[[#Headers],[Beginning
Balance]])=1,LoanAmount,INDEX(PaymentSchedule33[Ending
Balance],ROW()-ROW(PaymentSchedule33[[#Headers],[Beginning
Balance]])-1)),"")</f>
        <v>202575.5329863512</v>
      </c>
      <c r="E220" s="25">
        <f ca="1">IF(PaymentSchedule33[[#This Row],[Payment Number]]&lt;&gt;"",ScheduledPayment,"")</f>
        <v>1784.9318965153623</v>
      </c>
      <c r="F22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0" s="25">
        <f ca="1">IF(PaymentSchedule33[[#This Row],[Payment Number]]&lt;&gt;"",PaymentSchedule33[[#This Row],[Total
Payment]]-PaymentSchedule33[[#This Row],[Interest]],"")</f>
        <v>940.86717573889894</v>
      </c>
      <c r="I220" s="25">
        <f ca="1">IF(PaymentSchedule33[[#This Row],[Payment Number]]&lt;&gt;"",PaymentSchedule33[[#This Row],[Beginning
Balance]]*(InterestRate/PaymentsPerYear),"")</f>
        <v>844.06472077646333</v>
      </c>
      <c r="J220" s="25">
        <f ca="1">IF(PaymentSchedule33[[#This Row],[Payment Number]]&lt;&gt;"",IF(PaymentSchedule33[[#This Row],[Scheduled Payment]]+PaymentSchedule33[[#This Row],[Extra
Payment]]&lt;=PaymentSchedule33[[#This Row],[Beginning
Balance]],PaymentSchedule33[[#This Row],[Beginning
Balance]]-PaymentSchedule33[[#This Row],[Principal]],0),"")</f>
        <v>201634.66581061229</v>
      </c>
      <c r="K220" s="25">
        <f ca="1">IF(PaymentSchedule33[[#This Row],[Payment Number]]&lt;&gt;"",SUM(INDEX(PaymentSchedule33[Interest],1,1):PaymentSchedule33[[#This Row],[Interest]]),"")</f>
        <v>238615.56838929269</v>
      </c>
      <c r="L220" s="25">
        <f ca="1">IF(PaymentSchedule33[[#This Row],[Payment Number]]&lt;&gt;"",SUM(INDEX(PaymentSchedule33[Principal],1,1):PaymentSchedule33[[#This Row],[Principal]]),"")</f>
        <v>130865.33418938746</v>
      </c>
      <c r="M220" s="25">
        <f ca="1">PaymentSchedule3[[#This Row],[Total
Payment]]-PaymentSchedule33[[#This Row],[Total
Payment]]</f>
        <v>427.19889995542212</v>
      </c>
      <c r="N220" s="25">
        <f ca="1">PaymentSchedule3[[#This Row],[Interest]]-PaymentSchedule33[[#This Row],[Interest]]</f>
        <v>464.82620849799252</v>
      </c>
      <c r="O220" s="25">
        <f ca="1">PaymentSchedule3[[#This Row],[Cumulative
Interest]]-PaymentSchedule33[[#This Row],[Cumulative
Interest]]</f>
        <v>110273.56877429853</v>
      </c>
    </row>
    <row r="221" spans="2:15" x14ac:dyDescent="0.25">
      <c r="B221" s="23">
        <f ca="1">IF(LoanIsGood,IF(ROW()-ROW(PaymentSchedule33[[#Headers],[Payment Number]])&gt;ScheduledNumberOfPayments,"",ROW()-ROW(PaymentSchedule33[[#Headers],[Payment Number]])),"")</f>
        <v>208</v>
      </c>
      <c r="C221" s="24">
        <f ca="1">IF(PaymentSchedule33[[#This Row],[Payment Number]]&lt;&gt;"",EOMONTH(LoanStartDate,ROW(PaymentSchedule33[[#This Row],[Payment Number]])-ROW(PaymentSchedule33[[#Headers],[Payment Number]])-2)+DAY(LoanStartDate),"")</f>
        <v>51768</v>
      </c>
      <c r="D221" s="25">
        <f ca="1">IF(PaymentSchedule33[[#This Row],[Payment Number]]&lt;&gt;"",IF(ROW()-ROW(PaymentSchedule33[[#Headers],[Beginning
Balance]])=1,LoanAmount,INDEX(PaymentSchedule33[Ending
Balance],ROW()-ROW(PaymentSchedule33[[#Headers],[Beginning
Balance]])-1)),"")</f>
        <v>201634.66581061229</v>
      </c>
      <c r="E221" s="25">
        <f ca="1">IF(PaymentSchedule33[[#This Row],[Payment Number]]&lt;&gt;"",ScheduledPayment,"")</f>
        <v>1784.9318965153623</v>
      </c>
      <c r="F22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1" s="25">
        <f ca="1">IF(PaymentSchedule33[[#This Row],[Payment Number]]&lt;&gt;"",PaymentSchedule33[[#This Row],[Total
Payment]]-PaymentSchedule33[[#This Row],[Interest]],"")</f>
        <v>944.78745563781104</v>
      </c>
      <c r="I221" s="25">
        <f ca="1">IF(PaymentSchedule33[[#This Row],[Payment Number]]&lt;&gt;"",PaymentSchedule33[[#This Row],[Beginning
Balance]]*(InterestRate/PaymentsPerYear),"")</f>
        <v>840.14444087755123</v>
      </c>
      <c r="J221" s="25">
        <f ca="1">IF(PaymentSchedule33[[#This Row],[Payment Number]]&lt;&gt;"",IF(PaymentSchedule33[[#This Row],[Scheduled Payment]]+PaymentSchedule33[[#This Row],[Extra
Payment]]&lt;=PaymentSchedule33[[#This Row],[Beginning
Balance]],PaymentSchedule33[[#This Row],[Beginning
Balance]]-PaymentSchedule33[[#This Row],[Principal]],0),"")</f>
        <v>200689.87835497447</v>
      </c>
      <c r="K221" s="25">
        <f ca="1">IF(PaymentSchedule33[[#This Row],[Payment Number]]&lt;&gt;"",SUM(INDEX(PaymentSchedule33[Interest],1,1):PaymentSchedule33[[#This Row],[Interest]]),"")</f>
        <v>239455.71283017023</v>
      </c>
      <c r="L221" s="25">
        <f ca="1">IF(PaymentSchedule33[[#This Row],[Payment Number]]&lt;&gt;"",SUM(INDEX(PaymentSchedule33[Principal],1,1):PaymentSchedule33[[#This Row],[Principal]]),"")</f>
        <v>131810.12164502527</v>
      </c>
      <c r="M221" s="25">
        <f ca="1">PaymentSchedule3[[#This Row],[Total
Payment]]-PaymentSchedule33[[#This Row],[Total
Payment]]</f>
        <v>427.19889995542212</v>
      </c>
      <c r="N221" s="25">
        <f ca="1">PaymentSchedule3[[#This Row],[Interest]]-PaymentSchedule33[[#This Row],[Interest]]</f>
        <v>463.47758917159263</v>
      </c>
      <c r="O221" s="25">
        <f ca="1">PaymentSchedule3[[#This Row],[Cumulative
Interest]]-PaymentSchedule33[[#This Row],[Cumulative
Interest]]</f>
        <v>110737.04636347014</v>
      </c>
    </row>
    <row r="222" spans="2:15" x14ac:dyDescent="0.25">
      <c r="B222" s="23">
        <f ca="1">IF(LoanIsGood,IF(ROW()-ROW(PaymentSchedule33[[#Headers],[Payment Number]])&gt;ScheduledNumberOfPayments,"",ROW()-ROW(PaymentSchedule33[[#Headers],[Payment Number]])),"")</f>
        <v>209</v>
      </c>
      <c r="C222" s="24">
        <f ca="1">IF(PaymentSchedule33[[#This Row],[Payment Number]]&lt;&gt;"",EOMONTH(LoanStartDate,ROW(PaymentSchedule33[[#This Row],[Payment Number]])-ROW(PaymentSchedule33[[#Headers],[Payment Number]])-2)+DAY(LoanStartDate),"")</f>
        <v>51798</v>
      </c>
      <c r="D222" s="25">
        <f ca="1">IF(PaymentSchedule33[[#This Row],[Payment Number]]&lt;&gt;"",IF(ROW()-ROW(PaymentSchedule33[[#Headers],[Beginning
Balance]])=1,LoanAmount,INDEX(PaymentSchedule33[Ending
Balance],ROW()-ROW(PaymentSchedule33[[#Headers],[Beginning
Balance]])-1)),"")</f>
        <v>200689.87835497447</v>
      </c>
      <c r="E222" s="25">
        <f ca="1">IF(PaymentSchedule33[[#This Row],[Payment Number]]&lt;&gt;"",ScheduledPayment,"")</f>
        <v>1784.9318965153623</v>
      </c>
      <c r="F22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2" s="25">
        <f ca="1">IF(PaymentSchedule33[[#This Row],[Payment Number]]&lt;&gt;"",PaymentSchedule33[[#This Row],[Total
Payment]]-PaymentSchedule33[[#This Row],[Interest]],"")</f>
        <v>948.72407003630201</v>
      </c>
      <c r="I222" s="25">
        <f ca="1">IF(PaymentSchedule33[[#This Row],[Payment Number]]&lt;&gt;"",PaymentSchedule33[[#This Row],[Beginning
Balance]]*(InterestRate/PaymentsPerYear),"")</f>
        <v>836.20782647906026</v>
      </c>
      <c r="J222" s="25">
        <f ca="1">IF(PaymentSchedule33[[#This Row],[Payment Number]]&lt;&gt;"",IF(PaymentSchedule33[[#This Row],[Scheduled Payment]]+PaymentSchedule33[[#This Row],[Extra
Payment]]&lt;=PaymentSchedule33[[#This Row],[Beginning
Balance]],PaymentSchedule33[[#This Row],[Beginning
Balance]]-PaymentSchedule33[[#This Row],[Principal]],0),"")</f>
        <v>199741.15428493818</v>
      </c>
      <c r="K222" s="25">
        <f ca="1">IF(PaymentSchedule33[[#This Row],[Payment Number]]&lt;&gt;"",SUM(INDEX(PaymentSchedule33[Interest],1,1):PaymentSchedule33[[#This Row],[Interest]]),"")</f>
        <v>240291.92065664928</v>
      </c>
      <c r="L222" s="25">
        <f ca="1">IF(PaymentSchedule33[[#This Row],[Payment Number]]&lt;&gt;"",SUM(INDEX(PaymentSchedule33[Principal],1,1):PaymentSchedule33[[#This Row],[Principal]]),"")</f>
        <v>132758.84571506156</v>
      </c>
      <c r="M222" s="25">
        <f ca="1">PaymentSchedule3[[#This Row],[Total
Payment]]-PaymentSchedule33[[#This Row],[Total
Payment]]</f>
        <v>427.19889995542212</v>
      </c>
      <c r="N222" s="25">
        <f ca="1">PaymentSchedule3[[#This Row],[Interest]]-PaymentSchedule33[[#This Row],[Interest]]</f>
        <v>462.11456909929075</v>
      </c>
      <c r="O222" s="25">
        <f ca="1">PaymentSchedule3[[#This Row],[Cumulative
Interest]]-PaymentSchedule33[[#This Row],[Cumulative
Interest]]</f>
        <v>111199.16093256947</v>
      </c>
    </row>
    <row r="223" spans="2:15" x14ac:dyDescent="0.25">
      <c r="B223" s="23">
        <f ca="1">IF(LoanIsGood,IF(ROW()-ROW(PaymentSchedule33[[#Headers],[Payment Number]])&gt;ScheduledNumberOfPayments,"",ROW()-ROW(PaymentSchedule33[[#Headers],[Payment Number]])),"")</f>
        <v>210</v>
      </c>
      <c r="C223" s="24">
        <f ca="1">IF(PaymentSchedule33[[#This Row],[Payment Number]]&lt;&gt;"",EOMONTH(LoanStartDate,ROW(PaymentSchedule33[[#This Row],[Payment Number]])-ROW(PaymentSchedule33[[#Headers],[Payment Number]])-2)+DAY(LoanStartDate),"")</f>
        <v>51829</v>
      </c>
      <c r="D223" s="25">
        <f ca="1">IF(PaymentSchedule33[[#This Row],[Payment Number]]&lt;&gt;"",IF(ROW()-ROW(PaymentSchedule33[[#Headers],[Beginning
Balance]])=1,LoanAmount,INDEX(PaymentSchedule33[Ending
Balance],ROW()-ROW(PaymentSchedule33[[#Headers],[Beginning
Balance]])-1)),"")</f>
        <v>199741.15428493818</v>
      </c>
      <c r="E223" s="25">
        <f ca="1">IF(PaymentSchedule33[[#This Row],[Payment Number]]&lt;&gt;"",ScheduledPayment,"")</f>
        <v>1784.9318965153623</v>
      </c>
      <c r="F22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3" s="25">
        <f ca="1">IF(PaymentSchedule33[[#This Row],[Payment Number]]&lt;&gt;"",PaymentSchedule33[[#This Row],[Total
Payment]]-PaymentSchedule33[[#This Row],[Interest]],"")</f>
        <v>952.67708699478658</v>
      </c>
      <c r="I223" s="25">
        <f ca="1">IF(PaymentSchedule33[[#This Row],[Payment Number]]&lt;&gt;"",PaymentSchedule33[[#This Row],[Beginning
Balance]]*(InterestRate/PaymentsPerYear),"")</f>
        <v>832.25480952057569</v>
      </c>
      <c r="J223" s="25">
        <f ca="1">IF(PaymentSchedule33[[#This Row],[Payment Number]]&lt;&gt;"",IF(PaymentSchedule33[[#This Row],[Scheduled Payment]]+PaymentSchedule33[[#This Row],[Extra
Payment]]&lt;=PaymentSchedule33[[#This Row],[Beginning
Balance]],PaymentSchedule33[[#This Row],[Beginning
Balance]]-PaymentSchedule33[[#This Row],[Principal]],0),"")</f>
        <v>198788.4771979434</v>
      </c>
      <c r="K223" s="25">
        <f ca="1">IF(PaymentSchedule33[[#This Row],[Payment Number]]&lt;&gt;"",SUM(INDEX(PaymentSchedule33[Interest],1,1):PaymentSchedule33[[#This Row],[Interest]]),"")</f>
        <v>241124.17546616987</v>
      </c>
      <c r="L223" s="25">
        <f ca="1">IF(PaymentSchedule33[[#This Row],[Payment Number]]&lt;&gt;"",SUM(INDEX(PaymentSchedule33[Principal],1,1):PaymentSchedule33[[#This Row],[Principal]]),"")</f>
        <v>133711.52280205634</v>
      </c>
      <c r="M223" s="25">
        <f ca="1">PaymentSchedule3[[#This Row],[Total
Payment]]-PaymentSchedule33[[#This Row],[Total
Payment]]</f>
        <v>427.19889995542212</v>
      </c>
      <c r="N223" s="25">
        <f ca="1">PaymentSchedule3[[#This Row],[Interest]]-PaymentSchedule33[[#This Row],[Interest]]</f>
        <v>460.73703705256958</v>
      </c>
      <c r="O223" s="25">
        <f ca="1">PaymentSchedule3[[#This Row],[Cumulative
Interest]]-PaymentSchedule33[[#This Row],[Cumulative
Interest]]</f>
        <v>111659.89796962202</v>
      </c>
    </row>
    <row r="224" spans="2:15" x14ac:dyDescent="0.25">
      <c r="B224" s="23">
        <f ca="1">IF(LoanIsGood,IF(ROW()-ROW(PaymentSchedule33[[#Headers],[Payment Number]])&gt;ScheduledNumberOfPayments,"",ROW()-ROW(PaymentSchedule33[[#Headers],[Payment Number]])),"")</f>
        <v>211</v>
      </c>
      <c r="C224" s="24">
        <f ca="1">IF(PaymentSchedule33[[#This Row],[Payment Number]]&lt;&gt;"",EOMONTH(LoanStartDate,ROW(PaymentSchedule33[[#This Row],[Payment Number]])-ROW(PaymentSchedule33[[#Headers],[Payment Number]])-2)+DAY(LoanStartDate),"")</f>
        <v>51859</v>
      </c>
      <c r="D224" s="25">
        <f ca="1">IF(PaymentSchedule33[[#This Row],[Payment Number]]&lt;&gt;"",IF(ROW()-ROW(PaymentSchedule33[[#Headers],[Beginning
Balance]])=1,LoanAmount,INDEX(PaymentSchedule33[Ending
Balance],ROW()-ROW(PaymentSchedule33[[#Headers],[Beginning
Balance]])-1)),"")</f>
        <v>198788.4771979434</v>
      </c>
      <c r="E224" s="25">
        <f ca="1">IF(PaymentSchedule33[[#This Row],[Payment Number]]&lt;&gt;"",ScheduledPayment,"")</f>
        <v>1784.9318965153623</v>
      </c>
      <c r="F22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4" s="25">
        <f ca="1">IF(PaymentSchedule33[[#This Row],[Payment Number]]&lt;&gt;"",PaymentSchedule33[[#This Row],[Total
Payment]]-PaymentSchedule33[[#This Row],[Interest]],"")</f>
        <v>956.6465748572648</v>
      </c>
      <c r="I224" s="25">
        <f ca="1">IF(PaymentSchedule33[[#This Row],[Payment Number]]&lt;&gt;"",PaymentSchedule33[[#This Row],[Beginning
Balance]]*(InterestRate/PaymentsPerYear),"")</f>
        <v>828.28532165809747</v>
      </c>
      <c r="J224" s="25">
        <f ca="1">IF(PaymentSchedule33[[#This Row],[Payment Number]]&lt;&gt;"",IF(PaymentSchedule33[[#This Row],[Scheduled Payment]]+PaymentSchedule33[[#This Row],[Extra
Payment]]&lt;=PaymentSchedule33[[#This Row],[Beginning
Balance]],PaymentSchedule33[[#This Row],[Beginning
Balance]]-PaymentSchedule33[[#This Row],[Principal]],0),"")</f>
        <v>197831.83062308613</v>
      </c>
      <c r="K224" s="25">
        <f ca="1">IF(PaymentSchedule33[[#This Row],[Payment Number]]&lt;&gt;"",SUM(INDEX(PaymentSchedule33[Interest],1,1):PaymentSchedule33[[#This Row],[Interest]]),"")</f>
        <v>241952.46078782796</v>
      </c>
      <c r="L224" s="25">
        <f ca="1">IF(PaymentSchedule33[[#This Row],[Payment Number]]&lt;&gt;"",SUM(INDEX(PaymentSchedule33[Principal],1,1):PaymentSchedule33[[#This Row],[Principal]]),"")</f>
        <v>134668.1693769136</v>
      </c>
      <c r="M224" s="25">
        <f ca="1">PaymentSchedule3[[#This Row],[Total
Payment]]-PaymentSchedule33[[#This Row],[Total
Payment]]</f>
        <v>427.19889995542212</v>
      </c>
      <c r="N224" s="25">
        <f ca="1">PaymentSchedule3[[#This Row],[Interest]]-PaymentSchedule33[[#This Row],[Interest]]</f>
        <v>459.34488104064485</v>
      </c>
      <c r="O224" s="25">
        <f ca="1">PaymentSchedule3[[#This Row],[Cumulative
Interest]]-PaymentSchedule33[[#This Row],[Cumulative
Interest]]</f>
        <v>112119.24285066267</v>
      </c>
    </row>
    <row r="225" spans="2:15" x14ac:dyDescent="0.25">
      <c r="B225" s="23">
        <f ca="1">IF(LoanIsGood,IF(ROW()-ROW(PaymentSchedule33[[#Headers],[Payment Number]])&gt;ScheduledNumberOfPayments,"",ROW()-ROW(PaymentSchedule33[[#Headers],[Payment Number]])),"")</f>
        <v>212</v>
      </c>
      <c r="C225" s="24">
        <f ca="1">IF(PaymentSchedule33[[#This Row],[Payment Number]]&lt;&gt;"",EOMONTH(LoanStartDate,ROW(PaymentSchedule33[[#This Row],[Payment Number]])-ROW(PaymentSchedule33[[#Headers],[Payment Number]])-2)+DAY(LoanStartDate),"")</f>
        <v>51890</v>
      </c>
      <c r="D225" s="25">
        <f ca="1">IF(PaymentSchedule33[[#This Row],[Payment Number]]&lt;&gt;"",IF(ROW()-ROW(PaymentSchedule33[[#Headers],[Beginning
Balance]])=1,LoanAmount,INDEX(PaymentSchedule33[Ending
Balance],ROW()-ROW(PaymentSchedule33[[#Headers],[Beginning
Balance]])-1)),"")</f>
        <v>197831.83062308613</v>
      </c>
      <c r="E225" s="25">
        <f ca="1">IF(PaymentSchedule33[[#This Row],[Payment Number]]&lt;&gt;"",ScheduledPayment,"")</f>
        <v>1784.9318965153623</v>
      </c>
      <c r="F22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5" s="25">
        <f ca="1">IF(PaymentSchedule33[[#This Row],[Payment Number]]&lt;&gt;"",PaymentSchedule33[[#This Row],[Total
Payment]]-PaymentSchedule33[[#This Row],[Interest]],"")</f>
        <v>960.63260225250337</v>
      </c>
      <c r="I225" s="25">
        <f ca="1">IF(PaymentSchedule33[[#This Row],[Payment Number]]&lt;&gt;"",PaymentSchedule33[[#This Row],[Beginning
Balance]]*(InterestRate/PaymentsPerYear),"")</f>
        <v>824.29929426285889</v>
      </c>
      <c r="J225" s="25">
        <f ca="1">IF(PaymentSchedule33[[#This Row],[Payment Number]]&lt;&gt;"",IF(PaymentSchedule33[[#This Row],[Scheduled Payment]]+PaymentSchedule33[[#This Row],[Extra
Payment]]&lt;=PaymentSchedule33[[#This Row],[Beginning
Balance]],PaymentSchedule33[[#This Row],[Beginning
Balance]]-PaymentSchedule33[[#This Row],[Principal]],0),"")</f>
        <v>196871.19802083363</v>
      </c>
      <c r="K225" s="25">
        <f ca="1">IF(PaymentSchedule33[[#This Row],[Payment Number]]&lt;&gt;"",SUM(INDEX(PaymentSchedule33[Interest],1,1):PaymentSchedule33[[#This Row],[Interest]]),"")</f>
        <v>242776.76008209083</v>
      </c>
      <c r="L225" s="25">
        <f ca="1">IF(PaymentSchedule33[[#This Row],[Payment Number]]&lt;&gt;"",SUM(INDEX(PaymentSchedule33[Principal],1,1):PaymentSchedule33[[#This Row],[Principal]]),"")</f>
        <v>135628.80197916611</v>
      </c>
      <c r="M225" s="25">
        <f ca="1">PaymentSchedule3[[#This Row],[Total
Payment]]-PaymentSchedule33[[#This Row],[Total
Payment]]</f>
        <v>427.19889995542212</v>
      </c>
      <c r="N225" s="25">
        <f ca="1">PaymentSchedule3[[#This Row],[Interest]]-PaymentSchedule33[[#This Row],[Interest]]</f>
        <v>457.93798830554647</v>
      </c>
      <c r="O225" s="25">
        <f ca="1">PaymentSchedule3[[#This Row],[Cumulative
Interest]]-PaymentSchedule33[[#This Row],[Cumulative
Interest]]</f>
        <v>112577.18083896823</v>
      </c>
    </row>
    <row r="226" spans="2:15" x14ac:dyDescent="0.25">
      <c r="B226" s="23">
        <f ca="1">IF(LoanIsGood,IF(ROW()-ROW(PaymentSchedule33[[#Headers],[Payment Number]])&gt;ScheduledNumberOfPayments,"",ROW()-ROW(PaymentSchedule33[[#Headers],[Payment Number]])),"")</f>
        <v>213</v>
      </c>
      <c r="C226" s="24">
        <f ca="1">IF(PaymentSchedule33[[#This Row],[Payment Number]]&lt;&gt;"",EOMONTH(LoanStartDate,ROW(PaymentSchedule33[[#This Row],[Payment Number]])-ROW(PaymentSchedule33[[#Headers],[Payment Number]])-2)+DAY(LoanStartDate),"")</f>
        <v>51921</v>
      </c>
      <c r="D226" s="25">
        <f ca="1">IF(PaymentSchedule33[[#This Row],[Payment Number]]&lt;&gt;"",IF(ROW()-ROW(PaymentSchedule33[[#Headers],[Beginning
Balance]])=1,LoanAmount,INDEX(PaymentSchedule33[Ending
Balance],ROW()-ROW(PaymentSchedule33[[#Headers],[Beginning
Balance]])-1)),"")</f>
        <v>196871.19802083363</v>
      </c>
      <c r="E226" s="25">
        <f ca="1">IF(PaymentSchedule33[[#This Row],[Payment Number]]&lt;&gt;"",ScheduledPayment,"")</f>
        <v>1784.9318965153623</v>
      </c>
      <c r="F22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6" s="25">
        <f ca="1">IF(PaymentSchedule33[[#This Row],[Payment Number]]&lt;&gt;"",PaymentSchedule33[[#This Row],[Total
Payment]]-PaymentSchedule33[[#This Row],[Interest]],"")</f>
        <v>964.63523809522212</v>
      </c>
      <c r="I226" s="25">
        <f ca="1">IF(PaymentSchedule33[[#This Row],[Payment Number]]&lt;&gt;"",PaymentSchedule33[[#This Row],[Beginning
Balance]]*(InterestRate/PaymentsPerYear),"")</f>
        <v>820.29665842014015</v>
      </c>
      <c r="J226" s="25">
        <f ca="1">IF(PaymentSchedule33[[#This Row],[Payment Number]]&lt;&gt;"",IF(PaymentSchedule33[[#This Row],[Scheduled Payment]]+PaymentSchedule33[[#This Row],[Extra
Payment]]&lt;=PaymentSchedule33[[#This Row],[Beginning
Balance]],PaymentSchedule33[[#This Row],[Beginning
Balance]]-PaymentSchedule33[[#This Row],[Principal]],0),"")</f>
        <v>195906.56278273842</v>
      </c>
      <c r="K226" s="25">
        <f ca="1">IF(PaymentSchedule33[[#This Row],[Payment Number]]&lt;&gt;"",SUM(INDEX(PaymentSchedule33[Interest],1,1):PaymentSchedule33[[#This Row],[Interest]]),"")</f>
        <v>243597.05674051098</v>
      </c>
      <c r="L226" s="25">
        <f ca="1">IF(PaymentSchedule33[[#This Row],[Payment Number]]&lt;&gt;"",SUM(INDEX(PaymentSchedule33[Principal],1,1):PaymentSchedule33[[#This Row],[Principal]]),"")</f>
        <v>136593.43721726132</v>
      </c>
      <c r="M226" s="25">
        <f ca="1">PaymentSchedule3[[#This Row],[Total
Payment]]-PaymentSchedule33[[#This Row],[Total
Payment]]</f>
        <v>427.19889995542212</v>
      </c>
      <c r="N226" s="25">
        <f ca="1">PaymentSchedule3[[#This Row],[Interest]]-PaymentSchedule33[[#This Row],[Interest]]</f>
        <v>456.51624531716811</v>
      </c>
      <c r="O226" s="25">
        <f ca="1">PaymentSchedule3[[#This Row],[Cumulative
Interest]]-PaymentSchedule33[[#This Row],[Cumulative
Interest]]</f>
        <v>113033.69708428538</v>
      </c>
    </row>
    <row r="227" spans="2:15" x14ac:dyDescent="0.25">
      <c r="B227" s="23">
        <f ca="1">IF(LoanIsGood,IF(ROW()-ROW(PaymentSchedule33[[#Headers],[Payment Number]])&gt;ScheduledNumberOfPayments,"",ROW()-ROW(PaymentSchedule33[[#Headers],[Payment Number]])),"")</f>
        <v>214</v>
      </c>
      <c r="C227" s="24">
        <f ca="1">IF(PaymentSchedule33[[#This Row],[Payment Number]]&lt;&gt;"",EOMONTH(LoanStartDate,ROW(PaymentSchedule33[[#This Row],[Payment Number]])-ROW(PaymentSchedule33[[#Headers],[Payment Number]])-2)+DAY(LoanStartDate),"")</f>
        <v>51949</v>
      </c>
      <c r="D227" s="25">
        <f ca="1">IF(PaymentSchedule33[[#This Row],[Payment Number]]&lt;&gt;"",IF(ROW()-ROW(PaymentSchedule33[[#Headers],[Beginning
Balance]])=1,LoanAmount,INDEX(PaymentSchedule33[Ending
Balance],ROW()-ROW(PaymentSchedule33[[#Headers],[Beginning
Balance]])-1)),"")</f>
        <v>195906.56278273842</v>
      </c>
      <c r="E227" s="25">
        <f ca="1">IF(PaymentSchedule33[[#This Row],[Payment Number]]&lt;&gt;"",ScheduledPayment,"")</f>
        <v>1784.9318965153623</v>
      </c>
      <c r="F22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7" s="25">
        <f ca="1">IF(PaymentSchedule33[[#This Row],[Payment Number]]&lt;&gt;"",PaymentSchedule33[[#This Row],[Total
Payment]]-PaymentSchedule33[[#This Row],[Interest]],"")</f>
        <v>968.6545515872856</v>
      </c>
      <c r="I227" s="25">
        <f ca="1">IF(PaymentSchedule33[[#This Row],[Payment Number]]&lt;&gt;"",PaymentSchedule33[[#This Row],[Beginning
Balance]]*(InterestRate/PaymentsPerYear),"")</f>
        <v>816.27734492807667</v>
      </c>
      <c r="J227" s="25">
        <f ca="1">IF(PaymentSchedule33[[#This Row],[Payment Number]]&lt;&gt;"",IF(PaymentSchedule33[[#This Row],[Scheduled Payment]]+PaymentSchedule33[[#This Row],[Extra
Payment]]&lt;=PaymentSchedule33[[#This Row],[Beginning
Balance]],PaymentSchedule33[[#This Row],[Beginning
Balance]]-PaymentSchedule33[[#This Row],[Principal]],0),"")</f>
        <v>194937.90823115114</v>
      </c>
      <c r="K227" s="25">
        <f ca="1">IF(PaymentSchedule33[[#This Row],[Payment Number]]&lt;&gt;"",SUM(INDEX(PaymentSchedule33[Interest],1,1):PaymentSchedule33[[#This Row],[Interest]]),"")</f>
        <v>244413.33408543904</v>
      </c>
      <c r="L227" s="25">
        <f ca="1">IF(PaymentSchedule33[[#This Row],[Payment Number]]&lt;&gt;"",SUM(INDEX(PaymentSchedule33[Principal],1,1):PaymentSchedule33[[#This Row],[Principal]]),"")</f>
        <v>137562.09176884859</v>
      </c>
      <c r="M227" s="25">
        <f ca="1">PaymentSchedule3[[#This Row],[Total
Payment]]-PaymentSchedule33[[#This Row],[Total
Payment]]</f>
        <v>427.19889995542212</v>
      </c>
      <c r="N227" s="25">
        <f ca="1">PaymentSchedule3[[#This Row],[Interest]]-PaymentSchedule33[[#This Row],[Interest]]</f>
        <v>455.0795377682864</v>
      </c>
      <c r="O227" s="25">
        <f ca="1">PaymentSchedule3[[#This Row],[Cumulative
Interest]]-PaymentSchedule33[[#This Row],[Cumulative
Interest]]</f>
        <v>113488.7766220537</v>
      </c>
    </row>
    <row r="228" spans="2:15" x14ac:dyDescent="0.25">
      <c r="B228" s="23">
        <f ca="1">IF(LoanIsGood,IF(ROW()-ROW(PaymentSchedule33[[#Headers],[Payment Number]])&gt;ScheduledNumberOfPayments,"",ROW()-ROW(PaymentSchedule33[[#Headers],[Payment Number]])),"")</f>
        <v>215</v>
      </c>
      <c r="C228" s="24">
        <f ca="1">IF(PaymentSchedule33[[#This Row],[Payment Number]]&lt;&gt;"",EOMONTH(LoanStartDate,ROW(PaymentSchedule33[[#This Row],[Payment Number]])-ROW(PaymentSchedule33[[#Headers],[Payment Number]])-2)+DAY(LoanStartDate),"")</f>
        <v>51980</v>
      </c>
      <c r="D228" s="25">
        <f ca="1">IF(PaymentSchedule33[[#This Row],[Payment Number]]&lt;&gt;"",IF(ROW()-ROW(PaymentSchedule33[[#Headers],[Beginning
Balance]])=1,LoanAmount,INDEX(PaymentSchedule33[Ending
Balance],ROW()-ROW(PaymentSchedule33[[#Headers],[Beginning
Balance]])-1)),"")</f>
        <v>194937.90823115114</v>
      </c>
      <c r="E228" s="25">
        <f ca="1">IF(PaymentSchedule33[[#This Row],[Payment Number]]&lt;&gt;"",ScheduledPayment,"")</f>
        <v>1784.9318965153623</v>
      </c>
      <c r="F22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8" s="25">
        <f ca="1">IF(PaymentSchedule33[[#This Row],[Payment Number]]&lt;&gt;"",PaymentSchedule33[[#This Row],[Total
Payment]]-PaymentSchedule33[[#This Row],[Interest]],"")</f>
        <v>972.69061221889922</v>
      </c>
      <c r="I228" s="25">
        <f ca="1">IF(PaymentSchedule33[[#This Row],[Payment Number]]&lt;&gt;"",PaymentSchedule33[[#This Row],[Beginning
Balance]]*(InterestRate/PaymentsPerYear),"")</f>
        <v>812.24128429646305</v>
      </c>
      <c r="J228" s="25">
        <f ca="1">IF(PaymentSchedule33[[#This Row],[Payment Number]]&lt;&gt;"",IF(PaymentSchedule33[[#This Row],[Scheduled Payment]]+PaymentSchedule33[[#This Row],[Extra
Payment]]&lt;=PaymentSchedule33[[#This Row],[Beginning
Balance]],PaymentSchedule33[[#This Row],[Beginning
Balance]]-PaymentSchedule33[[#This Row],[Principal]],0),"")</f>
        <v>193965.21761893225</v>
      </c>
      <c r="K228" s="25">
        <f ca="1">IF(PaymentSchedule33[[#This Row],[Payment Number]]&lt;&gt;"",SUM(INDEX(PaymentSchedule33[Interest],1,1):PaymentSchedule33[[#This Row],[Interest]]),"")</f>
        <v>245225.57536973551</v>
      </c>
      <c r="L228" s="25">
        <f ca="1">IF(PaymentSchedule33[[#This Row],[Payment Number]]&lt;&gt;"",SUM(INDEX(PaymentSchedule33[Principal],1,1):PaymentSchedule33[[#This Row],[Principal]]),"")</f>
        <v>138534.78238106749</v>
      </c>
      <c r="M228" s="25">
        <f ca="1">PaymentSchedule3[[#This Row],[Total
Payment]]-PaymentSchedule33[[#This Row],[Total
Payment]]</f>
        <v>427.19889995542212</v>
      </c>
      <c r="N228" s="25">
        <f ca="1">PaymentSchedule3[[#This Row],[Interest]]-PaymentSchedule33[[#This Row],[Interest]]</f>
        <v>453.62775056954899</v>
      </c>
      <c r="O228" s="25">
        <f ca="1">PaymentSchedule3[[#This Row],[Cumulative
Interest]]-PaymentSchedule33[[#This Row],[Cumulative
Interest]]</f>
        <v>113942.40437262322</v>
      </c>
    </row>
    <row r="229" spans="2:15" x14ac:dyDescent="0.25">
      <c r="B229" s="23">
        <f ca="1">IF(LoanIsGood,IF(ROW()-ROW(PaymentSchedule33[[#Headers],[Payment Number]])&gt;ScheduledNumberOfPayments,"",ROW()-ROW(PaymentSchedule33[[#Headers],[Payment Number]])),"")</f>
        <v>216</v>
      </c>
      <c r="C229" s="24">
        <f ca="1">IF(PaymentSchedule33[[#This Row],[Payment Number]]&lt;&gt;"",EOMONTH(LoanStartDate,ROW(PaymentSchedule33[[#This Row],[Payment Number]])-ROW(PaymentSchedule33[[#Headers],[Payment Number]])-2)+DAY(LoanStartDate),"")</f>
        <v>52010</v>
      </c>
      <c r="D229" s="25">
        <f ca="1">IF(PaymentSchedule33[[#This Row],[Payment Number]]&lt;&gt;"",IF(ROW()-ROW(PaymentSchedule33[[#Headers],[Beginning
Balance]])=1,LoanAmount,INDEX(PaymentSchedule33[Ending
Balance],ROW()-ROW(PaymentSchedule33[[#Headers],[Beginning
Balance]])-1)),"")</f>
        <v>193965.21761893225</v>
      </c>
      <c r="E229" s="25">
        <f ca="1">IF(PaymentSchedule33[[#This Row],[Payment Number]]&lt;&gt;"",ScheduledPayment,"")</f>
        <v>1784.9318965153623</v>
      </c>
      <c r="F22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2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29" s="25">
        <f ca="1">IF(PaymentSchedule33[[#This Row],[Payment Number]]&lt;&gt;"",PaymentSchedule33[[#This Row],[Total
Payment]]-PaymentSchedule33[[#This Row],[Interest]],"")</f>
        <v>976.74348976981128</v>
      </c>
      <c r="I229" s="25">
        <f ca="1">IF(PaymentSchedule33[[#This Row],[Payment Number]]&lt;&gt;"",PaymentSchedule33[[#This Row],[Beginning
Balance]]*(InterestRate/PaymentsPerYear),"")</f>
        <v>808.18840674555099</v>
      </c>
      <c r="J229" s="25">
        <f ca="1">IF(PaymentSchedule33[[#This Row],[Payment Number]]&lt;&gt;"",IF(PaymentSchedule33[[#This Row],[Scheduled Payment]]+PaymentSchedule33[[#This Row],[Extra
Payment]]&lt;=PaymentSchedule33[[#This Row],[Beginning
Balance]],PaymentSchedule33[[#This Row],[Beginning
Balance]]-PaymentSchedule33[[#This Row],[Principal]],0),"")</f>
        <v>192988.47412916244</v>
      </c>
      <c r="K229" s="25">
        <f ca="1">IF(PaymentSchedule33[[#This Row],[Payment Number]]&lt;&gt;"",SUM(INDEX(PaymentSchedule33[Interest],1,1):PaymentSchedule33[[#This Row],[Interest]]),"")</f>
        <v>246033.76377648106</v>
      </c>
      <c r="L229" s="25">
        <f ca="1">IF(PaymentSchedule33[[#This Row],[Payment Number]]&lt;&gt;"",SUM(INDEX(PaymentSchedule33[Principal],1,1):PaymentSchedule33[[#This Row],[Principal]]),"")</f>
        <v>139511.5258708373</v>
      </c>
      <c r="M229" s="25">
        <f ca="1">PaymentSchedule3[[#This Row],[Total
Payment]]-PaymentSchedule33[[#This Row],[Total
Payment]]</f>
        <v>427.19889995542212</v>
      </c>
      <c r="N229" s="25">
        <f ca="1">PaymentSchedule3[[#This Row],[Interest]]-PaymentSchedule33[[#This Row],[Interest]]</f>
        <v>452.16076784443317</v>
      </c>
      <c r="O229" s="25">
        <f ca="1">PaymentSchedule3[[#This Row],[Cumulative
Interest]]-PaymentSchedule33[[#This Row],[Cumulative
Interest]]</f>
        <v>114394.56514046763</v>
      </c>
    </row>
    <row r="230" spans="2:15" x14ac:dyDescent="0.25">
      <c r="B230" s="23">
        <f ca="1">IF(LoanIsGood,IF(ROW()-ROW(PaymentSchedule33[[#Headers],[Payment Number]])&gt;ScheduledNumberOfPayments,"",ROW()-ROW(PaymentSchedule33[[#Headers],[Payment Number]])),"")</f>
        <v>217</v>
      </c>
      <c r="C230" s="24">
        <f ca="1">IF(PaymentSchedule33[[#This Row],[Payment Number]]&lt;&gt;"",EOMONTH(LoanStartDate,ROW(PaymentSchedule33[[#This Row],[Payment Number]])-ROW(PaymentSchedule33[[#Headers],[Payment Number]])-2)+DAY(LoanStartDate),"")</f>
        <v>52041</v>
      </c>
      <c r="D230" s="25">
        <f ca="1">IF(PaymentSchedule33[[#This Row],[Payment Number]]&lt;&gt;"",IF(ROW()-ROW(PaymentSchedule33[[#Headers],[Beginning
Balance]])=1,LoanAmount,INDEX(PaymentSchedule33[Ending
Balance],ROW()-ROW(PaymentSchedule33[[#Headers],[Beginning
Balance]])-1)),"")</f>
        <v>192988.47412916244</v>
      </c>
      <c r="E230" s="25">
        <f ca="1">IF(PaymentSchedule33[[#This Row],[Payment Number]]&lt;&gt;"",ScheduledPayment,"")</f>
        <v>1784.9318965153623</v>
      </c>
      <c r="F23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0" s="25">
        <f ca="1">IF(PaymentSchedule33[[#This Row],[Payment Number]]&lt;&gt;"",PaymentSchedule33[[#This Row],[Total
Payment]]-PaymentSchedule33[[#This Row],[Interest]],"")</f>
        <v>980.8132543105188</v>
      </c>
      <c r="I230" s="25">
        <f ca="1">IF(PaymentSchedule33[[#This Row],[Payment Number]]&lt;&gt;"",PaymentSchedule33[[#This Row],[Beginning
Balance]]*(InterestRate/PaymentsPerYear),"")</f>
        <v>804.11864220484347</v>
      </c>
      <c r="J230" s="25">
        <f ca="1">IF(PaymentSchedule33[[#This Row],[Payment Number]]&lt;&gt;"",IF(PaymentSchedule33[[#This Row],[Scheduled Payment]]+PaymentSchedule33[[#This Row],[Extra
Payment]]&lt;=PaymentSchedule33[[#This Row],[Beginning
Balance]],PaymentSchedule33[[#This Row],[Beginning
Balance]]-PaymentSchedule33[[#This Row],[Principal]],0),"")</f>
        <v>192007.66087485192</v>
      </c>
      <c r="K230" s="25">
        <f ca="1">IF(PaymentSchedule33[[#This Row],[Payment Number]]&lt;&gt;"",SUM(INDEX(PaymentSchedule33[Interest],1,1):PaymentSchedule33[[#This Row],[Interest]]),"")</f>
        <v>246837.88241868591</v>
      </c>
      <c r="L230" s="25">
        <f ca="1">IF(PaymentSchedule33[[#This Row],[Payment Number]]&lt;&gt;"",SUM(INDEX(PaymentSchedule33[Principal],1,1):PaymentSchedule33[[#This Row],[Principal]]),"")</f>
        <v>140492.33912514782</v>
      </c>
      <c r="M230" s="25">
        <f ca="1">PaymentSchedule3[[#This Row],[Total
Payment]]-PaymentSchedule33[[#This Row],[Total
Payment]]</f>
        <v>427.19889995542212</v>
      </c>
      <c r="N230" s="25">
        <f ca="1">PaymentSchedule3[[#This Row],[Interest]]-PaymentSchedule33[[#This Row],[Interest]]</f>
        <v>450.67847292416934</v>
      </c>
      <c r="O230" s="25">
        <f ca="1">PaymentSchedule3[[#This Row],[Cumulative
Interest]]-PaymentSchedule33[[#This Row],[Cumulative
Interest]]</f>
        <v>114845.24361339179</v>
      </c>
    </row>
    <row r="231" spans="2:15" x14ac:dyDescent="0.25">
      <c r="B231" s="23">
        <f ca="1">IF(LoanIsGood,IF(ROW()-ROW(PaymentSchedule33[[#Headers],[Payment Number]])&gt;ScheduledNumberOfPayments,"",ROW()-ROW(PaymentSchedule33[[#Headers],[Payment Number]])),"")</f>
        <v>218</v>
      </c>
      <c r="C231" s="24">
        <f ca="1">IF(PaymentSchedule33[[#This Row],[Payment Number]]&lt;&gt;"",EOMONTH(LoanStartDate,ROW(PaymentSchedule33[[#This Row],[Payment Number]])-ROW(PaymentSchedule33[[#Headers],[Payment Number]])-2)+DAY(LoanStartDate),"")</f>
        <v>52071</v>
      </c>
      <c r="D231" s="25">
        <f ca="1">IF(PaymentSchedule33[[#This Row],[Payment Number]]&lt;&gt;"",IF(ROW()-ROW(PaymentSchedule33[[#Headers],[Beginning
Balance]])=1,LoanAmount,INDEX(PaymentSchedule33[Ending
Balance],ROW()-ROW(PaymentSchedule33[[#Headers],[Beginning
Balance]])-1)),"")</f>
        <v>192007.66087485192</v>
      </c>
      <c r="E231" s="25">
        <f ca="1">IF(PaymentSchedule33[[#This Row],[Payment Number]]&lt;&gt;"",ScheduledPayment,"")</f>
        <v>1784.9318965153623</v>
      </c>
      <c r="F23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1" s="25">
        <f ca="1">IF(PaymentSchedule33[[#This Row],[Payment Number]]&lt;&gt;"",PaymentSchedule33[[#This Row],[Total
Payment]]-PaymentSchedule33[[#This Row],[Interest]],"")</f>
        <v>984.89997620347924</v>
      </c>
      <c r="I231" s="25">
        <f ca="1">IF(PaymentSchedule33[[#This Row],[Payment Number]]&lt;&gt;"",PaymentSchedule33[[#This Row],[Beginning
Balance]]*(InterestRate/PaymentsPerYear),"")</f>
        <v>800.03192031188303</v>
      </c>
      <c r="J231" s="25">
        <f ca="1">IF(PaymentSchedule33[[#This Row],[Payment Number]]&lt;&gt;"",IF(PaymentSchedule33[[#This Row],[Scheduled Payment]]+PaymentSchedule33[[#This Row],[Extra
Payment]]&lt;=PaymentSchedule33[[#This Row],[Beginning
Balance]],PaymentSchedule33[[#This Row],[Beginning
Balance]]-PaymentSchedule33[[#This Row],[Principal]],0),"")</f>
        <v>191022.76089864844</v>
      </c>
      <c r="K231" s="25">
        <f ca="1">IF(PaymentSchedule33[[#This Row],[Payment Number]]&lt;&gt;"",SUM(INDEX(PaymentSchedule33[Interest],1,1):PaymentSchedule33[[#This Row],[Interest]]),"")</f>
        <v>247637.9143389978</v>
      </c>
      <c r="L231" s="25">
        <f ca="1">IF(PaymentSchedule33[[#This Row],[Payment Number]]&lt;&gt;"",SUM(INDEX(PaymentSchedule33[Principal],1,1):PaymentSchedule33[[#This Row],[Principal]]),"")</f>
        <v>141477.2391013513</v>
      </c>
      <c r="M231" s="25">
        <f ca="1">PaymentSchedule3[[#This Row],[Total
Payment]]-PaymentSchedule33[[#This Row],[Total
Payment]]</f>
        <v>427.19889995542212</v>
      </c>
      <c r="N231" s="25">
        <f ca="1">PaymentSchedule3[[#This Row],[Interest]]-PaymentSchedule33[[#This Row],[Interest]]</f>
        <v>449.18074834263609</v>
      </c>
      <c r="O231" s="25">
        <f ca="1">PaymentSchedule3[[#This Row],[Cumulative
Interest]]-PaymentSchedule33[[#This Row],[Cumulative
Interest]]</f>
        <v>115294.42436173442</v>
      </c>
    </row>
    <row r="232" spans="2:15" x14ac:dyDescent="0.25">
      <c r="B232" s="23">
        <f ca="1">IF(LoanIsGood,IF(ROW()-ROW(PaymentSchedule33[[#Headers],[Payment Number]])&gt;ScheduledNumberOfPayments,"",ROW()-ROW(PaymentSchedule33[[#Headers],[Payment Number]])),"")</f>
        <v>219</v>
      </c>
      <c r="C232" s="24">
        <f ca="1">IF(PaymentSchedule33[[#This Row],[Payment Number]]&lt;&gt;"",EOMONTH(LoanStartDate,ROW(PaymentSchedule33[[#This Row],[Payment Number]])-ROW(PaymentSchedule33[[#Headers],[Payment Number]])-2)+DAY(LoanStartDate),"")</f>
        <v>52102</v>
      </c>
      <c r="D232" s="25">
        <f ca="1">IF(PaymentSchedule33[[#This Row],[Payment Number]]&lt;&gt;"",IF(ROW()-ROW(PaymentSchedule33[[#Headers],[Beginning
Balance]])=1,LoanAmount,INDEX(PaymentSchedule33[Ending
Balance],ROW()-ROW(PaymentSchedule33[[#Headers],[Beginning
Balance]])-1)),"")</f>
        <v>191022.76089864844</v>
      </c>
      <c r="E232" s="25">
        <f ca="1">IF(PaymentSchedule33[[#This Row],[Payment Number]]&lt;&gt;"",ScheduledPayment,"")</f>
        <v>1784.9318965153623</v>
      </c>
      <c r="F23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2" s="25">
        <f ca="1">IF(PaymentSchedule33[[#This Row],[Payment Number]]&lt;&gt;"",PaymentSchedule33[[#This Row],[Total
Payment]]-PaymentSchedule33[[#This Row],[Interest]],"")</f>
        <v>989.00372610432714</v>
      </c>
      <c r="I232" s="25">
        <f ca="1">IF(PaymentSchedule33[[#This Row],[Payment Number]]&lt;&gt;"",PaymentSchedule33[[#This Row],[Beginning
Balance]]*(InterestRate/PaymentsPerYear),"")</f>
        <v>795.92817041103513</v>
      </c>
      <c r="J232" s="25">
        <f ca="1">IF(PaymentSchedule33[[#This Row],[Payment Number]]&lt;&gt;"",IF(PaymentSchedule33[[#This Row],[Scheduled Payment]]+PaymentSchedule33[[#This Row],[Extra
Payment]]&lt;=PaymentSchedule33[[#This Row],[Beginning
Balance]],PaymentSchedule33[[#This Row],[Beginning
Balance]]-PaymentSchedule33[[#This Row],[Principal]],0),"")</f>
        <v>190033.75717254411</v>
      </c>
      <c r="K232" s="25">
        <f ca="1">IF(PaymentSchedule33[[#This Row],[Payment Number]]&lt;&gt;"",SUM(INDEX(PaymentSchedule33[Interest],1,1):PaymentSchedule33[[#This Row],[Interest]]),"")</f>
        <v>248433.84250940883</v>
      </c>
      <c r="L232" s="25">
        <f ca="1">IF(PaymentSchedule33[[#This Row],[Payment Number]]&lt;&gt;"",SUM(INDEX(PaymentSchedule33[Principal],1,1):PaymentSchedule33[[#This Row],[Principal]]),"")</f>
        <v>142466.24282745563</v>
      </c>
      <c r="M232" s="25">
        <f ca="1">PaymentSchedule3[[#This Row],[Total
Payment]]-PaymentSchedule33[[#This Row],[Total
Payment]]</f>
        <v>427.19889995542212</v>
      </c>
      <c r="N232" s="25">
        <f ca="1">PaymentSchedule3[[#This Row],[Interest]]-PaymentSchedule33[[#This Row],[Interest]]</f>
        <v>447.66747583122242</v>
      </c>
      <c r="O232" s="25">
        <f ca="1">PaymentSchedule3[[#This Row],[Cumulative
Interest]]-PaymentSchedule33[[#This Row],[Cumulative
Interest]]</f>
        <v>115742.09183756565</v>
      </c>
    </row>
    <row r="233" spans="2:15" x14ac:dyDescent="0.25">
      <c r="B233" s="23">
        <f ca="1">IF(LoanIsGood,IF(ROW()-ROW(PaymentSchedule33[[#Headers],[Payment Number]])&gt;ScheduledNumberOfPayments,"",ROW()-ROW(PaymentSchedule33[[#Headers],[Payment Number]])),"")</f>
        <v>220</v>
      </c>
      <c r="C233" s="24">
        <f ca="1">IF(PaymentSchedule33[[#This Row],[Payment Number]]&lt;&gt;"",EOMONTH(LoanStartDate,ROW(PaymentSchedule33[[#This Row],[Payment Number]])-ROW(PaymentSchedule33[[#Headers],[Payment Number]])-2)+DAY(LoanStartDate),"")</f>
        <v>52133</v>
      </c>
      <c r="D233" s="25">
        <f ca="1">IF(PaymentSchedule33[[#This Row],[Payment Number]]&lt;&gt;"",IF(ROW()-ROW(PaymentSchedule33[[#Headers],[Beginning
Balance]])=1,LoanAmount,INDEX(PaymentSchedule33[Ending
Balance],ROW()-ROW(PaymentSchedule33[[#Headers],[Beginning
Balance]])-1)),"")</f>
        <v>190033.75717254411</v>
      </c>
      <c r="E233" s="25">
        <f ca="1">IF(PaymentSchedule33[[#This Row],[Payment Number]]&lt;&gt;"",ScheduledPayment,"")</f>
        <v>1784.9318965153623</v>
      </c>
      <c r="F23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3" s="25">
        <f ca="1">IF(PaymentSchedule33[[#This Row],[Payment Number]]&lt;&gt;"",PaymentSchedule33[[#This Row],[Total
Payment]]-PaymentSchedule33[[#This Row],[Interest]],"")</f>
        <v>993.12457496309514</v>
      </c>
      <c r="I233" s="25">
        <f ca="1">IF(PaymentSchedule33[[#This Row],[Payment Number]]&lt;&gt;"",PaymentSchedule33[[#This Row],[Beginning
Balance]]*(InterestRate/PaymentsPerYear),"")</f>
        <v>791.80732155226713</v>
      </c>
      <c r="J233" s="25">
        <f ca="1">IF(PaymentSchedule33[[#This Row],[Payment Number]]&lt;&gt;"",IF(PaymentSchedule33[[#This Row],[Scheduled Payment]]+PaymentSchedule33[[#This Row],[Extra
Payment]]&lt;=PaymentSchedule33[[#This Row],[Beginning
Balance]],PaymentSchedule33[[#This Row],[Beginning
Balance]]-PaymentSchedule33[[#This Row],[Principal]],0),"")</f>
        <v>189040.63259758102</v>
      </c>
      <c r="K233" s="25">
        <f ca="1">IF(PaymentSchedule33[[#This Row],[Payment Number]]&lt;&gt;"",SUM(INDEX(PaymentSchedule33[Interest],1,1):PaymentSchedule33[[#This Row],[Interest]]),"")</f>
        <v>249225.64983096111</v>
      </c>
      <c r="L233" s="25">
        <f ca="1">IF(PaymentSchedule33[[#This Row],[Payment Number]]&lt;&gt;"",SUM(INDEX(PaymentSchedule33[Principal],1,1):PaymentSchedule33[[#This Row],[Principal]]),"")</f>
        <v>143459.36740241872</v>
      </c>
      <c r="M233" s="25">
        <f ca="1">PaymentSchedule3[[#This Row],[Total
Payment]]-PaymentSchedule33[[#This Row],[Total
Payment]]</f>
        <v>427.19889995542212</v>
      </c>
      <c r="N233" s="25">
        <f ca="1">PaymentSchedule3[[#This Row],[Interest]]-PaymentSchedule33[[#This Row],[Interest]]</f>
        <v>446.13853631365748</v>
      </c>
      <c r="O233" s="25">
        <f ca="1">PaymentSchedule3[[#This Row],[Cumulative
Interest]]-PaymentSchedule33[[#This Row],[Cumulative
Interest]]</f>
        <v>116188.23037387928</v>
      </c>
    </row>
    <row r="234" spans="2:15" x14ac:dyDescent="0.25">
      <c r="B234" s="23">
        <f ca="1">IF(LoanIsGood,IF(ROW()-ROW(PaymentSchedule33[[#Headers],[Payment Number]])&gt;ScheduledNumberOfPayments,"",ROW()-ROW(PaymentSchedule33[[#Headers],[Payment Number]])),"")</f>
        <v>221</v>
      </c>
      <c r="C234" s="24">
        <f ca="1">IF(PaymentSchedule33[[#This Row],[Payment Number]]&lt;&gt;"",EOMONTH(LoanStartDate,ROW(PaymentSchedule33[[#This Row],[Payment Number]])-ROW(PaymentSchedule33[[#Headers],[Payment Number]])-2)+DAY(LoanStartDate),"")</f>
        <v>52163</v>
      </c>
      <c r="D234" s="25">
        <f ca="1">IF(PaymentSchedule33[[#This Row],[Payment Number]]&lt;&gt;"",IF(ROW()-ROW(PaymentSchedule33[[#Headers],[Beginning
Balance]])=1,LoanAmount,INDEX(PaymentSchedule33[Ending
Balance],ROW()-ROW(PaymentSchedule33[[#Headers],[Beginning
Balance]])-1)),"")</f>
        <v>189040.63259758102</v>
      </c>
      <c r="E234" s="25">
        <f ca="1">IF(PaymentSchedule33[[#This Row],[Payment Number]]&lt;&gt;"",ScheduledPayment,"")</f>
        <v>1784.9318965153623</v>
      </c>
      <c r="F23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4" s="25">
        <f ca="1">IF(PaymentSchedule33[[#This Row],[Payment Number]]&lt;&gt;"",PaymentSchedule33[[#This Row],[Total
Payment]]-PaymentSchedule33[[#This Row],[Interest]],"")</f>
        <v>997.26259402544133</v>
      </c>
      <c r="I234" s="25">
        <f ca="1">IF(PaymentSchedule33[[#This Row],[Payment Number]]&lt;&gt;"",PaymentSchedule33[[#This Row],[Beginning
Balance]]*(InterestRate/PaymentsPerYear),"")</f>
        <v>787.66930248992094</v>
      </c>
      <c r="J234" s="25">
        <f ca="1">IF(PaymentSchedule33[[#This Row],[Payment Number]]&lt;&gt;"",IF(PaymentSchedule33[[#This Row],[Scheduled Payment]]+PaymentSchedule33[[#This Row],[Extra
Payment]]&lt;=PaymentSchedule33[[#This Row],[Beginning
Balance]],PaymentSchedule33[[#This Row],[Beginning
Balance]]-PaymentSchedule33[[#This Row],[Principal]],0),"")</f>
        <v>188043.37000355558</v>
      </c>
      <c r="K234" s="25">
        <f ca="1">IF(PaymentSchedule33[[#This Row],[Payment Number]]&lt;&gt;"",SUM(INDEX(PaymentSchedule33[Interest],1,1):PaymentSchedule33[[#This Row],[Interest]]),"")</f>
        <v>250013.31913345103</v>
      </c>
      <c r="L234" s="25">
        <f ca="1">IF(PaymentSchedule33[[#This Row],[Payment Number]]&lt;&gt;"",SUM(INDEX(PaymentSchedule33[Principal],1,1):PaymentSchedule33[[#This Row],[Principal]]),"")</f>
        <v>144456.62999644416</v>
      </c>
      <c r="M234" s="25">
        <f ca="1">PaymentSchedule3[[#This Row],[Total
Payment]]-PaymentSchedule33[[#This Row],[Total
Payment]]</f>
        <v>427.19889995542212</v>
      </c>
      <c r="N234" s="25">
        <f ca="1">PaymentSchedule3[[#This Row],[Interest]]-PaymentSchedule33[[#This Row],[Interest]]</f>
        <v>444.59380990080854</v>
      </c>
      <c r="O234" s="25">
        <f ca="1">PaymentSchedule3[[#This Row],[Cumulative
Interest]]-PaymentSchedule33[[#This Row],[Cumulative
Interest]]</f>
        <v>116632.82418378006</v>
      </c>
    </row>
    <row r="235" spans="2:15" x14ac:dyDescent="0.25">
      <c r="B235" s="23">
        <f ca="1">IF(LoanIsGood,IF(ROW()-ROW(PaymentSchedule33[[#Headers],[Payment Number]])&gt;ScheduledNumberOfPayments,"",ROW()-ROW(PaymentSchedule33[[#Headers],[Payment Number]])),"")</f>
        <v>222</v>
      </c>
      <c r="C235" s="24">
        <f ca="1">IF(PaymentSchedule33[[#This Row],[Payment Number]]&lt;&gt;"",EOMONTH(LoanStartDate,ROW(PaymentSchedule33[[#This Row],[Payment Number]])-ROW(PaymentSchedule33[[#Headers],[Payment Number]])-2)+DAY(LoanStartDate),"")</f>
        <v>52194</v>
      </c>
      <c r="D235" s="25">
        <f ca="1">IF(PaymentSchedule33[[#This Row],[Payment Number]]&lt;&gt;"",IF(ROW()-ROW(PaymentSchedule33[[#Headers],[Beginning
Balance]])=1,LoanAmount,INDEX(PaymentSchedule33[Ending
Balance],ROW()-ROW(PaymentSchedule33[[#Headers],[Beginning
Balance]])-1)),"")</f>
        <v>188043.37000355558</v>
      </c>
      <c r="E235" s="25">
        <f ca="1">IF(PaymentSchedule33[[#This Row],[Payment Number]]&lt;&gt;"",ScheduledPayment,"")</f>
        <v>1784.9318965153623</v>
      </c>
      <c r="F23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5" s="25">
        <f ca="1">IF(PaymentSchedule33[[#This Row],[Payment Number]]&lt;&gt;"",PaymentSchedule33[[#This Row],[Total
Payment]]-PaymentSchedule33[[#This Row],[Interest]],"")</f>
        <v>1001.4178548338807</v>
      </c>
      <c r="I235" s="25">
        <f ca="1">IF(PaymentSchedule33[[#This Row],[Payment Number]]&lt;&gt;"",PaymentSchedule33[[#This Row],[Beginning
Balance]]*(InterestRate/PaymentsPerYear),"")</f>
        <v>783.51404168148156</v>
      </c>
      <c r="J235" s="25">
        <f ca="1">IF(PaymentSchedule33[[#This Row],[Payment Number]]&lt;&gt;"",IF(PaymentSchedule33[[#This Row],[Scheduled Payment]]+PaymentSchedule33[[#This Row],[Extra
Payment]]&lt;=PaymentSchedule33[[#This Row],[Beginning
Balance]],PaymentSchedule33[[#This Row],[Beginning
Balance]]-PaymentSchedule33[[#This Row],[Principal]],0),"")</f>
        <v>187041.9521487217</v>
      </c>
      <c r="K235" s="25">
        <f ca="1">IF(PaymentSchedule33[[#This Row],[Payment Number]]&lt;&gt;"",SUM(INDEX(PaymentSchedule33[Interest],1,1):PaymentSchedule33[[#This Row],[Interest]]),"")</f>
        <v>250796.83317513252</v>
      </c>
      <c r="L235" s="25">
        <f ca="1">IF(PaymentSchedule33[[#This Row],[Payment Number]]&lt;&gt;"",SUM(INDEX(PaymentSchedule33[Principal],1,1):PaymentSchedule33[[#This Row],[Principal]]),"")</f>
        <v>145458.04785127804</v>
      </c>
      <c r="M235" s="25">
        <f ca="1">PaymentSchedule3[[#This Row],[Total
Payment]]-PaymentSchedule33[[#This Row],[Total
Payment]]</f>
        <v>427.19889995542212</v>
      </c>
      <c r="N235" s="25">
        <f ca="1">PaymentSchedule3[[#This Row],[Interest]]-PaymentSchedule33[[#This Row],[Interest]]</f>
        <v>443.03317588544769</v>
      </c>
      <c r="O235" s="25">
        <f ca="1">PaymentSchedule3[[#This Row],[Cumulative
Interest]]-PaymentSchedule33[[#This Row],[Cumulative
Interest]]</f>
        <v>117075.8573596655</v>
      </c>
    </row>
    <row r="236" spans="2:15" x14ac:dyDescent="0.25">
      <c r="B236" s="23">
        <f ca="1">IF(LoanIsGood,IF(ROW()-ROW(PaymentSchedule33[[#Headers],[Payment Number]])&gt;ScheduledNumberOfPayments,"",ROW()-ROW(PaymentSchedule33[[#Headers],[Payment Number]])),"")</f>
        <v>223</v>
      </c>
      <c r="C236" s="24">
        <f ca="1">IF(PaymentSchedule33[[#This Row],[Payment Number]]&lt;&gt;"",EOMONTH(LoanStartDate,ROW(PaymentSchedule33[[#This Row],[Payment Number]])-ROW(PaymentSchedule33[[#Headers],[Payment Number]])-2)+DAY(LoanStartDate),"")</f>
        <v>52224</v>
      </c>
      <c r="D236" s="25">
        <f ca="1">IF(PaymentSchedule33[[#This Row],[Payment Number]]&lt;&gt;"",IF(ROW()-ROW(PaymentSchedule33[[#Headers],[Beginning
Balance]])=1,LoanAmount,INDEX(PaymentSchedule33[Ending
Balance],ROW()-ROW(PaymentSchedule33[[#Headers],[Beginning
Balance]])-1)),"")</f>
        <v>187041.9521487217</v>
      </c>
      <c r="E236" s="25">
        <f ca="1">IF(PaymentSchedule33[[#This Row],[Payment Number]]&lt;&gt;"",ScheduledPayment,"")</f>
        <v>1784.9318965153623</v>
      </c>
      <c r="F23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6" s="25">
        <f ca="1">IF(PaymentSchedule33[[#This Row],[Payment Number]]&lt;&gt;"",PaymentSchedule33[[#This Row],[Total
Payment]]-PaymentSchedule33[[#This Row],[Interest]],"")</f>
        <v>1005.5904292290219</v>
      </c>
      <c r="I236" s="25">
        <f ca="1">IF(PaymentSchedule33[[#This Row],[Payment Number]]&lt;&gt;"",PaymentSchedule33[[#This Row],[Beginning
Balance]]*(InterestRate/PaymentsPerYear),"")</f>
        <v>779.34146728634039</v>
      </c>
      <c r="J236" s="25">
        <f ca="1">IF(PaymentSchedule33[[#This Row],[Payment Number]]&lt;&gt;"",IF(PaymentSchedule33[[#This Row],[Scheduled Payment]]+PaymentSchedule33[[#This Row],[Extra
Payment]]&lt;=PaymentSchedule33[[#This Row],[Beginning
Balance]],PaymentSchedule33[[#This Row],[Beginning
Balance]]-PaymentSchedule33[[#This Row],[Principal]],0),"")</f>
        <v>186036.36171949268</v>
      </c>
      <c r="K236" s="25">
        <f ca="1">IF(PaymentSchedule33[[#This Row],[Payment Number]]&lt;&gt;"",SUM(INDEX(PaymentSchedule33[Interest],1,1):PaymentSchedule33[[#This Row],[Interest]]),"")</f>
        <v>251576.17464241886</v>
      </c>
      <c r="L236" s="25">
        <f ca="1">IF(PaymentSchedule33[[#This Row],[Payment Number]]&lt;&gt;"",SUM(INDEX(PaymentSchedule33[Principal],1,1):PaymentSchedule33[[#This Row],[Principal]]),"")</f>
        <v>146463.63828050706</v>
      </c>
      <c r="M236" s="25">
        <f ca="1">PaymentSchedule3[[#This Row],[Total
Payment]]-PaymentSchedule33[[#This Row],[Total
Payment]]</f>
        <v>427.19889995542212</v>
      </c>
      <c r="N236" s="25">
        <f ca="1">PaymentSchedule3[[#This Row],[Interest]]-PaymentSchedule33[[#This Row],[Interest]]</f>
        <v>441.45651273698297</v>
      </c>
      <c r="O236" s="25">
        <f ca="1">PaymentSchedule3[[#This Row],[Cumulative
Interest]]-PaymentSchedule33[[#This Row],[Cumulative
Interest]]</f>
        <v>117517.31387240248</v>
      </c>
    </row>
    <row r="237" spans="2:15" x14ac:dyDescent="0.25">
      <c r="B237" s="23">
        <f ca="1">IF(LoanIsGood,IF(ROW()-ROW(PaymentSchedule33[[#Headers],[Payment Number]])&gt;ScheduledNumberOfPayments,"",ROW()-ROW(PaymentSchedule33[[#Headers],[Payment Number]])),"")</f>
        <v>224</v>
      </c>
      <c r="C237" s="24">
        <f ca="1">IF(PaymentSchedule33[[#This Row],[Payment Number]]&lt;&gt;"",EOMONTH(LoanStartDate,ROW(PaymentSchedule33[[#This Row],[Payment Number]])-ROW(PaymentSchedule33[[#Headers],[Payment Number]])-2)+DAY(LoanStartDate),"")</f>
        <v>52255</v>
      </c>
      <c r="D237" s="25">
        <f ca="1">IF(PaymentSchedule33[[#This Row],[Payment Number]]&lt;&gt;"",IF(ROW()-ROW(PaymentSchedule33[[#Headers],[Beginning
Balance]])=1,LoanAmount,INDEX(PaymentSchedule33[Ending
Balance],ROW()-ROW(PaymentSchedule33[[#Headers],[Beginning
Balance]])-1)),"")</f>
        <v>186036.36171949268</v>
      </c>
      <c r="E237" s="25">
        <f ca="1">IF(PaymentSchedule33[[#This Row],[Payment Number]]&lt;&gt;"",ScheduledPayment,"")</f>
        <v>1784.9318965153623</v>
      </c>
      <c r="F23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7" s="25">
        <f ca="1">IF(PaymentSchedule33[[#This Row],[Payment Number]]&lt;&gt;"",PaymentSchedule33[[#This Row],[Total
Payment]]-PaymentSchedule33[[#This Row],[Interest]],"")</f>
        <v>1009.7803893508094</v>
      </c>
      <c r="I237" s="25">
        <f ca="1">IF(PaymentSchedule33[[#This Row],[Payment Number]]&lt;&gt;"",PaymentSchedule33[[#This Row],[Beginning
Balance]]*(InterestRate/PaymentsPerYear),"")</f>
        <v>775.15150716455287</v>
      </c>
      <c r="J237" s="25">
        <f ca="1">IF(PaymentSchedule33[[#This Row],[Payment Number]]&lt;&gt;"",IF(PaymentSchedule33[[#This Row],[Scheduled Payment]]+PaymentSchedule33[[#This Row],[Extra
Payment]]&lt;=PaymentSchedule33[[#This Row],[Beginning
Balance]],PaymentSchedule33[[#This Row],[Beginning
Balance]]-PaymentSchedule33[[#This Row],[Principal]],0),"")</f>
        <v>185026.58133014187</v>
      </c>
      <c r="K237" s="25">
        <f ca="1">IF(PaymentSchedule33[[#This Row],[Payment Number]]&lt;&gt;"",SUM(INDEX(PaymentSchedule33[Interest],1,1):PaymentSchedule33[[#This Row],[Interest]]),"")</f>
        <v>252351.32614958342</v>
      </c>
      <c r="L237" s="25">
        <f ca="1">IF(PaymentSchedule33[[#This Row],[Payment Number]]&lt;&gt;"",SUM(INDEX(PaymentSchedule33[Principal],1,1):PaymentSchedule33[[#This Row],[Principal]]),"")</f>
        <v>147473.41866985787</v>
      </c>
      <c r="M237" s="25">
        <f ca="1">PaymentSchedule3[[#This Row],[Total
Payment]]-PaymentSchedule33[[#This Row],[Total
Payment]]</f>
        <v>427.19889995542212</v>
      </c>
      <c r="N237" s="25">
        <f ca="1">PaymentSchedule3[[#This Row],[Interest]]-PaymentSchedule33[[#This Row],[Interest]]</f>
        <v>439.86369809616031</v>
      </c>
      <c r="O237" s="25">
        <f ca="1">PaymentSchedule3[[#This Row],[Cumulative
Interest]]-PaymentSchedule33[[#This Row],[Cumulative
Interest]]</f>
        <v>117957.17757049864</v>
      </c>
    </row>
    <row r="238" spans="2:15" x14ac:dyDescent="0.25">
      <c r="B238" s="23">
        <f ca="1">IF(LoanIsGood,IF(ROW()-ROW(PaymentSchedule33[[#Headers],[Payment Number]])&gt;ScheduledNumberOfPayments,"",ROW()-ROW(PaymentSchedule33[[#Headers],[Payment Number]])),"")</f>
        <v>225</v>
      </c>
      <c r="C238" s="24">
        <f ca="1">IF(PaymentSchedule33[[#This Row],[Payment Number]]&lt;&gt;"",EOMONTH(LoanStartDate,ROW(PaymentSchedule33[[#This Row],[Payment Number]])-ROW(PaymentSchedule33[[#Headers],[Payment Number]])-2)+DAY(LoanStartDate),"")</f>
        <v>52286</v>
      </c>
      <c r="D238" s="25">
        <f ca="1">IF(PaymentSchedule33[[#This Row],[Payment Number]]&lt;&gt;"",IF(ROW()-ROW(PaymentSchedule33[[#Headers],[Beginning
Balance]])=1,LoanAmount,INDEX(PaymentSchedule33[Ending
Balance],ROW()-ROW(PaymentSchedule33[[#Headers],[Beginning
Balance]])-1)),"")</f>
        <v>185026.58133014187</v>
      </c>
      <c r="E238" s="25">
        <f ca="1">IF(PaymentSchedule33[[#This Row],[Payment Number]]&lt;&gt;"",ScheduledPayment,"")</f>
        <v>1784.9318965153623</v>
      </c>
      <c r="F23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8" s="25">
        <f ca="1">IF(PaymentSchedule33[[#This Row],[Payment Number]]&lt;&gt;"",PaymentSchedule33[[#This Row],[Total
Payment]]-PaymentSchedule33[[#This Row],[Interest]],"")</f>
        <v>1013.9878076397712</v>
      </c>
      <c r="I238" s="25">
        <f ca="1">IF(PaymentSchedule33[[#This Row],[Payment Number]]&lt;&gt;"",PaymentSchedule33[[#This Row],[Beginning
Balance]]*(InterestRate/PaymentsPerYear),"")</f>
        <v>770.94408887559109</v>
      </c>
      <c r="J238" s="25">
        <f ca="1">IF(PaymentSchedule33[[#This Row],[Payment Number]]&lt;&gt;"",IF(PaymentSchedule33[[#This Row],[Scheduled Payment]]+PaymentSchedule33[[#This Row],[Extra
Payment]]&lt;=PaymentSchedule33[[#This Row],[Beginning
Balance]],PaymentSchedule33[[#This Row],[Beginning
Balance]]-PaymentSchedule33[[#This Row],[Principal]],0),"")</f>
        <v>184012.59352250211</v>
      </c>
      <c r="K238" s="25">
        <f ca="1">IF(PaymentSchedule33[[#This Row],[Payment Number]]&lt;&gt;"",SUM(INDEX(PaymentSchedule33[Interest],1,1):PaymentSchedule33[[#This Row],[Interest]]),"")</f>
        <v>253122.27023845899</v>
      </c>
      <c r="L238" s="25">
        <f ca="1">IF(PaymentSchedule33[[#This Row],[Payment Number]]&lt;&gt;"",SUM(INDEX(PaymentSchedule33[Principal],1,1):PaymentSchedule33[[#This Row],[Principal]]),"")</f>
        <v>148487.40647749763</v>
      </c>
      <c r="M238" s="25">
        <f ca="1">PaymentSchedule3[[#This Row],[Total
Payment]]-PaymentSchedule33[[#This Row],[Total
Payment]]</f>
        <v>427.19889995542212</v>
      </c>
      <c r="N238" s="25">
        <f ca="1">PaymentSchedule3[[#This Row],[Interest]]-PaymentSchedule33[[#This Row],[Interest]]</f>
        <v>438.25460876973</v>
      </c>
      <c r="O238" s="25">
        <f ca="1">PaymentSchedule3[[#This Row],[Cumulative
Interest]]-PaymentSchedule33[[#This Row],[Cumulative
Interest]]</f>
        <v>118395.43217926839</v>
      </c>
    </row>
    <row r="239" spans="2:15" x14ac:dyDescent="0.25">
      <c r="B239" s="23">
        <f ca="1">IF(LoanIsGood,IF(ROW()-ROW(PaymentSchedule33[[#Headers],[Payment Number]])&gt;ScheduledNumberOfPayments,"",ROW()-ROW(PaymentSchedule33[[#Headers],[Payment Number]])),"")</f>
        <v>226</v>
      </c>
      <c r="C239" s="24">
        <f ca="1">IF(PaymentSchedule33[[#This Row],[Payment Number]]&lt;&gt;"",EOMONTH(LoanStartDate,ROW(PaymentSchedule33[[#This Row],[Payment Number]])-ROW(PaymentSchedule33[[#Headers],[Payment Number]])-2)+DAY(LoanStartDate),"")</f>
        <v>52314</v>
      </c>
      <c r="D239" s="25">
        <f ca="1">IF(PaymentSchedule33[[#This Row],[Payment Number]]&lt;&gt;"",IF(ROW()-ROW(PaymentSchedule33[[#Headers],[Beginning
Balance]])=1,LoanAmount,INDEX(PaymentSchedule33[Ending
Balance],ROW()-ROW(PaymentSchedule33[[#Headers],[Beginning
Balance]])-1)),"")</f>
        <v>184012.59352250211</v>
      </c>
      <c r="E239" s="25">
        <f ca="1">IF(PaymentSchedule33[[#This Row],[Payment Number]]&lt;&gt;"",ScheduledPayment,"")</f>
        <v>1784.9318965153623</v>
      </c>
      <c r="F23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3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39" s="25">
        <f ca="1">IF(PaymentSchedule33[[#This Row],[Payment Number]]&lt;&gt;"",PaymentSchedule33[[#This Row],[Total
Payment]]-PaymentSchedule33[[#This Row],[Interest]],"")</f>
        <v>1018.2127568382701</v>
      </c>
      <c r="I239" s="25">
        <f ca="1">IF(PaymentSchedule33[[#This Row],[Payment Number]]&lt;&gt;"",PaymentSchedule33[[#This Row],[Beginning
Balance]]*(InterestRate/PaymentsPerYear),"")</f>
        <v>766.71913967709213</v>
      </c>
      <c r="J239" s="25">
        <f ca="1">IF(PaymentSchedule33[[#This Row],[Payment Number]]&lt;&gt;"",IF(PaymentSchedule33[[#This Row],[Scheduled Payment]]+PaymentSchedule33[[#This Row],[Extra
Payment]]&lt;=PaymentSchedule33[[#This Row],[Beginning
Balance]],PaymentSchedule33[[#This Row],[Beginning
Balance]]-PaymentSchedule33[[#This Row],[Principal]],0),"")</f>
        <v>182994.38076566384</v>
      </c>
      <c r="K239" s="25">
        <f ca="1">IF(PaymentSchedule33[[#This Row],[Payment Number]]&lt;&gt;"",SUM(INDEX(PaymentSchedule33[Interest],1,1):PaymentSchedule33[[#This Row],[Interest]]),"")</f>
        <v>253888.98937813609</v>
      </c>
      <c r="L239" s="25">
        <f ca="1">IF(PaymentSchedule33[[#This Row],[Payment Number]]&lt;&gt;"",SUM(INDEX(PaymentSchedule33[Principal],1,1):PaymentSchedule33[[#This Row],[Principal]]),"")</f>
        <v>149505.6192343359</v>
      </c>
      <c r="M239" s="25">
        <f ca="1">PaymentSchedule3[[#This Row],[Total
Payment]]-PaymentSchedule33[[#This Row],[Total
Payment]]</f>
        <v>427.19889995542212</v>
      </c>
      <c r="N239" s="25">
        <f ca="1">PaymentSchedule3[[#This Row],[Interest]]-PaymentSchedule33[[#This Row],[Interest]]</f>
        <v>436.62912072508027</v>
      </c>
      <c r="O239" s="25">
        <f ca="1">PaymentSchedule3[[#This Row],[Cumulative
Interest]]-PaymentSchedule33[[#This Row],[Cumulative
Interest]]</f>
        <v>118832.06129999345</v>
      </c>
    </row>
    <row r="240" spans="2:15" x14ac:dyDescent="0.25">
      <c r="B240" s="23">
        <f ca="1">IF(LoanIsGood,IF(ROW()-ROW(PaymentSchedule33[[#Headers],[Payment Number]])&gt;ScheduledNumberOfPayments,"",ROW()-ROW(PaymentSchedule33[[#Headers],[Payment Number]])),"")</f>
        <v>227</v>
      </c>
      <c r="C240" s="24">
        <f ca="1">IF(PaymentSchedule33[[#This Row],[Payment Number]]&lt;&gt;"",EOMONTH(LoanStartDate,ROW(PaymentSchedule33[[#This Row],[Payment Number]])-ROW(PaymentSchedule33[[#Headers],[Payment Number]])-2)+DAY(LoanStartDate),"")</f>
        <v>52345</v>
      </c>
      <c r="D240" s="25">
        <f ca="1">IF(PaymentSchedule33[[#This Row],[Payment Number]]&lt;&gt;"",IF(ROW()-ROW(PaymentSchedule33[[#Headers],[Beginning
Balance]])=1,LoanAmount,INDEX(PaymentSchedule33[Ending
Balance],ROW()-ROW(PaymentSchedule33[[#Headers],[Beginning
Balance]])-1)),"")</f>
        <v>182994.38076566384</v>
      </c>
      <c r="E240" s="25">
        <f ca="1">IF(PaymentSchedule33[[#This Row],[Payment Number]]&lt;&gt;"",ScheduledPayment,"")</f>
        <v>1784.9318965153623</v>
      </c>
      <c r="F24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0" s="25">
        <f ca="1">IF(PaymentSchedule33[[#This Row],[Payment Number]]&lt;&gt;"",PaymentSchedule33[[#This Row],[Total
Payment]]-PaymentSchedule33[[#This Row],[Interest]],"")</f>
        <v>1022.455309991763</v>
      </c>
      <c r="I240" s="25">
        <f ca="1">IF(PaymentSchedule33[[#This Row],[Payment Number]]&lt;&gt;"",PaymentSchedule33[[#This Row],[Beginning
Balance]]*(InterestRate/PaymentsPerYear),"")</f>
        <v>762.47658652359928</v>
      </c>
      <c r="J240" s="25">
        <f ca="1">IF(PaymentSchedule33[[#This Row],[Payment Number]]&lt;&gt;"",IF(PaymentSchedule33[[#This Row],[Scheduled Payment]]+PaymentSchedule33[[#This Row],[Extra
Payment]]&lt;=PaymentSchedule33[[#This Row],[Beginning
Balance]],PaymentSchedule33[[#This Row],[Beginning
Balance]]-PaymentSchedule33[[#This Row],[Principal]],0),"")</f>
        <v>181971.92545567208</v>
      </c>
      <c r="K240" s="25">
        <f ca="1">IF(PaymentSchedule33[[#This Row],[Payment Number]]&lt;&gt;"",SUM(INDEX(PaymentSchedule33[Interest],1,1):PaymentSchedule33[[#This Row],[Interest]]),"")</f>
        <v>254651.4659646597</v>
      </c>
      <c r="L240" s="25">
        <f ca="1">IF(PaymentSchedule33[[#This Row],[Payment Number]]&lt;&gt;"",SUM(INDEX(PaymentSchedule33[Principal],1,1):PaymentSchedule33[[#This Row],[Principal]]),"")</f>
        <v>150528.07454432765</v>
      </c>
      <c r="M240" s="25">
        <f ca="1">PaymentSchedule3[[#This Row],[Total
Payment]]-PaymentSchedule33[[#This Row],[Total
Payment]]</f>
        <v>427.19889995542212</v>
      </c>
      <c r="N240" s="25">
        <f ca="1">PaymentSchedule3[[#This Row],[Interest]]-PaymentSchedule33[[#This Row],[Interest]]</f>
        <v>434.98710908483963</v>
      </c>
      <c r="O240" s="25">
        <f ca="1">PaymentSchedule3[[#This Row],[Cumulative
Interest]]-PaymentSchedule33[[#This Row],[Cumulative
Interest]]</f>
        <v>119267.04840907827</v>
      </c>
    </row>
    <row r="241" spans="2:15" x14ac:dyDescent="0.25">
      <c r="B241" s="23">
        <f ca="1">IF(LoanIsGood,IF(ROW()-ROW(PaymentSchedule33[[#Headers],[Payment Number]])&gt;ScheduledNumberOfPayments,"",ROW()-ROW(PaymentSchedule33[[#Headers],[Payment Number]])),"")</f>
        <v>228</v>
      </c>
      <c r="C241" s="24">
        <f ca="1">IF(PaymentSchedule33[[#This Row],[Payment Number]]&lt;&gt;"",EOMONTH(LoanStartDate,ROW(PaymentSchedule33[[#This Row],[Payment Number]])-ROW(PaymentSchedule33[[#Headers],[Payment Number]])-2)+DAY(LoanStartDate),"")</f>
        <v>52375</v>
      </c>
      <c r="D241" s="25">
        <f ca="1">IF(PaymentSchedule33[[#This Row],[Payment Number]]&lt;&gt;"",IF(ROW()-ROW(PaymentSchedule33[[#Headers],[Beginning
Balance]])=1,LoanAmount,INDEX(PaymentSchedule33[Ending
Balance],ROW()-ROW(PaymentSchedule33[[#Headers],[Beginning
Balance]])-1)),"")</f>
        <v>181971.92545567208</v>
      </c>
      <c r="E241" s="25">
        <f ca="1">IF(PaymentSchedule33[[#This Row],[Payment Number]]&lt;&gt;"",ScheduledPayment,"")</f>
        <v>1784.9318965153623</v>
      </c>
      <c r="F24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1" s="25">
        <f ca="1">IF(PaymentSchedule33[[#This Row],[Payment Number]]&lt;&gt;"",PaymentSchedule33[[#This Row],[Total
Payment]]-PaymentSchedule33[[#This Row],[Interest]],"")</f>
        <v>1026.7155404500618</v>
      </c>
      <c r="I241" s="25">
        <f ca="1">IF(PaymentSchedule33[[#This Row],[Payment Number]]&lt;&gt;"",PaymentSchedule33[[#This Row],[Beginning
Balance]]*(InterestRate/PaymentsPerYear),"")</f>
        <v>758.21635606530037</v>
      </c>
      <c r="J241" s="25">
        <f ca="1">IF(PaymentSchedule33[[#This Row],[Payment Number]]&lt;&gt;"",IF(PaymentSchedule33[[#This Row],[Scheduled Payment]]+PaymentSchedule33[[#This Row],[Extra
Payment]]&lt;=PaymentSchedule33[[#This Row],[Beginning
Balance]],PaymentSchedule33[[#This Row],[Beginning
Balance]]-PaymentSchedule33[[#This Row],[Principal]],0),"")</f>
        <v>180945.20991522202</v>
      </c>
      <c r="K241" s="25">
        <f ca="1">IF(PaymentSchedule33[[#This Row],[Payment Number]]&lt;&gt;"",SUM(INDEX(PaymentSchedule33[Interest],1,1):PaymentSchedule33[[#This Row],[Interest]]),"")</f>
        <v>255409.682320725</v>
      </c>
      <c r="L241" s="25">
        <f ca="1">IF(PaymentSchedule33[[#This Row],[Payment Number]]&lt;&gt;"",SUM(INDEX(PaymentSchedule33[Principal],1,1):PaymentSchedule33[[#This Row],[Principal]]),"")</f>
        <v>151554.79008477772</v>
      </c>
      <c r="M241" s="25">
        <f ca="1">PaymentSchedule3[[#This Row],[Total
Payment]]-PaymentSchedule33[[#This Row],[Total
Payment]]</f>
        <v>427.19889995542212</v>
      </c>
      <c r="N241" s="25">
        <f ca="1">PaymentSchedule3[[#This Row],[Interest]]-PaymentSchedule33[[#This Row],[Interest]]</f>
        <v>433.32844812144151</v>
      </c>
      <c r="O241" s="25">
        <f ca="1">PaymentSchedule3[[#This Row],[Cumulative
Interest]]-PaymentSchedule33[[#This Row],[Cumulative
Interest]]</f>
        <v>119700.37685719971</v>
      </c>
    </row>
    <row r="242" spans="2:15" x14ac:dyDescent="0.25">
      <c r="B242" s="23">
        <f ca="1">IF(LoanIsGood,IF(ROW()-ROW(PaymentSchedule33[[#Headers],[Payment Number]])&gt;ScheduledNumberOfPayments,"",ROW()-ROW(PaymentSchedule33[[#Headers],[Payment Number]])),"")</f>
        <v>229</v>
      </c>
      <c r="C242" s="24">
        <f ca="1">IF(PaymentSchedule33[[#This Row],[Payment Number]]&lt;&gt;"",EOMONTH(LoanStartDate,ROW(PaymentSchedule33[[#This Row],[Payment Number]])-ROW(PaymentSchedule33[[#Headers],[Payment Number]])-2)+DAY(LoanStartDate),"")</f>
        <v>52406</v>
      </c>
      <c r="D242" s="25">
        <f ca="1">IF(PaymentSchedule33[[#This Row],[Payment Number]]&lt;&gt;"",IF(ROW()-ROW(PaymentSchedule33[[#Headers],[Beginning
Balance]])=1,LoanAmount,INDEX(PaymentSchedule33[Ending
Balance],ROW()-ROW(PaymentSchedule33[[#Headers],[Beginning
Balance]])-1)),"")</f>
        <v>180945.20991522202</v>
      </c>
      <c r="E242" s="25">
        <f ca="1">IF(PaymentSchedule33[[#This Row],[Payment Number]]&lt;&gt;"",ScheduledPayment,"")</f>
        <v>1784.9318965153623</v>
      </c>
      <c r="F24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2" s="25">
        <f ca="1">IF(PaymentSchedule33[[#This Row],[Payment Number]]&lt;&gt;"",PaymentSchedule33[[#This Row],[Total
Payment]]-PaymentSchedule33[[#This Row],[Interest]],"")</f>
        <v>1030.9935218686039</v>
      </c>
      <c r="I242" s="25">
        <f ca="1">IF(PaymentSchedule33[[#This Row],[Payment Number]]&lt;&gt;"",PaymentSchedule33[[#This Row],[Beginning
Balance]]*(InterestRate/PaymentsPerYear),"")</f>
        <v>753.93837464675835</v>
      </c>
      <c r="J242" s="25">
        <f ca="1">IF(PaymentSchedule33[[#This Row],[Payment Number]]&lt;&gt;"",IF(PaymentSchedule33[[#This Row],[Scheduled Payment]]+PaymentSchedule33[[#This Row],[Extra
Payment]]&lt;=PaymentSchedule33[[#This Row],[Beginning
Balance]],PaymentSchedule33[[#This Row],[Beginning
Balance]]-PaymentSchedule33[[#This Row],[Principal]],0),"")</f>
        <v>179914.21639335342</v>
      </c>
      <c r="K242" s="25">
        <f ca="1">IF(PaymentSchedule33[[#This Row],[Payment Number]]&lt;&gt;"",SUM(INDEX(PaymentSchedule33[Interest],1,1):PaymentSchedule33[[#This Row],[Interest]]),"")</f>
        <v>256163.62069537176</v>
      </c>
      <c r="L242" s="25">
        <f ca="1">IF(PaymentSchedule33[[#This Row],[Payment Number]]&lt;&gt;"",SUM(INDEX(PaymentSchedule33[Principal],1,1):PaymentSchedule33[[#This Row],[Principal]]),"")</f>
        <v>152585.78360664632</v>
      </c>
      <c r="M242" s="25">
        <f ca="1">PaymentSchedule3[[#This Row],[Total
Payment]]-PaymentSchedule33[[#This Row],[Total
Payment]]</f>
        <v>427.19889995542212</v>
      </c>
      <c r="N242" s="25">
        <f ca="1">PaymentSchedule3[[#This Row],[Interest]]-PaymentSchedule33[[#This Row],[Interest]]</f>
        <v>431.65301125166002</v>
      </c>
      <c r="O242" s="25">
        <f ca="1">PaymentSchedule3[[#This Row],[Cumulative
Interest]]-PaymentSchedule33[[#This Row],[Cumulative
Interest]]</f>
        <v>120132.02986845135</v>
      </c>
    </row>
    <row r="243" spans="2:15" x14ac:dyDescent="0.25">
      <c r="B243" s="23">
        <f ca="1">IF(LoanIsGood,IF(ROW()-ROW(PaymentSchedule33[[#Headers],[Payment Number]])&gt;ScheduledNumberOfPayments,"",ROW()-ROW(PaymentSchedule33[[#Headers],[Payment Number]])),"")</f>
        <v>230</v>
      </c>
      <c r="C243" s="24">
        <f ca="1">IF(PaymentSchedule33[[#This Row],[Payment Number]]&lt;&gt;"",EOMONTH(LoanStartDate,ROW(PaymentSchedule33[[#This Row],[Payment Number]])-ROW(PaymentSchedule33[[#Headers],[Payment Number]])-2)+DAY(LoanStartDate),"")</f>
        <v>52436</v>
      </c>
      <c r="D243" s="25">
        <f ca="1">IF(PaymentSchedule33[[#This Row],[Payment Number]]&lt;&gt;"",IF(ROW()-ROW(PaymentSchedule33[[#Headers],[Beginning
Balance]])=1,LoanAmount,INDEX(PaymentSchedule33[Ending
Balance],ROW()-ROW(PaymentSchedule33[[#Headers],[Beginning
Balance]])-1)),"")</f>
        <v>179914.21639335342</v>
      </c>
      <c r="E243" s="25">
        <f ca="1">IF(PaymentSchedule33[[#This Row],[Payment Number]]&lt;&gt;"",ScheduledPayment,"")</f>
        <v>1784.9318965153623</v>
      </c>
      <c r="F24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3" s="25">
        <f ca="1">IF(PaymentSchedule33[[#This Row],[Payment Number]]&lt;&gt;"",PaymentSchedule33[[#This Row],[Total
Payment]]-PaymentSchedule33[[#This Row],[Interest]],"")</f>
        <v>1035.289328209723</v>
      </c>
      <c r="I243" s="25">
        <f ca="1">IF(PaymentSchedule33[[#This Row],[Payment Number]]&lt;&gt;"",PaymentSchedule33[[#This Row],[Beginning
Balance]]*(InterestRate/PaymentsPerYear),"")</f>
        <v>749.6425683056392</v>
      </c>
      <c r="J243" s="25">
        <f ca="1">IF(PaymentSchedule33[[#This Row],[Payment Number]]&lt;&gt;"",IF(PaymentSchedule33[[#This Row],[Scheduled Payment]]+PaymentSchedule33[[#This Row],[Extra
Payment]]&lt;=PaymentSchedule33[[#This Row],[Beginning
Balance]],PaymentSchedule33[[#This Row],[Beginning
Balance]]-PaymentSchedule33[[#This Row],[Principal]],0),"")</f>
        <v>178878.92706514368</v>
      </c>
      <c r="K243" s="25">
        <f ca="1">IF(PaymentSchedule33[[#This Row],[Payment Number]]&lt;&gt;"",SUM(INDEX(PaymentSchedule33[Interest],1,1):PaymentSchedule33[[#This Row],[Interest]]),"")</f>
        <v>256913.26326367739</v>
      </c>
      <c r="L243" s="25">
        <f ca="1">IF(PaymentSchedule33[[#This Row],[Payment Number]]&lt;&gt;"",SUM(INDEX(PaymentSchedule33[Principal],1,1):PaymentSchedule33[[#This Row],[Principal]]),"")</f>
        <v>153621.07293485606</v>
      </c>
      <c r="M243" s="25">
        <f ca="1">PaymentSchedule3[[#This Row],[Total
Payment]]-PaymentSchedule33[[#This Row],[Total
Payment]]</f>
        <v>427.19889995542212</v>
      </c>
      <c r="N243" s="25">
        <f ca="1">PaymentSchedule3[[#This Row],[Interest]]-PaymentSchedule33[[#This Row],[Interest]]</f>
        <v>429.96067103110715</v>
      </c>
      <c r="O243" s="25">
        <f ca="1">PaymentSchedule3[[#This Row],[Cumulative
Interest]]-PaymentSchedule33[[#This Row],[Cumulative
Interest]]</f>
        <v>120561.99053948247</v>
      </c>
    </row>
    <row r="244" spans="2:15" x14ac:dyDescent="0.25">
      <c r="B244" s="23">
        <f ca="1">IF(LoanIsGood,IF(ROW()-ROW(PaymentSchedule33[[#Headers],[Payment Number]])&gt;ScheduledNumberOfPayments,"",ROW()-ROW(PaymentSchedule33[[#Headers],[Payment Number]])),"")</f>
        <v>231</v>
      </c>
      <c r="C244" s="24">
        <f ca="1">IF(PaymentSchedule33[[#This Row],[Payment Number]]&lt;&gt;"",EOMONTH(LoanStartDate,ROW(PaymentSchedule33[[#This Row],[Payment Number]])-ROW(PaymentSchedule33[[#Headers],[Payment Number]])-2)+DAY(LoanStartDate),"")</f>
        <v>52467</v>
      </c>
      <c r="D244" s="25">
        <f ca="1">IF(PaymentSchedule33[[#This Row],[Payment Number]]&lt;&gt;"",IF(ROW()-ROW(PaymentSchedule33[[#Headers],[Beginning
Balance]])=1,LoanAmount,INDEX(PaymentSchedule33[Ending
Balance],ROW()-ROW(PaymentSchedule33[[#Headers],[Beginning
Balance]])-1)),"")</f>
        <v>178878.92706514368</v>
      </c>
      <c r="E244" s="25">
        <f ca="1">IF(PaymentSchedule33[[#This Row],[Payment Number]]&lt;&gt;"",ScheduledPayment,"")</f>
        <v>1784.9318965153623</v>
      </c>
      <c r="F24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4" s="25">
        <f ca="1">IF(PaymentSchedule33[[#This Row],[Payment Number]]&lt;&gt;"",PaymentSchedule33[[#This Row],[Total
Payment]]-PaymentSchedule33[[#This Row],[Interest]],"")</f>
        <v>1039.6030337439302</v>
      </c>
      <c r="I244" s="25">
        <f ca="1">IF(PaymentSchedule33[[#This Row],[Payment Number]]&lt;&gt;"",PaymentSchedule33[[#This Row],[Beginning
Balance]]*(InterestRate/PaymentsPerYear),"")</f>
        <v>745.328862771432</v>
      </c>
      <c r="J244" s="25">
        <f ca="1">IF(PaymentSchedule33[[#This Row],[Payment Number]]&lt;&gt;"",IF(PaymentSchedule33[[#This Row],[Scheduled Payment]]+PaymentSchedule33[[#This Row],[Extra
Payment]]&lt;=PaymentSchedule33[[#This Row],[Beginning
Balance]],PaymentSchedule33[[#This Row],[Beginning
Balance]]-PaymentSchedule33[[#This Row],[Principal]],0),"")</f>
        <v>177839.32403139974</v>
      </c>
      <c r="K244" s="25">
        <f ca="1">IF(PaymentSchedule33[[#This Row],[Payment Number]]&lt;&gt;"",SUM(INDEX(PaymentSchedule33[Interest],1,1):PaymentSchedule33[[#This Row],[Interest]]),"")</f>
        <v>257658.59212644881</v>
      </c>
      <c r="L244" s="25">
        <f ca="1">IF(PaymentSchedule33[[#This Row],[Payment Number]]&lt;&gt;"",SUM(INDEX(PaymentSchedule33[Principal],1,1):PaymentSchedule33[[#This Row],[Principal]]),"")</f>
        <v>154660.6759686</v>
      </c>
      <c r="M244" s="25">
        <f ca="1">PaymentSchedule3[[#This Row],[Total
Payment]]-PaymentSchedule33[[#This Row],[Total
Payment]]</f>
        <v>427.19889995542212</v>
      </c>
      <c r="N244" s="25">
        <f ca="1">PaymentSchedule3[[#This Row],[Interest]]-PaymentSchedule33[[#This Row],[Interest]]</f>
        <v>428.2512991486991</v>
      </c>
      <c r="O244" s="25">
        <f ca="1">PaymentSchedule3[[#This Row],[Cumulative
Interest]]-PaymentSchedule33[[#This Row],[Cumulative
Interest]]</f>
        <v>120990.24183863116</v>
      </c>
    </row>
    <row r="245" spans="2:15" x14ac:dyDescent="0.25">
      <c r="B245" s="23">
        <f ca="1">IF(LoanIsGood,IF(ROW()-ROW(PaymentSchedule33[[#Headers],[Payment Number]])&gt;ScheduledNumberOfPayments,"",ROW()-ROW(PaymentSchedule33[[#Headers],[Payment Number]])),"")</f>
        <v>232</v>
      </c>
      <c r="C245" s="24">
        <f ca="1">IF(PaymentSchedule33[[#This Row],[Payment Number]]&lt;&gt;"",EOMONTH(LoanStartDate,ROW(PaymentSchedule33[[#This Row],[Payment Number]])-ROW(PaymentSchedule33[[#Headers],[Payment Number]])-2)+DAY(LoanStartDate),"")</f>
        <v>52498</v>
      </c>
      <c r="D245" s="25">
        <f ca="1">IF(PaymentSchedule33[[#This Row],[Payment Number]]&lt;&gt;"",IF(ROW()-ROW(PaymentSchedule33[[#Headers],[Beginning
Balance]])=1,LoanAmount,INDEX(PaymentSchedule33[Ending
Balance],ROW()-ROW(PaymentSchedule33[[#Headers],[Beginning
Balance]])-1)),"")</f>
        <v>177839.32403139974</v>
      </c>
      <c r="E245" s="25">
        <f ca="1">IF(PaymentSchedule33[[#This Row],[Payment Number]]&lt;&gt;"",ScheduledPayment,"")</f>
        <v>1784.9318965153623</v>
      </c>
      <c r="F24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5" s="25">
        <f ca="1">IF(PaymentSchedule33[[#This Row],[Payment Number]]&lt;&gt;"",PaymentSchedule33[[#This Row],[Total
Payment]]-PaymentSchedule33[[#This Row],[Interest]],"")</f>
        <v>1043.9347130511967</v>
      </c>
      <c r="I245" s="25">
        <f ca="1">IF(PaymentSchedule33[[#This Row],[Payment Number]]&lt;&gt;"",PaymentSchedule33[[#This Row],[Beginning
Balance]]*(InterestRate/PaymentsPerYear),"")</f>
        <v>740.99718346416557</v>
      </c>
      <c r="J245" s="25">
        <f ca="1">IF(PaymentSchedule33[[#This Row],[Payment Number]]&lt;&gt;"",IF(PaymentSchedule33[[#This Row],[Scheduled Payment]]+PaymentSchedule33[[#This Row],[Extra
Payment]]&lt;=PaymentSchedule33[[#This Row],[Beginning
Balance]],PaymentSchedule33[[#This Row],[Beginning
Balance]]-PaymentSchedule33[[#This Row],[Principal]],0),"")</f>
        <v>176795.38931834855</v>
      </c>
      <c r="K245" s="25">
        <f ca="1">IF(PaymentSchedule33[[#This Row],[Payment Number]]&lt;&gt;"",SUM(INDEX(PaymentSchedule33[Interest],1,1):PaymentSchedule33[[#This Row],[Interest]]),"")</f>
        <v>258399.58930991299</v>
      </c>
      <c r="L245" s="25">
        <f ca="1">IF(PaymentSchedule33[[#This Row],[Payment Number]]&lt;&gt;"",SUM(INDEX(PaymentSchedule33[Principal],1,1):PaymentSchedule33[[#This Row],[Principal]]),"")</f>
        <v>155704.61068165119</v>
      </c>
      <c r="M245" s="25">
        <f ca="1">PaymentSchedule3[[#This Row],[Total
Payment]]-PaymentSchedule33[[#This Row],[Total
Payment]]</f>
        <v>427.19889995542212</v>
      </c>
      <c r="N245" s="25">
        <f ca="1">PaymentSchedule3[[#This Row],[Interest]]-PaymentSchedule33[[#This Row],[Interest]]</f>
        <v>426.52476642108672</v>
      </c>
      <c r="O245" s="25">
        <f ca="1">PaymentSchedule3[[#This Row],[Cumulative
Interest]]-PaymentSchedule33[[#This Row],[Cumulative
Interest]]</f>
        <v>121416.76660505222</v>
      </c>
    </row>
    <row r="246" spans="2:15" x14ac:dyDescent="0.25">
      <c r="B246" s="23">
        <f ca="1">IF(LoanIsGood,IF(ROW()-ROW(PaymentSchedule33[[#Headers],[Payment Number]])&gt;ScheduledNumberOfPayments,"",ROW()-ROW(PaymentSchedule33[[#Headers],[Payment Number]])),"")</f>
        <v>233</v>
      </c>
      <c r="C246" s="24">
        <f ca="1">IF(PaymentSchedule33[[#This Row],[Payment Number]]&lt;&gt;"",EOMONTH(LoanStartDate,ROW(PaymentSchedule33[[#This Row],[Payment Number]])-ROW(PaymentSchedule33[[#Headers],[Payment Number]])-2)+DAY(LoanStartDate),"")</f>
        <v>52528</v>
      </c>
      <c r="D246" s="25">
        <f ca="1">IF(PaymentSchedule33[[#This Row],[Payment Number]]&lt;&gt;"",IF(ROW()-ROW(PaymentSchedule33[[#Headers],[Beginning
Balance]])=1,LoanAmount,INDEX(PaymentSchedule33[Ending
Balance],ROW()-ROW(PaymentSchedule33[[#Headers],[Beginning
Balance]])-1)),"")</f>
        <v>176795.38931834855</v>
      </c>
      <c r="E246" s="25">
        <f ca="1">IF(PaymentSchedule33[[#This Row],[Payment Number]]&lt;&gt;"",ScheduledPayment,"")</f>
        <v>1784.9318965153623</v>
      </c>
      <c r="F24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6" s="25">
        <f ca="1">IF(PaymentSchedule33[[#This Row],[Payment Number]]&lt;&gt;"",PaymentSchedule33[[#This Row],[Total
Payment]]-PaymentSchedule33[[#This Row],[Interest]],"")</f>
        <v>1048.2844410222433</v>
      </c>
      <c r="I246" s="25">
        <f ca="1">IF(PaymentSchedule33[[#This Row],[Payment Number]]&lt;&gt;"",PaymentSchedule33[[#This Row],[Beginning
Balance]]*(InterestRate/PaymentsPerYear),"")</f>
        <v>736.64745549311897</v>
      </c>
      <c r="J246" s="25">
        <f ca="1">IF(PaymentSchedule33[[#This Row],[Payment Number]]&lt;&gt;"",IF(PaymentSchedule33[[#This Row],[Scheduled Payment]]+PaymentSchedule33[[#This Row],[Extra
Payment]]&lt;=PaymentSchedule33[[#This Row],[Beginning
Balance]],PaymentSchedule33[[#This Row],[Beginning
Balance]]-PaymentSchedule33[[#This Row],[Principal]],0),"")</f>
        <v>175747.10487732632</v>
      </c>
      <c r="K246" s="25">
        <f ca="1">IF(PaymentSchedule33[[#This Row],[Payment Number]]&lt;&gt;"",SUM(INDEX(PaymentSchedule33[Interest],1,1):PaymentSchedule33[[#This Row],[Interest]]),"")</f>
        <v>259136.23676540609</v>
      </c>
      <c r="L246" s="25">
        <f ca="1">IF(PaymentSchedule33[[#This Row],[Payment Number]]&lt;&gt;"",SUM(INDEX(PaymentSchedule33[Principal],1,1):PaymentSchedule33[[#This Row],[Principal]]),"")</f>
        <v>156752.89512267342</v>
      </c>
      <c r="M246" s="25">
        <f ca="1">PaymentSchedule3[[#This Row],[Total
Payment]]-PaymentSchedule33[[#This Row],[Total
Payment]]</f>
        <v>427.19889995542212</v>
      </c>
      <c r="N246" s="25">
        <f ca="1">PaymentSchedule3[[#This Row],[Interest]]-PaymentSchedule33[[#This Row],[Interest]]</f>
        <v>424.78094278705112</v>
      </c>
      <c r="O246" s="25">
        <f ca="1">PaymentSchedule3[[#This Row],[Cumulative
Interest]]-PaymentSchedule33[[#This Row],[Cumulative
Interest]]</f>
        <v>121841.54754783929</v>
      </c>
    </row>
    <row r="247" spans="2:15" x14ac:dyDescent="0.25">
      <c r="B247" s="23">
        <f ca="1">IF(LoanIsGood,IF(ROW()-ROW(PaymentSchedule33[[#Headers],[Payment Number]])&gt;ScheduledNumberOfPayments,"",ROW()-ROW(PaymentSchedule33[[#Headers],[Payment Number]])),"")</f>
        <v>234</v>
      </c>
      <c r="C247" s="24">
        <f ca="1">IF(PaymentSchedule33[[#This Row],[Payment Number]]&lt;&gt;"",EOMONTH(LoanStartDate,ROW(PaymentSchedule33[[#This Row],[Payment Number]])-ROW(PaymentSchedule33[[#Headers],[Payment Number]])-2)+DAY(LoanStartDate),"")</f>
        <v>52559</v>
      </c>
      <c r="D247" s="25">
        <f ca="1">IF(PaymentSchedule33[[#This Row],[Payment Number]]&lt;&gt;"",IF(ROW()-ROW(PaymentSchedule33[[#Headers],[Beginning
Balance]])=1,LoanAmount,INDEX(PaymentSchedule33[Ending
Balance],ROW()-ROW(PaymentSchedule33[[#Headers],[Beginning
Balance]])-1)),"")</f>
        <v>175747.10487732632</v>
      </c>
      <c r="E247" s="25">
        <f ca="1">IF(PaymentSchedule33[[#This Row],[Payment Number]]&lt;&gt;"",ScheduledPayment,"")</f>
        <v>1784.9318965153623</v>
      </c>
      <c r="F24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7" s="25">
        <f ca="1">IF(PaymentSchedule33[[#This Row],[Payment Number]]&lt;&gt;"",PaymentSchedule33[[#This Row],[Total
Payment]]-PaymentSchedule33[[#This Row],[Interest]],"")</f>
        <v>1052.6522928598361</v>
      </c>
      <c r="I247" s="25">
        <f ca="1">IF(PaymentSchedule33[[#This Row],[Payment Number]]&lt;&gt;"",PaymentSchedule33[[#This Row],[Beginning
Balance]]*(InterestRate/PaymentsPerYear),"")</f>
        <v>732.27960365552633</v>
      </c>
      <c r="J247" s="25">
        <f ca="1">IF(PaymentSchedule33[[#This Row],[Payment Number]]&lt;&gt;"",IF(PaymentSchedule33[[#This Row],[Scheduled Payment]]+PaymentSchedule33[[#This Row],[Extra
Payment]]&lt;=PaymentSchedule33[[#This Row],[Beginning
Balance]],PaymentSchedule33[[#This Row],[Beginning
Balance]]-PaymentSchedule33[[#This Row],[Principal]],0),"")</f>
        <v>174694.45258446649</v>
      </c>
      <c r="K247" s="25">
        <f ca="1">IF(PaymentSchedule33[[#This Row],[Payment Number]]&lt;&gt;"",SUM(INDEX(PaymentSchedule33[Interest],1,1):PaymentSchedule33[[#This Row],[Interest]]),"")</f>
        <v>259868.51636906163</v>
      </c>
      <c r="L247" s="25">
        <f ca="1">IF(PaymentSchedule33[[#This Row],[Payment Number]]&lt;&gt;"",SUM(INDEX(PaymentSchedule33[Principal],1,1):PaymentSchedule33[[#This Row],[Principal]]),"")</f>
        <v>157805.54741553325</v>
      </c>
      <c r="M247" s="25">
        <f ca="1">PaymentSchedule3[[#This Row],[Total
Payment]]-PaymentSchedule33[[#This Row],[Total
Payment]]</f>
        <v>427.19889995542212</v>
      </c>
      <c r="N247" s="25">
        <f ca="1">PaymentSchedule3[[#This Row],[Interest]]-PaymentSchedule33[[#This Row],[Interest]]</f>
        <v>423.01969730186499</v>
      </c>
      <c r="O247" s="25">
        <f ca="1">PaymentSchedule3[[#This Row],[Cumulative
Interest]]-PaymentSchedule33[[#This Row],[Cumulative
Interest]]</f>
        <v>122264.56724514117</v>
      </c>
    </row>
    <row r="248" spans="2:15" x14ac:dyDescent="0.25">
      <c r="B248" s="23">
        <f ca="1">IF(LoanIsGood,IF(ROW()-ROW(PaymentSchedule33[[#Headers],[Payment Number]])&gt;ScheduledNumberOfPayments,"",ROW()-ROW(PaymentSchedule33[[#Headers],[Payment Number]])),"")</f>
        <v>235</v>
      </c>
      <c r="C248" s="24">
        <f ca="1">IF(PaymentSchedule33[[#This Row],[Payment Number]]&lt;&gt;"",EOMONTH(LoanStartDate,ROW(PaymentSchedule33[[#This Row],[Payment Number]])-ROW(PaymentSchedule33[[#Headers],[Payment Number]])-2)+DAY(LoanStartDate),"")</f>
        <v>52589</v>
      </c>
      <c r="D248" s="25">
        <f ca="1">IF(PaymentSchedule33[[#This Row],[Payment Number]]&lt;&gt;"",IF(ROW()-ROW(PaymentSchedule33[[#Headers],[Beginning
Balance]])=1,LoanAmount,INDEX(PaymentSchedule33[Ending
Balance],ROW()-ROW(PaymentSchedule33[[#Headers],[Beginning
Balance]])-1)),"")</f>
        <v>174694.45258446649</v>
      </c>
      <c r="E248" s="25">
        <f ca="1">IF(PaymentSchedule33[[#This Row],[Payment Number]]&lt;&gt;"",ScheduledPayment,"")</f>
        <v>1784.9318965153623</v>
      </c>
      <c r="F24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8" s="25">
        <f ca="1">IF(PaymentSchedule33[[#This Row],[Payment Number]]&lt;&gt;"",PaymentSchedule33[[#This Row],[Total
Payment]]-PaymentSchedule33[[#This Row],[Interest]],"")</f>
        <v>1057.0383440800852</v>
      </c>
      <c r="I248" s="25">
        <f ca="1">IF(PaymentSchedule33[[#This Row],[Payment Number]]&lt;&gt;"",PaymentSchedule33[[#This Row],[Beginning
Balance]]*(InterestRate/PaymentsPerYear),"")</f>
        <v>727.893552435277</v>
      </c>
      <c r="J248" s="25">
        <f ca="1">IF(PaymentSchedule33[[#This Row],[Payment Number]]&lt;&gt;"",IF(PaymentSchedule33[[#This Row],[Scheduled Payment]]+PaymentSchedule33[[#This Row],[Extra
Payment]]&lt;=PaymentSchedule33[[#This Row],[Beginning
Balance]],PaymentSchedule33[[#This Row],[Beginning
Balance]]-PaymentSchedule33[[#This Row],[Principal]],0),"")</f>
        <v>173637.4142403864</v>
      </c>
      <c r="K248" s="25">
        <f ca="1">IF(PaymentSchedule33[[#This Row],[Payment Number]]&lt;&gt;"",SUM(INDEX(PaymentSchedule33[Interest],1,1):PaymentSchedule33[[#This Row],[Interest]]),"")</f>
        <v>260596.4099214969</v>
      </c>
      <c r="L248" s="25">
        <f ca="1">IF(PaymentSchedule33[[#This Row],[Payment Number]]&lt;&gt;"",SUM(INDEX(PaymentSchedule33[Principal],1,1):PaymentSchedule33[[#This Row],[Principal]]),"")</f>
        <v>158862.58575961334</v>
      </c>
      <c r="M248" s="25">
        <f ca="1">PaymentSchedule3[[#This Row],[Total
Payment]]-PaymentSchedule33[[#This Row],[Total
Payment]]</f>
        <v>427.19889995542212</v>
      </c>
      <c r="N248" s="25">
        <f ca="1">PaymentSchedule3[[#This Row],[Interest]]-PaymentSchedule33[[#This Row],[Interest]]</f>
        <v>421.2408981316197</v>
      </c>
      <c r="O248" s="25">
        <f ca="1">PaymentSchedule3[[#This Row],[Cumulative
Interest]]-PaymentSchedule33[[#This Row],[Cumulative
Interest]]</f>
        <v>122685.80814327279</v>
      </c>
    </row>
    <row r="249" spans="2:15" x14ac:dyDescent="0.25">
      <c r="B249" s="23">
        <f ca="1">IF(LoanIsGood,IF(ROW()-ROW(PaymentSchedule33[[#Headers],[Payment Number]])&gt;ScheduledNumberOfPayments,"",ROW()-ROW(PaymentSchedule33[[#Headers],[Payment Number]])),"")</f>
        <v>236</v>
      </c>
      <c r="C249" s="24">
        <f ca="1">IF(PaymentSchedule33[[#This Row],[Payment Number]]&lt;&gt;"",EOMONTH(LoanStartDate,ROW(PaymentSchedule33[[#This Row],[Payment Number]])-ROW(PaymentSchedule33[[#Headers],[Payment Number]])-2)+DAY(LoanStartDate),"")</f>
        <v>52620</v>
      </c>
      <c r="D249" s="25">
        <f ca="1">IF(PaymentSchedule33[[#This Row],[Payment Number]]&lt;&gt;"",IF(ROW()-ROW(PaymentSchedule33[[#Headers],[Beginning
Balance]])=1,LoanAmount,INDEX(PaymentSchedule33[Ending
Balance],ROW()-ROW(PaymentSchedule33[[#Headers],[Beginning
Balance]])-1)),"")</f>
        <v>173637.4142403864</v>
      </c>
      <c r="E249" s="25">
        <f ca="1">IF(PaymentSchedule33[[#This Row],[Payment Number]]&lt;&gt;"",ScheduledPayment,"")</f>
        <v>1784.9318965153623</v>
      </c>
      <c r="F24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4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49" s="25">
        <f ca="1">IF(PaymentSchedule33[[#This Row],[Payment Number]]&lt;&gt;"",PaymentSchedule33[[#This Row],[Total
Payment]]-PaymentSchedule33[[#This Row],[Interest]],"")</f>
        <v>1061.4426705137523</v>
      </c>
      <c r="I249" s="25">
        <f ca="1">IF(PaymentSchedule33[[#This Row],[Payment Number]]&lt;&gt;"",PaymentSchedule33[[#This Row],[Beginning
Balance]]*(InterestRate/PaymentsPerYear),"")</f>
        <v>723.48922600160995</v>
      </c>
      <c r="J249" s="25">
        <f ca="1">IF(PaymentSchedule33[[#This Row],[Payment Number]]&lt;&gt;"",IF(PaymentSchedule33[[#This Row],[Scheduled Payment]]+PaymentSchedule33[[#This Row],[Extra
Payment]]&lt;=PaymentSchedule33[[#This Row],[Beginning
Balance]],PaymentSchedule33[[#This Row],[Beginning
Balance]]-PaymentSchedule33[[#This Row],[Principal]],0),"")</f>
        <v>172575.97156987264</v>
      </c>
      <c r="K249" s="25">
        <f ca="1">IF(PaymentSchedule33[[#This Row],[Payment Number]]&lt;&gt;"",SUM(INDEX(PaymentSchedule33[Interest],1,1):PaymentSchedule33[[#This Row],[Interest]]),"")</f>
        <v>261319.89914749851</v>
      </c>
      <c r="L249" s="25">
        <f ca="1">IF(PaymentSchedule33[[#This Row],[Payment Number]]&lt;&gt;"",SUM(INDEX(PaymentSchedule33[Principal],1,1):PaymentSchedule33[[#This Row],[Principal]]),"")</f>
        <v>159924.0284301271</v>
      </c>
      <c r="M249" s="25">
        <f ca="1">PaymentSchedule3[[#This Row],[Total
Payment]]-PaymentSchedule33[[#This Row],[Total
Payment]]</f>
        <v>427.19889995542212</v>
      </c>
      <c r="N249" s="25">
        <f ca="1">PaymentSchedule3[[#This Row],[Interest]]-PaymentSchedule33[[#This Row],[Interest]]</f>
        <v>419.44441254751405</v>
      </c>
      <c r="O249" s="25">
        <f ca="1">PaymentSchedule3[[#This Row],[Cumulative
Interest]]-PaymentSchedule33[[#This Row],[Cumulative
Interest]]</f>
        <v>123105.25255582031</v>
      </c>
    </row>
    <row r="250" spans="2:15" x14ac:dyDescent="0.25">
      <c r="B250" s="23">
        <f ca="1">IF(LoanIsGood,IF(ROW()-ROW(PaymentSchedule33[[#Headers],[Payment Number]])&gt;ScheduledNumberOfPayments,"",ROW()-ROW(PaymentSchedule33[[#Headers],[Payment Number]])),"")</f>
        <v>237</v>
      </c>
      <c r="C250" s="24">
        <f ca="1">IF(PaymentSchedule33[[#This Row],[Payment Number]]&lt;&gt;"",EOMONTH(LoanStartDate,ROW(PaymentSchedule33[[#This Row],[Payment Number]])-ROW(PaymentSchedule33[[#Headers],[Payment Number]])-2)+DAY(LoanStartDate),"")</f>
        <v>52651</v>
      </c>
      <c r="D250" s="25">
        <f ca="1">IF(PaymentSchedule33[[#This Row],[Payment Number]]&lt;&gt;"",IF(ROW()-ROW(PaymentSchedule33[[#Headers],[Beginning
Balance]])=1,LoanAmount,INDEX(PaymentSchedule33[Ending
Balance],ROW()-ROW(PaymentSchedule33[[#Headers],[Beginning
Balance]])-1)),"")</f>
        <v>172575.97156987264</v>
      </c>
      <c r="E250" s="25">
        <f ca="1">IF(PaymentSchedule33[[#This Row],[Payment Number]]&lt;&gt;"",ScheduledPayment,"")</f>
        <v>1784.9318965153623</v>
      </c>
      <c r="F25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0" s="25">
        <f ca="1">IF(PaymentSchedule33[[#This Row],[Payment Number]]&lt;&gt;"",PaymentSchedule33[[#This Row],[Total
Payment]]-PaymentSchedule33[[#This Row],[Interest]],"")</f>
        <v>1065.8653483075595</v>
      </c>
      <c r="I250" s="25">
        <f ca="1">IF(PaymentSchedule33[[#This Row],[Payment Number]]&lt;&gt;"",PaymentSchedule33[[#This Row],[Beginning
Balance]]*(InterestRate/PaymentsPerYear),"")</f>
        <v>719.06654820780261</v>
      </c>
      <c r="J250" s="25">
        <f ca="1">IF(PaymentSchedule33[[#This Row],[Payment Number]]&lt;&gt;"",IF(PaymentSchedule33[[#This Row],[Scheduled Payment]]+PaymentSchedule33[[#This Row],[Extra
Payment]]&lt;=PaymentSchedule33[[#This Row],[Beginning
Balance]],PaymentSchedule33[[#This Row],[Beginning
Balance]]-PaymentSchedule33[[#This Row],[Principal]],0),"")</f>
        <v>171510.10622156507</v>
      </c>
      <c r="K250" s="25">
        <f ca="1">IF(PaymentSchedule33[[#This Row],[Payment Number]]&lt;&gt;"",SUM(INDEX(PaymentSchedule33[Interest],1,1):PaymentSchedule33[[#This Row],[Interest]]),"")</f>
        <v>262038.96569570631</v>
      </c>
      <c r="L250" s="25">
        <f ca="1">IF(PaymentSchedule33[[#This Row],[Payment Number]]&lt;&gt;"",SUM(INDEX(PaymentSchedule33[Principal],1,1):PaymentSchedule33[[#This Row],[Principal]]),"")</f>
        <v>160989.89377843466</v>
      </c>
      <c r="M250" s="25">
        <f ca="1">PaymentSchedule3[[#This Row],[Total
Payment]]-PaymentSchedule33[[#This Row],[Total
Payment]]</f>
        <v>427.19889995542212</v>
      </c>
      <c r="N250" s="25">
        <f ca="1">PaymentSchedule3[[#This Row],[Interest]]-PaymentSchedule33[[#This Row],[Interest]]</f>
        <v>417.63010692011164</v>
      </c>
      <c r="O250" s="25">
        <f ca="1">PaymentSchedule3[[#This Row],[Cumulative
Interest]]-PaymentSchedule33[[#This Row],[Cumulative
Interest]]</f>
        <v>123522.88266274042</v>
      </c>
    </row>
    <row r="251" spans="2:15" x14ac:dyDescent="0.25">
      <c r="B251" s="23">
        <f ca="1">IF(LoanIsGood,IF(ROW()-ROW(PaymentSchedule33[[#Headers],[Payment Number]])&gt;ScheduledNumberOfPayments,"",ROW()-ROW(PaymentSchedule33[[#Headers],[Payment Number]])),"")</f>
        <v>238</v>
      </c>
      <c r="C251" s="24">
        <f ca="1">IF(PaymentSchedule33[[#This Row],[Payment Number]]&lt;&gt;"",EOMONTH(LoanStartDate,ROW(PaymentSchedule33[[#This Row],[Payment Number]])-ROW(PaymentSchedule33[[#Headers],[Payment Number]])-2)+DAY(LoanStartDate),"")</f>
        <v>52680</v>
      </c>
      <c r="D251" s="25">
        <f ca="1">IF(PaymentSchedule33[[#This Row],[Payment Number]]&lt;&gt;"",IF(ROW()-ROW(PaymentSchedule33[[#Headers],[Beginning
Balance]])=1,LoanAmount,INDEX(PaymentSchedule33[Ending
Balance],ROW()-ROW(PaymentSchedule33[[#Headers],[Beginning
Balance]])-1)),"")</f>
        <v>171510.10622156507</v>
      </c>
      <c r="E251" s="25">
        <f ca="1">IF(PaymentSchedule33[[#This Row],[Payment Number]]&lt;&gt;"",ScheduledPayment,"")</f>
        <v>1784.9318965153623</v>
      </c>
      <c r="F25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1" s="25">
        <f ca="1">IF(PaymentSchedule33[[#This Row],[Payment Number]]&lt;&gt;"",PaymentSchedule33[[#This Row],[Total
Payment]]-PaymentSchedule33[[#This Row],[Interest]],"")</f>
        <v>1070.3064539255079</v>
      </c>
      <c r="I251" s="25">
        <f ca="1">IF(PaymentSchedule33[[#This Row],[Payment Number]]&lt;&gt;"",PaymentSchedule33[[#This Row],[Beginning
Balance]]*(InterestRate/PaymentsPerYear),"")</f>
        <v>714.62544258985452</v>
      </c>
      <c r="J251" s="25">
        <f ca="1">IF(PaymentSchedule33[[#This Row],[Payment Number]]&lt;&gt;"",IF(PaymentSchedule33[[#This Row],[Scheduled Payment]]+PaymentSchedule33[[#This Row],[Extra
Payment]]&lt;=PaymentSchedule33[[#This Row],[Beginning
Balance]],PaymentSchedule33[[#This Row],[Beginning
Balance]]-PaymentSchedule33[[#This Row],[Principal]],0),"")</f>
        <v>170439.79976763958</v>
      </c>
      <c r="K251" s="25">
        <f ca="1">IF(PaymentSchedule33[[#This Row],[Payment Number]]&lt;&gt;"",SUM(INDEX(PaymentSchedule33[Interest],1,1):PaymentSchedule33[[#This Row],[Interest]]),"")</f>
        <v>262753.59113829618</v>
      </c>
      <c r="L251" s="25">
        <f ca="1">IF(PaymentSchedule33[[#This Row],[Payment Number]]&lt;&gt;"",SUM(INDEX(PaymentSchedule33[Principal],1,1):PaymentSchedule33[[#This Row],[Principal]]),"")</f>
        <v>162060.20023236016</v>
      </c>
      <c r="M251" s="25">
        <f ca="1">PaymentSchedule3[[#This Row],[Total
Payment]]-PaymentSchedule33[[#This Row],[Total
Payment]]</f>
        <v>427.19889995542212</v>
      </c>
      <c r="N251" s="25">
        <f ca="1">PaymentSchedule3[[#This Row],[Interest]]-PaymentSchedule33[[#This Row],[Interest]]</f>
        <v>415.79784671355958</v>
      </c>
      <c r="O251" s="25">
        <f ca="1">PaymentSchedule3[[#This Row],[Cumulative
Interest]]-PaymentSchedule33[[#This Row],[Cumulative
Interest]]</f>
        <v>123938.68050945399</v>
      </c>
    </row>
    <row r="252" spans="2:15" x14ac:dyDescent="0.25">
      <c r="B252" s="23">
        <f ca="1">IF(LoanIsGood,IF(ROW()-ROW(PaymentSchedule33[[#Headers],[Payment Number]])&gt;ScheduledNumberOfPayments,"",ROW()-ROW(PaymentSchedule33[[#Headers],[Payment Number]])),"")</f>
        <v>239</v>
      </c>
      <c r="C252" s="24">
        <f ca="1">IF(PaymentSchedule33[[#This Row],[Payment Number]]&lt;&gt;"",EOMONTH(LoanStartDate,ROW(PaymentSchedule33[[#This Row],[Payment Number]])-ROW(PaymentSchedule33[[#Headers],[Payment Number]])-2)+DAY(LoanStartDate),"")</f>
        <v>52711</v>
      </c>
      <c r="D252" s="25">
        <f ca="1">IF(PaymentSchedule33[[#This Row],[Payment Number]]&lt;&gt;"",IF(ROW()-ROW(PaymentSchedule33[[#Headers],[Beginning
Balance]])=1,LoanAmount,INDEX(PaymentSchedule33[Ending
Balance],ROW()-ROW(PaymentSchedule33[[#Headers],[Beginning
Balance]])-1)),"")</f>
        <v>170439.79976763958</v>
      </c>
      <c r="E252" s="25">
        <f ca="1">IF(PaymentSchedule33[[#This Row],[Payment Number]]&lt;&gt;"",ScheduledPayment,"")</f>
        <v>1784.9318965153623</v>
      </c>
      <c r="F25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2" s="25">
        <f ca="1">IF(PaymentSchedule33[[#This Row],[Payment Number]]&lt;&gt;"",PaymentSchedule33[[#This Row],[Total
Payment]]-PaymentSchedule33[[#This Row],[Interest]],"")</f>
        <v>1074.7660641501975</v>
      </c>
      <c r="I252" s="25">
        <f ca="1">IF(PaymentSchedule33[[#This Row],[Payment Number]]&lt;&gt;"",PaymentSchedule33[[#This Row],[Beginning
Balance]]*(InterestRate/PaymentsPerYear),"")</f>
        <v>710.16583236516487</v>
      </c>
      <c r="J252" s="25">
        <f ca="1">IF(PaymentSchedule33[[#This Row],[Payment Number]]&lt;&gt;"",IF(PaymentSchedule33[[#This Row],[Scheduled Payment]]+PaymentSchedule33[[#This Row],[Extra
Payment]]&lt;=PaymentSchedule33[[#This Row],[Beginning
Balance]],PaymentSchedule33[[#This Row],[Beginning
Balance]]-PaymentSchedule33[[#This Row],[Principal]],0),"")</f>
        <v>169365.03370348937</v>
      </c>
      <c r="K252" s="25">
        <f ca="1">IF(PaymentSchedule33[[#This Row],[Payment Number]]&lt;&gt;"",SUM(INDEX(PaymentSchedule33[Interest],1,1):PaymentSchedule33[[#This Row],[Interest]]),"")</f>
        <v>263463.75697066134</v>
      </c>
      <c r="L252" s="25">
        <f ca="1">IF(PaymentSchedule33[[#This Row],[Payment Number]]&lt;&gt;"",SUM(INDEX(PaymentSchedule33[Principal],1,1):PaymentSchedule33[[#This Row],[Principal]]),"")</f>
        <v>163134.96629651036</v>
      </c>
      <c r="M252" s="25">
        <f ca="1">PaymentSchedule3[[#This Row],[Total
Payment]]-PaymentSchedule33[[#This Row],[Total
Payment]]</f>
        <v>427.19889995542212</v>
      </c>
      <c r="N252" s="25">
        <f ca="1">PaymentSchedule3[[#This Row],[Interest]]-PaymentSchedule33[[#This Row],[Interest]]</f>
        <v>413.94749647977312</v>
      </c>
      <c r="O252" s="25">
        <f ca="1">PaymentSchedule3[[#This Row],[Cumulative
Interest]]-PaymentSchedule33[[#This Row],[Cumulative
Interest]]</f>
        <v>124352.62800593377</v>
      </c>
    </row>
    <row r="253" spans="2:15" x14ac:dyDescent="0.25">
      <c r="B253" s="23">
        <f ca="1">IF(LoanIsGood,IF(ROW()-ROW(PaymentSchedule33[[#Headers],[Payment Number]])&gt;ScheduledNumberOfPayments,"",ROW()-ROW(PaymentSchedule33[[#Headers],[Payment Number]])),"")</f>
        <v>240</v>
      </c>
      <c r="C253" s="24">
        <f ca="1">IF(PaymentSchedule33[[#This Row],[Payment Number]]&lt;&gt;"",EOMONTH(LoanStartDate,ROW(PaymentSchedule33[[#This Row],[Payment Number]])-ROW(PaymentSchedule33[[#Headers],[Payment Number]])-2)+DAY(LoanStartDate),"")</f>
        <v>52741</v>
      </c>
      <c r="D253" s="25">
        <f ca="1">IF(PaymentSchedule33[[#This Row],[Payment Number]]&lt;&gt;"",IF(ROW()-ROW(PaymentSchedule33[[#Headers],[Beginning
Balance]])=1,LoanAmount,INDEX(PaymentSchedule33[Ending
Balance],ROW()-ROW(PaymentSchedule33[[#Headers],[Beginning
Balance]])-1)),"")</f>
        <v>169365.03370348937</v>
      </c>
      <c r="E253" s="25">
        <f ca="1">IF(PaymentSchedule33[[#This Row],[Payment Number]]&lt;&gt;"",ScheduledPayment,"")</f>
        <v>1784.9318965153623</v>
      </c>
      <c r="F25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3" s="25">
        <f ca="1">IF(PaymentSchedule33[[#This Row],[Payment Number]]&lt;&gt;"",PaymentSchedule33[[#This Row],[Total
Payment]]-PaymentSchedule33[[#This Row],[Interest]],"")</f>
        <v>1079.2442560841564</v>
      </c>
      <c r="I253" s="25">
        <f ca="1">IF(PaymentSchedule33[[#This Row],[Payment Number]]&lt;&gt;"",PaymentSchedule33[[#This Row],[Beginning
Balance]]*(InterestRate/PaymentsPerYear),"")</f>
        <v>705.68764043120575</v>
      </c>
      <c r="J253" s="25">
        <f ca="1">IF(PaymentSchedule33[[#This Row],[Payment Number]]&lt;&gt;"",IF(PaymentSchedule33[[#This Row],[Scheduled Payment]]+PaymentSchedule33[[#This Row],[Extra
Payment]]&lt;=PaymentSchedule33[[#This Row],[Beginning
Balance]],PaymentSchedule33[[#This Row],[Beginning
Balance]]-PaymentSchedule33[[#This Row],[Principal]],0),"")</f>
        <v>168285.78944740523</v>
      </c>
      <c r="K253" s="25">
        <f ca="1">IF(PaymentSchedule33[[#This Row],[Payment Number]]&lt;&gt;"",SUM(INDEX(PaymentSchedule33[Interest],1,1):PaymentSchedule33[[#This Row],[Interest]]),"")</f>
        <v>264169.44461109256</v>
      </c>
      <c r="L253" s="25">
        <f ca="1">IF(PaymentSchedule33[[#This Row],[Payment Number]]&lt;&gt;"",SUM(INDEX(PaymentSchedule33[Principal],1,1):PaymentSchedule33[[#This Row],[Principal]]),"")</f>
        <v>164214.21055259451</v>
      </c>
      <c r="M253" s="25">
        <f ca="1">PaymentSchedule3[[#This Row],[Total
Payment]]-PaymentSchedule33[[#This Row],[Total
Payment]]</f>
        <v>427.19889995542212</v>
      </c>
      <c r="N253" s="25">
        <f ca="1">PaymentSchedule3[[#This Row],[Interest]]-PaymentSchedule33[[#This Row],[Interest]]</f>
        <v>412.07891985258141</v>
      </c>
      <c r="O253" s="25">
        <f ca="1">PaymentSchedule3[[#This Row],[Cumulative
Interest]]-PaymentSchedule33[[#This Row],[Cumulative
Interest]]</f>
        <v>124764.70692578633</v>
      </c>
    </row>
    <row r="254" spans="2:15" x14ac:dyDescent="0.25">
      <c r="B254" s="23">
        <f ca="1">IF(LoanIsGood,IF(ROW()-ROW(PaymentSchedule33[[#Headers],[Payment Number]])&gt;ScheduledNumberOfPayments,"",ROW()-ROW(PaymentSchedule33[[#Headers],[Payment Number]])),"")</f>
        <v>241</v>
      </c>
      <c r="C254" s="24">
        <f ca="1">IF(PaymentSchedule33[[#This Row],[Payment Number]]&lt;&gt;"",EOMONTH(LoanStartDate,ROW(PaymentSchedule33[[#This Row],[Payment Number]])-ROW(PaymentSchedule33[[#Headers],[Payment Number]])-2)+DAY(LoanStartDate),"")</f>
        <v>52772</v>
      </c>
      <c r="D254" s="25">
        <f ca="1">IF(PaymentSchedule33[[#This Row],[Payment Number]]&lt;&gt;"",IF(ROW()-ROW(PaymentSchedule33[[#Headers],[Beginning
Balance]])=1,LoanAmount,INDEX(PaymentSchedule33[Ending
Balance],ROW()-ROW(PaymentSchedule33[[#Headers],[Beginning
Balance]])-1)),"")</f>
        <v>168285.78944740523</v>
      </c>
      <c r="E254" s="25">
        <f ca="1">IF(PaymentSchedule33[[#This Row],[Payment Number]]&lt;&gt;"",ScheduledPayment,"")</f>
        <v>1784.9318965153623</v>
      </c>
      <c r="F25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4" s="25">
        <f ca="1">IF(PaymentSchedule33[[#This Row],[Payment Number]]&lt;&gt;"",PaymentSchedule33[[#This Row],[Total
Payment]]-PaymentSchedule33[[#This Row],[Interest]],"")</f>
        <v>1083.7411071511738</v>
      </c>
      <c r="I254" s="25">
        <f ca="1">IF(PaymentSchedule33[[#This Row],[Payment Number]]&lt;&gt;"",PaymentSchedule33[[#This Row],[Beginning
Balance]]*(InterestRate/PaymentsPerYear),"")</f>
        <v>701.1907893641885</v>
      </c>
      <c r="J254" s="25">
        <f ca="1">IF(PaymentSchedule33[[#This Row],[Payment Number]]&lt;&gt;"",IF(PaymentSchedule33[[#This Row],[Scheduled Payment]]+PaymentSchedule33[[#This Row],[Extra
Payment]]&lt;=PaymentSchedule33[[#This Row],[Beginning
Balance]],PaymentSchedule33[[#This Row],[Beginning
Balance]]-PaymentSchedule33[[#This Row],[Principal]],0),"")</f>
        <v>167202.04834025406</v>
      </c>
      <c r="K254" s="25">
        <f ca="1">IF(PaymentSchedule33[[#This Row],[Payment Number]]&lt;&gt;"",SUM(INDEX(PaymentSchedule33[Interest],1,1):PaymentSchedule33[[#This Row],[Interest]]),"")</f>
        <v>264870.63540045673</v>
      </c>
      <c r="L254" s="25">
        <f ca="1">IF(PaymentSchedule33[[#This Row],[Payment Number]]&lt;&gt;"",SUM(INDEX(PaymentSchedule33[Principal],1,1):PaymentSchedule33[[#This Row],[Principal]]),"")</f>
        <v>165297.95165974568</v>
      </c>
      <c r="M254" s="25">
        <f ca="1">PaymentSchedule3[[#This Row],[Total
Payment]]-PaymentSchedule33[[#This Row],[Total
Payment]]</f>
        <v>427.19889995542212</v>
      </c>
      <c r="N254" s="25">
        <f ca="1">PaymentSchedule3[[#This Row],[Interest]]-PaymentSchedule33[[#This Row],[Interest]]</f>
        <v>410.19197954184119</v>
      </c>
      <c r="O254" s="25">
        <f ca="1">PaymentSchedule3[[#This Row],[Cumulative
Interest]]-PaymentSchedule33[[#This Row],[Cumulative
Interest]]</f>
        <v>125174.89890532818</v>
      </c>
    </row>
    <row r="255" spans="2:15" x14ac:dyDescent="0.25">
      <c r="B255" s="23">
        <f ca="1">IF(LoanIsGood,IF(ROW()-ROW(PaymentSchedule33[[#Headers],[Payment Number]])&gt;ScheduledNumberOfPayments,"",ROW()-ROW(PaymentSchedule33[[#Headers],[Payment Number]])),"")</f>
        <v>242</v>
      </c>
      <c r="C255" s="24">
        <f ca="1">IF(PaymentSchedule33[[#This Row],[Payment Number]]&lt;&gt;"",EOMONTH(LoanStartDate,ROW(PaymentSchedule33[[#This Row],[Payment Number]])-ROW(PaymentSchedule33[[#Headers],[Payment Number]])-2)+DAY(LoanStartDate),"")</f>
        <v>52802</v>
      </c>
      <c r="D255" s="25">
        <f ca="1">IF(PaymentSchedule33[[#This Row],[Payment Number]]&lt;&gt;"",IF(ROW()-ROW(PaymentSchedule33[[#Headers],[Beginning
Balance]])=1,LoanAmount,INDEX(PaymentSchedule33[Ending
Balance],ROW()-ROW(PaymentSchedule33[[#Headers],[Beginning
Balance]])-1)),"")</f>
        <v>167202.04834025406</v>
      </c>
      <c r="E255" s="25">
        <f ca="1">IF(PaymentSchedule33[[#This Row],[Payment Number]]&lt;&gt;"",ScheduledPayment,"")</f>
        <v>1784.9318965153623</v>
      </c>
      <c r="F25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5" s="25">
        <f ca="1">IF(PaymentSchedule33[[#This Row],[Payment Number]]&lt;&gt;"",PaymentSchedule33[[#This Row],[Total
Payment]]-PaymentSchedule33[[#This Row],[Interest]],"")</f>
        <v>1088.256695097637</v>
      </c>
      <c r="I255" s="25">
        <f ca="1">IF(PaymentSchedule33[[#This Row],[Payment Number]]&lt;&gt;"",PaymentSchedule33[[#This Row],[Beginning
Balance]]*(InterestRate/PaymentsPerYear),"")</f>
        <v>696.67520141772525</v>
      </c>
      <c r="J255" s="25">
        <f ca="1">IF(PaymentSchedule33[[#This Row],[Payment Number]]&lt;&gt;"",IF(PaymentSchedule33[[#This Row],[Scheduled Payment]]+PaymentSchedule33[[#This Row],[Extra
Payment]]&lt;=PaymentSchedule33[[#This Row],[Beginning
Balance]],PaymentSchedule33[[#This Row],[Beginning
Balance]]-PaymentSchedule33[[#This Row],[Principal]],0),"")</f>
        <v>166113.79164515642</v>
      </c>
      <c r="K255" s="25">
        <f ca="1">IF(PaymentSchedule33[[#This Row],[Payment Number]]&lt;&gt;"",SUM(INDEX(PaymentSchedule33[Interest],1,1):PaymentSchedule33[[#This Row],[Interest]]),"")</f>
        <v>265567.31060187443</v>
      </c>
      <c r="L255" s="25">
        <f ca="1">IF(PaymentSchedule33[[#This Row],[Payment Number]]&lt;&gt;"",SUM(INDEX(PaymentSchedule33[Principal],1,1):PaymentSchedule33[[#This Row],[Principal]]),"")</f>
        <v>166386.20835484331</v>
      </c>
      <c r="M255" s="25">
        <f ca="1">PaymentSchedule3[[#This Row],[Total
Payment]]-PaymentSchedule33[[#This Row],[Total
Payment]]</f>
        <v>427.19889995542212</v>
      </c>
      <c r="N255" s="25">
        <f ca="1">PaymentSchedule3[[#This Row],[Interest]]-PaymentSchedule33[[#This Row],[Interest]]</f>
        <v>408.28653732751013</v>
      </c>
      <c r="O255" s="25">
        <f ca="1">PaymentSchedule3[[#This Row],[Cumulative
Interest]]-PaymentSchedule33[[#This Row],[Cumulative
Interest]]</f>
        <v>125583.1854426557</v>
      </c>
    </row>
    <row r="256" spans="2:15" x14ac:dyDescent="0.25">
      <c r="B256" s="23">
        <f ca="1">IF(LoanIsGood,IF(ROW()-ROW(PaymentSchedule33[[#Headers],[Payment Number]])&gt;ScheduledNumberOfPayments,"",ROW()-ROW(PaymentSchedule33[[#Headers],[Payment Number]])),"")</f>
        <v>243</v>
      </c>
      <c r="C256" s="24">
        <f ca="1">IF(PaymentSchedule33[[#This Row],[Payment Number]]&lt;&gt;"",EOMONTH(LoanStartDate,ROW(PaymentSchedule33[[#This Row],[Payment Number]])-ROW(PaymentSchedule33[[#Headers],[Payment Number]])-2)+DAY(LoanStartDate),"")</f>
        <v>52833</v>
      </c>
      <c r="D256" s="25">
        <f ca="1">IF(PaymentSchedule33[[#This Row],[Payment Number]]&lt;&gt;"",IF(ROW()-ROW(PaymentSchedule33[[#Headers],[Beginning
Balance]])=1,LoanAmount,INDEX(PaymentSchedule33[Ending
Balance],ROW()-ROW(PaymentSchedule33[[#Headers],[Beginning
Balance]])-1)),"")</f>
        <v>166113.79164515642</v>
      </c>
      <c r="E256" s="25">
        <f ca="1">IF(PaymentSchedule33[[#This Row],[Payment Number]]&lt;&gt;"",ScheduledPayment,"")</f>
        <v>1784.9318965153623</v>
      </c>
      <c r="F25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6" s="25">
        <f ca="1">IF(PaymentSchedule33[[#This Row],[Payment Number]]&lt;&gt;"",PaymentSchedule33[[#This Row],[Total
Payment]]-PaymentSchedule33[[#This Row],[Interest]],"")</f>
        <v>1092.7910979938772</v>
      </c>
      <c r="I256" s="25">
        <f ca="1">IF(PaymentSchedule33[[#This Row],[Payment Number]]&lt;&gt;"",PaymentSchedule33[[#This Row],[Beginning
Balance]]*(InterestRate/PaymentsPerYear),"")</f>
        <v>692.14079852148507</v>
      </c>
      <c r="J256" s="25">
        <f ca="1">IF(PaymentSchedule33[[#This Row],[Payment Number]]&lt;&gt;"",IF(PaymentSchedule33[[#This Row],[Scheduled Payment]]+PaymentSchedule33[[#This Row],[Extra
Payment]]&lt;=PaymentSchedule33[[#This Row],[Beginning
Balance]],PaymentSchedule33[[#This Row],[Beginning
Balance]]-PaymentSchedule33[[#This Row],[Principal]],0),"")</f>
        <v>165021.00054716255</v>
      </c>
      <c r="K256" s="25">
        <f ca="1">IF(PaymentSchedule33[[#This Row],[Payment Number]]&lt;&gt;"",SUM(INDEX(PaymentSchedule33[Interest],1,1):PaymentSchedule33[[#This Row],[Interest]]),"")</f>
        <v>266259.45140039589</v>
      </c>
      <c r="L256" s="25">
        <f ca="1">IF(PaymentSchedule33[[#This Row],[Payment Number]]&lt;&gt;"",SUM(INDEX(PaymentSchedule33[Principal],1,1):PaymentSchedule33[[#This Row],[Principal]]),"")</f>
        <v>167478.99945283719</v>
      </c>
      <c r="M256" s="25">
        <f ca="1">PaymentSchedule3[[#This Row],[Total
Payment]]-PaymentSchedule33[[#This Row],[Total
Payment]]</f>
        <v>427.19889995542212</v>
      </c>
      <c r="N256" s="25">
        <f ca="1">PaymentSchedule3[[#This Row],[Interest]]-PaymentSchedule33[[#This Row],[Interest]]</f>
        <v>406.36245405368459</v>
      </c>
      <c r="O256" s="25">
        <f ca="1">PaymentSchedule3[[#This Row],[Cumulative
Interest]]-PaymentSchedule33[[#This Row],[Cumulative
Interest]]</f>
        <v>125989.54789670941</v>
      </c>
    </row>
    <row r="257" spans="2:15" x14ac:dyDescent="0.25">
      <c r="B257" s="23">
        <f ca="1">IF(LoanIsGood,IF(ROW()-ROW(PaymentSchedule33[[#Headers],[Payment Number]])&gt;ScheduledNumberOfPayments,"",ROW()-ROW(PaymentSchedule33[[#Headers],[Payment Number]])),"")</f>
        <v>244</v>
      </c>
      <c r="C257" s="24">
        <f ca="1">IF(PaymentSchedule33[[#This Row],[Payment Number]]&lt;&gt;"",EOMONTH(LoanStartDate,ROW(PaymentSchedule33[[#This Row],[Payment Number]])-ROW(PaymentSchedule33[[#Headers],[Payment Number]])-2)+DAY(LoanStartDate),"")</f>
        <v>52864</v>
      </c>
      <c r="D257" s="25">
        <f ca="1">IF(PaymentSchedule33[[#This Row],[Payment Number]]&lt;&gt;"",IF(ROW()-ROW(PaymentSchedule33[[#Headers],[Beginning
Balance]])=1,LoanAmount,INDEX(PaymentSchedule33[Ending
Balance],ROW()-ROW(PaymentSchedule33[[#Headers],[Beginning
Balance]])-1)),"")</f>
        <v>165021.00054716255</v>
      </c>
      <c r="E257" s="25">
        <f ca="1">IF(PaymentSchedule33[[#This Row],[Payment Number]]&lt;&gt;"",ScheduledPayment,"")</f>
        <v>1784.9318965153623</v>
      </c>
      <c r="F25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7" s="25">
        <f ca="1">IF(PaymentSchedule33[[#This Row],[Payment Number]]&lt;&gt;"",PaymentSchedule33[[#This Row],[Total
Payment]]-PaymentSchedule33[[#This Row],[Interest]],"")</f>
        <v>1097.3443942355184</v>
      </c>
      <c r="I257" s="25">
        <f ca="1">IF(PaymentSchedule33[[#This Row],[Payment Number]]&lt;&gt;"",PaymentSchedule33[[#This Row],[Beginning
Balance]]*(InterestRate/PaymentsPerYear),"")</f>
        <v>687.58750227984399</v>
      </c>
      <c r="J257" s="25">
        <f ca="1">IF(PaymentSchedule33[[#This Row],[Payment Number]]&lt;&gt;"",IF(PaymentSchedule33[[#This Row],[Scheduled Payment]]+PaymentSchedule33[[#This Row],[Extra
Payment]]&lt;=PaymentSchedule33[[#This Row],[Beginning
Balance]],PaymentSchedule33[[#This Row],[Beginning
Balance]]-PaymentSchedule33[[#This Row],[Principal]],0),"")</f>
        <v>163923.65615292703</v>
      </c>
      <c r="K257" s="25">
        <f ca="1">IF(PaymentSchedule33[[#This Row],[Payment Number]]&lt;&gt;"",SUM(INDEX(PaymentSchedule33[Interest],1,1):PaymentSchedule33[[#This Row],[Interest]]),"")</f>
        <v>266947.03890267573</v>
      </c>
      <c r="L257" s="25">
        <f ca="1">IF(PaymentSchedule33[[#This Row],[Payment Number]]&lt;&gt;"",SUM(INDEX(PaymentSchedule33[Principal],1,1):PaymentSchedule33[[#This Row],[Principal]]),"")</f>
        <v>168576.34384707271</v>
      </c>
      <c r="M257" s="25">
        <f ca="1">PaymentSchedule3[[#This Row],[Total
Payment]]-PaymentSchedule33[[#This Row],[Total
Payment]]</f>
        <v>427.19889995542212</v>
      </c>
      <c r="N257" s="25">
        <f ca="1">PaymentSchedule3[[#This Row],[Interest]]-PaymentSchedule33[[#This Row],[Interest]]</f>
        <v>404.41958962260117</v>
      </c>
      <c r="O257" s="25">
        <f ca="1">PaymentSchedule3[[#This Row],[Cumulative
Interest]]-PaymentSchedule33[[#This Row],[Cumulative
Interest]]</f>
        <v>126393.967486332</v>
      </c>
    </row>
    <row r="258" spans="2:15" x14ac:dyDescent="0.25">
      <c r="B258" s="23">
        <f ca="1">IF(LoanIsGood,IF(ROW()-ROW(PaymentSchedule33[[#Headers],[Payment Number]])&gt;ScheduledNumberOfPayments,"",ROW()-ROW(PaymentSchedule33[[#Headers],[Payment Number]])),"")</f>
        <v>245</v>
      </c>
      <c r="C258" s="24">
        <f ca="1">IF(PaymentSchedule33[[#This Row],[Payment Number]]&lt;&gt;"",EOMONTH(LoanStartDate,ROW(PaymentSchedule33[[#This Row],[Payment Number]])-ROW(PaymentSchedule33[[#Headers],[Payment Number]])-2)+DAY(LoanStartDate),"")</f>
        <v>52894</v>
      </c>
      <c r="D258" s="25">
        <f ca="1">IF(PaymentSchedule33[[#This Row],[Payment Number]]&lt;&gt;"",IF(ROW()-ROW(PaymentSchedule33[[#Headers],[Beginning
Balance]])=1,LoanAmount,INDEX(PaymentSchedule33[Ending
Balance],ROW()-ROW(PaymentSchedule33[[#Headers],[Beginning
Balance]])-1)),"")</f>
        <v>163923.65615292703</v>
      </c>
      <c r="E258" s="25">
        <f ca="1">IF(PaymentSchedule33[[#This Row],[Payment Number]]&lt;&gt;"",ScheduledPayment,"")</f>
        <v>1784.9318965153623</v>
      </c>
      <c r="F25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8" s="25">
        <f ca="1">IF(PaymentSchedule33[[#This Row],[Payment Number]]&lt;&gt;"",PaymentSchedule33[[#This Row],[Total
Payment]]-PaymentSchedule33[[#This Row],[Interest]],"")</f>
        <v>1101.9166625448329</v>
      </c>
      <c r="I258" s="25">
        <f ca="1">IF(PaymentSchedule33[[#This Row],[Payment Number]]&lt;&gt;"",PaymentSchedule33[[#This Row],[Beginning
Balance]]*(InterestRate/PaymentsPerYear),"")</f>
        <v>683.01523397052927</v>
      </c>
      <c r="J258" s="25">
        <f ca="1">IF(PaymentSchedule33[[#This Row],[Payment Number]]&lt;&gt;"",IF(PaymentSchedule33[[#This Row],[Scheduled Payment]]+PaymentSchedule33[[#This Row],[Extra
Payment]]&lt;=PaymentSchedule33[[#This Row],[Beginning
Balance]],PaymentSchedule33[[#This Row],[Beginning
Balance]]-PaymentSchedule33[[#This Row],[Principal]],0),"")</f>
        <v>162821.7394903822</v>
      </c>
      <c r="K258" s="25">
        <f ca="1">IF(PaymentSchedule33[[#This Row],[Payment Number]]&lt;&gt;"",SUM(INDEX(PaymentSchedule33[Interest],1,1):PaymentSchedule33[[#This Row],[Interest]]),"")</f>
        <v>267630.05413664627</v>
      </c>
      <c r="L258" s="25">
        <f ca="1">IF(PaymentSchedule33[[#This Row],[Payment Number]]&lt;&gt;"",SUM(INDEX(PaymentSchedule33[Principal],1,1):PaymentSchedule33[[#This Row],[Principal]]),"")</f>
        <v>169678.26050961754</v>
      </c>
      <c r="M258" s="25">
        <f ca="1">PaymentSchedule3[[#This Row],[Total
Payment]]-PaymentSchedule33[[#This Row],[Total
Payment]]</f>
        <v>427.19889995542212</v>
      </c>
      <c r="N258" s="25">
        <f ca="1">PaymentSchedule3[[#This Row],[Interest]]-PaymentSchedule33[[#This Row],[Interest]]</f>
        <v>402.45780298860052</v>
      </c>
      <c r="O258" s="25">
        <f ca="1">PaymentSchedule3[[#This Row],[Cumulative
Interest]]-PaymentSchedule33[[#This Row],[Cumulative
Interest]]</f>
        <v>126796.42528932058</v>
      </c>
    </row>
    <row r="259" spans="2:15" x14ac:dyDescent="0.25">
      <c r="B259" s="23">
        <f ca="1">IF(LoanIsGood,IF(ROW()-ROW(PaymentSchedule33[[#Headers],[Payment Number]])&gt;ScheduledNumberOfPayments,"",ROW()-ROW(PaymentSchedule33[[#Headers],[Payment Number]])),"")</f>
        <v>246</v>
      </c>
      <c r="C259" s="24">
        <f ca="1">IF(PaymentSchedule33[[#This Row],[Payment Number]]&lt;&gt;"",EOMONTH(LoanStartDate,ROW(PaymentSchedule33[[#This Row],[Payment Number]])-ROW(PaymentSchedule33[[#Headers],[Payment Number]])-2)+DAY(LoanStartDate),"")</f>
        <v>52925</v>
      </c>
      <c r="D259" s="25">
        <f ca="1">IF(PaymentSchedule33[[#This Row],[Payment Number]]&lt;&gt;"",IF(ROW()-ROW(PaymentSchedule33[[#Headers],[Beginning
Balance]])=1,LoanAmount,INDEX(PaymentSchedule33[Ending
Balance],ROW()-ROW(PaymentSchedule33[[#Headers],[Beginning
Balance]])-1)),"")</f>
        <v>162821.7394903822</v>
      </c>
      <c r="E259" s="25">
        <f ca="1">IF(PaymentSchedule33[[#This Row],[Payment Number]]&lt;&gt;"",ScheduledPayment,"")</f>
        <v>1784.9318965153623</v>
      </c>
      <c r="F25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5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59" s="25">
        <f ca="1">IF(PaymentSchedule33[[#This Row],[Payment Number]]&lt;&gt;"",PaymentSchedule33[[#This Row],[Total
Payment]]-PaymentSchedule33[[#This Row],[Interest]],"")</f>
        <v>1106.5079819721032</v>
      </c>
      <c r="I259" s="25">
        <f ca="1">IF(PaymentSchedule33[[#This Row],[Payment Number]]&lt;&gt;"",PaymentSchedule33[[#This Row],[Beginning
Balance]]*(InterestRate/PaymentsPerYear),"")</f>
        <v>678.42391454325912</v>
      </c>
      <c r="J259" s="25">
        <f ca="1">IF(PaymentSchedule33[[#This Row],[Payment Number]]&lt;&gt;"",IF(PaymentSchedule33[[#This Row],[Scheduled Payment]]+PaymentSchedule33[[#This Row],[Extra
Payment]]&lt;=PaymentSchedule33[[#This Row],[Beginning
Balance]],PaymentSchedule33[[#This Row],[Beginning
Balance]]-PaymentSchedule33[[#This Row],[Principal]],0),"")</f>
        <v>161715.2315084101</v>
      </c>
      <c r="K259" s="25">
        <f ca="1">IF(PaymentSchedule33[[#This Row],[Payment Number]]&lt;&gt;"",SUM(INDEX(PaymentSchedule33[Interest],1,1):PaymentSchedule33[[#This Row],[Interest]]),"")</f>
        <v>268308.47805118951</v>
      </c>
      <c r="L259" s="25">
        <f ca="1">IF(PaymentSchedule33[[#This Row],[Payment Number]]&lt;&gt;"",SUM(INDEX(PaymentSchedule33[Principal],1,1):PaymentSchedule33[[#This Row],[Principal]]),"")</f>
        <v>170784.76849158964</v>
      </c>
      <c r="M259" s="25">
        <f ca="1">PaymentSchedule3[[#This Row],[Total
Payment]]-PaymentSchedule33[[#This Row],[Total
Payment]]</f>
        <v>427.19889995542212</v>
      </c>
      <c r="N259" s="25">
        <f ca="1">PaymentSchedule3[[#This Row],[Interest]]-PaymentSchedule33[[#This Row],[Interest]]</f>
        <v>400.47695215205272</v>
      </c>
      <c r="O259" s="25">
        <f ca="1">PaymentSchedule3[[#This Row],[Cumulative
Interest]]-PaymentSchedule33[[#This Row],[Cumulative
Interest]]</f>
        <v>127196.90224147268</v>
      </c>
    </row>
    <row r="260" spans="2:15" x14ac:dyDescent="0.25">
      <c r="B260" s="23">
        <f ca="1">IF(LoanIsGood,IF(ROW()-ROW(PaymentSchedule33[[#Headers],[Payment Number]])&gt;ScheduledNumberOfPayments,"",ROW()-ROW(PaymentSchedule33[[#Headers],[Payment Number]])),"")</f>
        <v>247</v>
      </c>
      <c r="C260" s="24">
        <f ca="1">IF(PaymentSchedule33[[#This Row],[Payment Number]]&lt;&gt;"",EOMONTH(LoanStartDate,ROW(PaymentSchedule33[[#This Row],[Payment Number]])-ROW(PaymentSchedule33[[#Headers],[Payment Number]])-2)+DAY(LoanStartDate),"")</f>
        <v>52955</v>
      </c>
      <c r="D260" s="25">
        <f ca="1">IF(PaymentSchedule33[[#This Row],[Payment Number]]&lt;&gt;"",IF(ROW()-ROW(PaymentSchedule33[[#Headers],[Beginning
Balance]])=1,LoanAmount,INDEX(PaymentSchedule33[Ending
Balance],ROW()-ROW(PaymentSchedule33[[#Headers],[Beginning
Balance]])-1)),"")</f>
        <v>161715.2315084101</v>
      </c>
      <c r="E260" s="25">
        <f ca="1">IF(PaymentSchedule33[[#This Row],[Payment Number]]&lt;&gt;"",ScheduledPayment,"")</f>
        <v>1784.9318965153623</v>
      </c>
      <c r="F26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0" s="25">
        <f ca="1">IF(PaymentSchedule33[[#This Row],[Payment Number]]&lt;&gt;"",PaymentSchedule33[[#This Row],[Total
Payment]]-PaymentSchedule33[[#This Row],[Interest]],"")</f>
        <v>1111.1184318969867</v>
      </c>
      <c r="I260" s="25">
        <f ca="1">IF(PaymentSchedule33[[#This Row],[Payment Number]]&lt;&gt;"",PaymentSchedule33[[#This Row],[Beginning
Balance]]*(InterestRate/PaymentsPerYear),"")</f>
        <v>673.81346461837541</v>
      </c>
      <c r="J260" s="25">
        <f ca="1">IF(PaymentSchedule33[[#This Row],[Payment Number]]&lt;&gt;"",IF(PaymentSchedule33[[#This Row],[Scheduled Payment]]+PaymentSchedule33[[#This Row],[Extra
Payment]]&lt;=PaymentSchedule33[[#This Row],[Beginning
Balance]],PaymentSchedule33[[#This Row],[Beginning
Balance]]-PaymentSchedule33[[#This Row],[Principal]],0),"")</f>
        <v>160604.11307651311</v>
      </c>
      <c r="K260" s="25">
        <f ca="1">IF(PaymentSchedule33[[#This Row],[Payment Number]]&lt;&gt;"",SUM(INDEX(PaymentSchedule33[Interest],1,1):PaymentSchedule33[[#This Row],[Interest]]),"")</f>
        <v>268982.29151580791</v>
      </c>
      <c r="L260" s="25">
        <f ca="1">IF(PaymentSchedule33[[#This Row],[Payment Number]]&lt;&gt;"",SUM(INDEX(PaymentSchedule33[Principal],1,1):PaymentSchedule33[[#This Row],[Principal]]),"")</f>
        <v>171895.88692348663</v>
      </c>
      <c r="M260" s="25">
        <f ca="1">PaymentSchedule3[[#This Row],[Total
Payment]]-PaymentSchedule33[[#This Row],[Total
Payment]]</f>
        <v>427.19889995542212</v>
      </c>
      <c r="N260" s="25">
        <f ca="1">PaymentSchedule3[[#This Row],[Interest]]-PaymentSchedule33[[#This Row],[Interest]]</f>
        <v>398.47689415324623</v>
      </c>
      <c r="O260" s="25">
        <f ca="1">PaymentSchedule3[[#This Row],[Cumulative
Interest]]-PaymentSchedule33[[#This Row],[Cumulative
Interest]]</f>
        <v>127595.3791356259</v>
      </c>
    </row>
    <row r="261" spans="2:15" x14ac:dyDescent="0.25">
      <c r="B261" s="23">
        <f ca="1">IF(LoanIsGood,IF(ROW()-ROW(PaymentSchedule33[[#Headers],[Payment Number]])&gt;ScheduledNumberOfPayments,"",ROW()-ROW(PaymentSchedule33[[#Headers],[Payment Number]])),"")</f>
        <v>248</v>
      </c>
      <c r="C261" s="24">
        <f ca="1">IF(PaymentSchedule33[[#This Row],[Payment Number]]&lt;&gt;"",EOMONTH(LoanStartDate,ROW(PaymentSchedule33[[#This Row],[Payment Number]])-ROW(PaymentSchedule33[[#Headers],[Payment Number]])-2)+DAY(LoanStartDate),"")</f>
        <v>52986</v>
      </c>
      <c r="D261" s="25">
        <f ca="1">IF(PaymentSchedule33[[#This Row],[Payment Number]]&lt;&gt;"",IF(ROW()-ROW(PaymentSchedule33[[#Headers],[Beginning
Balance]])=1,LoanAmount,INDEX(PaymentSchedule33[Ending
Balance],ROW()-ROW(PaymentSchedule33[[#Headers],[Beginning
Balance]])-1)),"")</f>
        <v>160604.11307651311</v>
      </c>
      <c r="E261" s="25">
        <f ca="1">IF(PaymentSchedule33[[#This Row],[Payment Number]]&lt;&gt;"",ScheduledPayment,"")</f>
        <v>1784.9318965153623</v>
      </c>
      <c r="F26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1" s="25">
        <f ca="1">IF(PaymentSchedule33[[#This Row],[Payment Number]]&lt;&gt;"",PaymentSchedule33[[#This Row],[Total
Payment]]-PaymentSchedule33[[#This Row],[Interest]],"")</f>
        <v>1115.748092029891</v>
      </c>
      <c r="I261" s="25">
        <f ca="1">IF(PaymentSchedule33[[#This Row],[Payment Number]]&lt;&gt;"",PaymentSchedule33[[#This Row],[Beginning
Balance]]*(InterestRate/PaymentsPerYear),"")</f>
        <v>669.18380448547123</v>
      </c>
      <c r="J261" s="25">
        <f ca="1">IF(PaymentSchedule33[[#This Row],[Payment Number]]&lt;&gt;"",IF(PaymentSchedule33[[#This Row],[Scheduled Payment]]+PaymentSchedule33[[#This Row],[Extra
Payment]]&lt;=PaymentSchedule33[[#This Row],[Beginning
Balance]],PaymentSchedule33[[#This Row],[Beginning
Balance]]-PaymentSchedule33[[#This Row],[Principal]],0),"")</f>
        <v>159488.36498448323</v>
      </c>
      <c r="K261" s="25">
        <f ca="1">IF(PaymentSchedule33[[#This Row],[Payment Number]]&lt;&gt;"",SUM(INDEX(PaymentSchedule33[Interest],1,1):PaymentSchedule33[[#This Row],[Interest]]),"")</f>
        <v>269651.47532029339</v>
      </c>
      <c r="L261" s="25">
        <f ca="1">IF(PaymentSchedule33[[#This Row],[Payment Number]]&lt;&gt;"",SUM(INDEX(PaymentSchedule33[Principal],1,1):PaymentSchedule33[[#This Row],[Principal]]),"")</f>
        <v>173011.63501551651</v>
      </c>
      <c r="M261" s="25">
        <f ca="1">PaymentSchedule3[[#This Row],[Total
Payment]]-PaymentSchedule33[[#This Row],[Total
Payment]]</f>
        <v>427.19889995542212</v>
      </c>
      <c r="N261" s="25">
        <f ca="1">PaymentSchedule3[[#This Row],[Interest]]-PaymentSchedule33[[#This Row],[Interest]]</f>
        <v>396.45748506623841</v>
      </c>
      <c r="O261" s="25">
        <f ca="1">PaymentSchedule3[[#This Row],[Cumulative
Interest]]-PaymentSchedule33[[#This Row],[Cumulative
Interest]]</f>
        <v>127991.83662069211</v>
      </c>
    </row>
    <row r="262" spans="2:15" x14ac:dyDescent="0.25">
      <c r="B262" s="23">
        <f ca="1">IF(LoanIsGood,IF(ROW()-ROW(PaymentSchedule33[[#Headers],[Payment Number]])&gt;ScheduledNumberOfPayments,"",ROW()-ROW(PaymentSchedule33[[#Headers],[Payment Number]])),"")</f>
        <v>249</v>
      </c>
      <c r="C262" s="24">
        <f ca="1">IF(PaymentSchedule33[[#This Row],[Payment Number]]&lt;&gt;"",EOMONTH(LoanStartDate,ROW(PaymentSchedule33[[#This Row],[Payment Number]])-ROW(PaymentSchedule33[[#Headers],[Payment Number]])-2)+DAY(LoanStartDate),"")</f>
        <v>53017</v>
      </c>
      <c r="D262" s="25">
        <f ca="1">IF(PaymentSchedule33[[#This Row],[Payment Number]]&lt;&gt;"",IF(ROW()-ROW(PaymentSchedule33[[#Headers],[Beginning
Balance]])=1,LoanAmount,INDEX(PaymentSchedule33[Ending
Balance],ROW()-ROW(PaymentSchedule33[[#Headers],[Beginning
Balance]])-1)),"")</f>
        <v>159488.36498448323</v>
      </c>
      <c r="E262" s="25">
        <f ca="1">IF(PaymentSchedule33[[#This Row],[Payment Number]]&lt;&gt;"",ScheduledPayment,"")</f>
        <v>1784.9318965153623</v>
      </c>
      <c r="F26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2" s="25">
        <f ca="1">IF(PaymentSchedule33[[#This Row],[Payment Number]]&lt;&gt;"",PaymentSchedule33[[#This Row],[Total
Payment]]-PaymentSchedule33[[#This Row],[Interest]],"")</f>
        <v>1120.3970424133488</v>
      </c>
      <c r="I262" s="25">
        <f ca="1">IF(PaymentSchedule33[[#This Row],[Payment Number]]&lt;&gt;"",PaymentSchedule33[[#This Row],[Beginning
Balance]]*(InterestRate/PaymentsPerYear),"")</f>
        <v>664.53485410201347</v>
      </c>
      <c r="J262" s="25">
        <f ca="1">IF(PaymentSchedule33[[#This Row],[Payment Number]]&lt;&gt;"",IF(PaymentSchedule33[[#This Row],[Scheduled Payment]]+PaymentSchedule33[[#This Row],[Extra
Payment]]&lt;=PaymentSchedule33[[#This Row],[Beginning
Balance]],PaymentSchedule33[[#This Row],[Beginning
Balance]]-PaymentSchedule33[[#This Row],[Principal]],0),"")</f>
        <v>158367.96794206987</v>
      </c>
      <c r="K262" s="25">
        <f ca="1">IF(PaymentSchedule33[[#This Row],[Payment Number]]&lt;&gt;"",SUM(INDEX(PaymentSchedule33[Interest],1,1):PaymentSchedule33[[#This Row],[Interest]]),"")</f>
        <v>270316.0101743954</v>
      </c>
      <c r="L262" s="25">
        <f ca="1">IF(PaymentSchedule33[[#This Row],[Payment Number]]&lt;&gt;"",SUM(INDEX(PaymentSchedule33[Principal],1,1):PaymentSchedule33[[#This Row],[Principal]]),"")</f>
        <v>174132.03205792987</v>
      </c>
      <c r="M262" s="25">
        <f ca="1">PaymentSchedule3[[#This Row],[Total
Payment]]-PaymentSchedule33[[#This Row],[Total
Payment]]</f>
        <v>427.19889995542212</v>
      </c>
      <c r="N262" s="25">
        <f ca="1">PaymentSchedule3[[#This Row],[Interest]]-PaymentSchedule33[[#This Row],[Interest]]</f>
        <v>394.41857999266836</v>
      </c>
      <c r="O262" s="25">
        <f ca="1">PaymentSchedule3[[#This Row],[Cumulative
Interest]]-PaymentSchedule33[[#This Row],[Cumulative
Interest]]</f>
        <v>128386.25520068477</v>
      </c>
    </row>
    <row r="263" spans="2:15" x14ac:dyDescent="0.25">
      <c r="B263" s="23">
        <f ca="1">IF(LoanIsGood,IF(ROW()-ROW(PaymentSchedule33[[#Headers],[Payment Number]])&gt;ScheduledNumberOfPayments,"",ROW()-ROW(PaymentSchedule33[[#Headers],[Payment Number]])),"")</f>
        <v>250</v>
      </c>
      <c r="C263" s="24">
        <f ca="1">IF(PaymentSchedule33[[#This Row],[Payment Number]]&lt;&gt;"",EOMONTH(LoanStartDate,ROW(PaymentSchedule33[[#This Row],[Payment Number]])-ROW(PaymentSchedule33[[#Headers],[Payment Number]])-2)+DAY(LoanStartDate),"")</f>
        <v>53045</v>
      </c>
      <c r="D263" s="25">
        <f ca="1">IF(PaymentSchedule33[[#This Row],[Payment Number]]&lt;&gt;"",IF(ROW()-ROW(PaymentSchedule33[[#Headers],[Beginning
Balance]])=1,LoanAmount,INDEX(PaymentSchedule33[Ending
Balance],ROW()-ROW(PaymentSchedule33[[#Headers],[Beginning
Balance]])-1)),"")</f>
        <v>158367.96794206987</v>
      </c>
      <c r="E263" s="25">
        <f ca="1">IF(PaymentSchedule33[[#This Row],[Payment Number]]&lt;&gt;"",ScheduledPayment,"")</f>
        <v>1784.9318965153623</v>
      </c>
      <c r="F26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3" s="25">
        <f ca="1">IF(PaymentSchedule33[[#This Row],[Payment Number]]&lt;&gt;"",PaymentSchedule33[[#This Row],[Total
Payment]]-PaymentSchedule33[[#This Row],[Interest]],"")</f>
        <v>1125.0653634234045</v>
      </c>
      <c r="I263" s="25">
        <f ca="1">IF(PaymentSchedule33[[#This Row],[Payment Number]]&lt;&gt;"",PaymentSchedule33[[#This Row],[Beginning
Balance]]*(InterestRate/PaymentsPerYear),"")</f>
        <v>659.86653309195776</v>
      </c>
      <c r="J263" s="25">
        <f ca="1">IF(PaymentSchedule33[[#This Row],[Payment Number]]&lt;&gt;"",IF(PaymentSchedule33[[#This Row],[Scheduled Payment]]+PaymentSchedule33[[#This Row],[Extra
Payment]]&lt;=PaymentSchedule33[[#This Row],[Beginning
Balance]],PaymentSchedule33[[#This Row],[Beginning
Balance]]-PaymentSchedule33[[#This Row],[Principal]],0),"")</f>
        <v>157242.90257864646</v>
      </c>
      <c r="K263" s="25">
        <f ca="1">IF(PaymentSchedule33[[#This Row],[Payment Number]]&lt;&gt;"",SUM(INDEX(PaymentSchedule33[Interest],1,1):PaymentSchedule33[[#This Row],[Interest]]),"")</f>
        <v>270975.87670748733</v>
      </c>
      <c r="L263" s="25">
        <f ca="1">IF(PaymentSchedule33[[#This Row],[Payment Number]]&lt;&gt;"",SUM(INDEX(PaymentSchedule33[Principal],1,1):PaymentSchedule33[[#This Row],[Principal]]),"")</f>
        <v>175257.09742135328</v>
      </c>
      <c r="M263" s="25">
        <f ca="1">PaymentSchedule3[[#This Row],[Total
Payment]]-PaymentSchedule33[[#This Row],[Total
Payment]]</f>
        <v>427.19889995542212</v>
      </c>
      <c r="N263" s="25">
        <f ca="1">PaymentSchedule3[[#This Row],[Interest]]-PaymentSchedule33[[#This Row],[Interest]]</f>
        <v>392.36003305553004</v>
      </c>
      <c r="O263" s="25">
        <f ca="1">PaymentSchedule3[[#This Row],[Cumulative
Interest]]-PaymentSchedule33[[#This Row],[Cumulative
Interest]]</f>
        <v>128778.6152337403</v>
      </c>
    </row>
    <row r="264" spans="2:15" x14ac:dyDescent="0.25">
      <c r="B264" s="23">
        <f ca="1">IF(LoanIsGood,IF(ROW()-ROW(PaymentSchedule33[[#Headers],[Payment Number]])&gt;ScheduledNumberOfPayments,"",ROW()-ROW(PaymentSchedule33[[#Headers],[Payment Number]])),"")</f>
        <v>251</v>
      </c>
      <c r="C264" s="24">
        <f ca="1">IF(PaymentSchedule33[[#This Row],[Payment Number]]&lt;&gt;"",EOMONTH(LoanStartDate,ROW(PaymentSchedule33[[#This Row],[Payment Number]])-ROW(PaymentSchedule33[[#Headers],[Payment Number]])-2)+DAY(LoanStartDate),"")</f>
        <v>53076</v>
      </c>
      <c r="D264" s="25">
        <f ca="1">IF(PaymentSchedule33[[#This Row],[Payment Number]]&lt;&gt;"",IF(ROW()-ROW(PaymentSchedule33[[#Headers],[Beginning
Balance]])=1,LoanAmount,INDEX(PaymentSchedule33[Ending
Balance],ROW()-ROW(PaymentSchedule33[[#Headers],[Beginning
Balance]])-1)),"")</f>
        <v>157242.90257864646</v>
      </c>
      <c r="E264" s="25">
        <f ca="1">IF(PaymentSchedule33[[#This Row],[Payment Number]]&lt;&gt;"",ScheduledPayment,"")</f>
        <v>1784.9318965153623</v>
      </c>
      <c r="F26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4" s="25">
        <f ca="1">IF(PaymentSchedule33[[#This Row],[Payment Number]]&lt;&gt;"",PaymentSchedule33[[#This Row],[Total
Payment]]-PaymentSchedule33[[#This Row],[Interest]],"")</f>
        <v>1129.753135771002</v>
      </c>
      <c r="I264" s="25">
        <f ca="1">IF(PaymentSchedule33[[#This Row],[Payment Number]]&lt;&gt;"",PaymentSchedule33[[#This Row],[Beginning
Balance]]*(InterestRate/PaymentsPerYear),"")</f>
        <v>655.17876074436026</v>
      </c>
      <c r="J264" s="25">
        <f ca="1">IF(PaymentSchedule33[[#This Row],[Payment Number]]&lt;&gt;"",IF(PaymentSchedule33[[#This Row],[Scheduled Payment]]+PaymentSchedule33[[#This Row],[Extra
Payment]]&lt;=PaymentSchedule33[[#This Row],[Beginning
Balance]],PaymentSchedule33[[#This Row],[Beginning
Balance]]-PaymentSchedule33[[#This Row],[Principal]],0),"")</f>
        <v>156113.14944287547</v>
      </c>
      <c r="K264" s="25">
        <f ca="1">IF(PaymentSchedule33[[#This Row],[Payment Number]]&lt;&gt;"",SUM(INDEX(PaymentSchedule33[Interest],1,1):PaymentSchedule33[[#This Row],[Interest]]),"")</f>
        <v>271631.05546823167</v>
      </c>
      <c r="L264" s="25">
        <f ca="1">IF(PaymentSchedule33[[#This Row],[Payment Number]]&lt;&gt;"",SUM(INDEX(PaymentSchedule33[Principal],1,1):PaymentSchedule33[[#This Row],[Principal]]),"")</f>
        <v>176386.85055712427</v>
      </c>
      <c r="M264" s="25">
        <f ca="1">PaymentSchedule3[[#This Row],[Total
Payment]]-PaymentSchedule33[[#This Row],[Total
Payment]]</f>
        <v>427.19889995542212</v>
      </c>
      <c r="N264" s="25">
        <f ca="1">PaymentSchedule3[[#This Row],[Interest]]-PaymentSchedule33[[#This Row],[Interest]]</f>
        <v>390.28169739290843</v>
      </c>
      <c r="O264" s="25">
        <f ca="1">PaymentSchedule3[[#This Row],[Cumulative
Interest]]-PaymentSchedule33[[#This Row],[Cumulative
Interest]]</f>
        <v>129168.89693113323</v>
      </c>
    </row>
    <row r="265" spans="2:15" x14ac:dyDescent="0.25">
      <c r="B265" s="23">
        <f ca="1">IF(LoanIsGood,IF(ROW()-ROW(PaymentSchedule33[[#Headers],[Payment Number]])&gt;ScheduledNumberOfPayments,"",ROW()-ROW(PaymentSchedule33[[#Headers],[Payment Number]])),"")</f>
        <v>252</v>
      </c>
      <c r="C265" s="24">
        <f ca="1">IF(PaymentSchedule33[[#This Row],[Payment Number]]&lt;&gt;"",EOMONTH(LoanStartDate,ROW(PaymentSchedule33[[#This Row],[Payment Number]])-ROW(PaymentSchedule33[[#Headers],[Payment Number]])-2)+DAY(LoanStartDate),"")</f>
        <v>53106</v>
      </c>
      <c r="D265" s="25">
        <f ca="1">IF(PaymentSchedule33[[#This Row],[Payment Number]]&lt;&gt;"",IF(ROW()-ROW(PaymentSchedule33[[#Headers],[Beginning
Balance]])=1,LoanAmount,INDEX(PaymentSchedule33[Ending
Balance],ROW()-ROW(PaymentSchedule33[[#Headers],[Beginning
Balance]])-1)),"")</f>
        <v>156113.14944287547</v>
      </c>
      <c r="E265" s="25">
        <f ca="1">IF(PaymentSchedule33[[#This Row],[Payment Number]]&lt;&gt;"",ScheduledPayment,"")</f>
        <v>1784.9318965153623</v>
      </c>
      <c r="F26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5" s="25">
        <f ca="1">IF(PaymentSchedule33[[#This Row],[Payment Number]]&lt;&gt;"",PaymentSchedule33[[#This Row],[Total
Payment]]-PaymentSchedule33[[#This Row],[Interest]],"")</f>
        <v>1134.4604405033811</v>
      </c>
      <c r="I265" s="25">
        <f ca="1">IF(PaymentSchedule33[[#This Row],[Payment Number]]&lt;&gt;"",PaymentSchedule33[[#This Row],[Beginning
Balance]]*(InterestRate/PaymentsPerYear),"")</f>
        <v>650.4714560119811</v>
      </c>
      <c r="J265" s="25">
        <f ca="1">IF(PaymentSchedule33[[#This Row],[Payment Number]]&lt;&gt;"",IF(PaymentSchedule33[[#This Row],[Scheduled Payment]]+PaymentSchedule33[[#This Row],[Extra
Payment]]&lt;=PaymentSchedule33[[#This Row],[Beginning
Balance]],PaymentSchedule33[[#This Row],[Beginning
Balance]]-PaymentSchedule33[[#This Row],[Principal]],0),"")</f>
        <v>154978.68900237209</v>
      </c>
      <c r="K265" s="25">
        <f ca="1">IF(PaymentSchedule33[[#This Row],[Payment Number]]&lt;&gt;"",SUM(INDEX(PaymentSchedule33[Interest],1,1):PaymentSchedule33[[#This Row],[Interest]]),"")</f>
        <v>272281.52692424366</v>
      </c>
      <c r="L265" s="25">
        <f ca="1">IF(PaymentSchedule33[[#This Row],[Payment Number]]&lt;&gt;"",SUM(INDEX(PaymentSchedule33[Principal],1,1):PaymentSchedule33[[#This Row],[Principal]]),"")</f>
        <v>177521.31099762765</v>
      </c>
      <c r="M265" s="25">
        <f ca="1">PaymentSchedule3[[#This Row],[Total
Payment]]-PaymentSchedule33[[#This Row],[Total
Payment]]</f>
        <v>427.19889995542212</v>
      </c>
      <c r="N265" s="25">
        <f ca="1">PaymentSchedule3[[#This Row],[Interest]]-PaymentSchedule33[[#This Row],[Interest]]</f>
        <v>388.18342515167535</v>
      </c>
      <c r="O265" s="25">
        <f ca="1">PaymentSchedule3[[#This Row],[Cumulative
Interest]]-PaymentSchedule33[[#This Row],[Cumulative
Interest]]</f>
        <v>129557.08035628492</v>
      </c>
    </row>
    <row r="266" spans="2:15" x14ac:dyDescent="0.25">
      <c r="B266" s="23">
        <f ca="1">IF(LoanIsGood,IF(ROW()-ROW(PaymentSchedule33[[#Headers],[Payment Number]])&gt;ScheduledNumberOfPayments,"",ROW()-ROW(PaymentSchedule33[[#Headers],[Payment Number]])),"")</f>
        <v>253</v>
      </c>
      <c r="C266" s="24">
        <f ca="1">IF(PaymentSchedule33[[#This Row],[Payment Number]]&lt;&gt;"",EOMONTH(LoanStartDate,ROW(PaymentSchedule33[[#This Row],[Payment Number]])-ROW(PaymentSchedule33[[#Headers],[Payment Number]])-2)+DAY(LoanStartDate),"")</f>
        <v>53137</v>
      </c>
      <c r="D266" s="25">
        <f ca="1">IF(PaymentSchedule33[[#This Row],[Payment Number]]&lt;&gt;"",IF(ROW()-ROW(PaymentSchedule33[[#Headers],[Beginning
Balance]])=1,LoanAmount,INDEX(PaymentSchedule33[Ending
Balance],ROW()-ROW(PaymentSchedule33[[#Headers],[Beginning
Balance]])-1)),"")</f>
        <v>154978.68900237209</v>
      </c>
      <c r="E266" s="25">
        <f ca="1">IF(PaymentSchedule33[[#This Row],[Payment Number]]&lt;&gt;"",ScheduledPayment,"")</f>
        <v>1784.9318965153623</v>
      </c>
      <c r="F26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6" s="25">
        <f ca="1">IF(PaymentSchedule33[[#This Row],[Payment Number]]&lt;&gt;"",PaymentSchedule33[[#This Row],[Total
Payment]]-PaymentSchedule33[[#This Row],[Interest]],"")</f>
        <v>1139.1873590054786</v>
      </c>
      <c r="I266" s="25">
        <f ca="1">IF(PaymentSchedule33[[#This Row],[Payment Number]]&lt;&gt;"",PaymentSchedule33[[#This Row],[Beginning
Balance]]*(InterestRate/PaymentsPerYear),"")</f>
        <v>645.74453750988368</v>
      </c>
      <c r="J266" s="25">
        <f ca="1">IF(PaymentSchedule33[[#This Row],[Payment Number]]&lt;&gt;"",IF(PaymentSchedule33[[#This Row],[Scheduled Payment]]+PaymentSchedule33[[#This Row],[Extra
Payment]]&lt;=PaymentSchedule33[[#This Row],[Beginning
Balance]],PaymentSchedule33[[#This Row],[Beginning
Balance]]-PaymentSchedule33[[#This Row],[Principal]],0),"")</f>
        <v>153839.50164336662</v>
      </c>
      <c r="K266" s="25">
        <f ca="1">IF(PaymentSchedule33[[#This Row],[Payment Number]]&lt;&gt;"",SUM(INDEX(PaymentSchedule33[Interest],1,1):PaymentSchedule33[[#This Row],[Interest]]),"")</f>
        <v>272927.27146175352</v>
      </c>
      <c r="L266" s="25">
        <f ca="1">IF(PaymentSchedule33[[#This Row],[Payment Number]]&lt;&gt;"",SUM(INDEX(PaymentSchedule33[Principal],1,1):PaymentSchedule33[[#This Row],[Principal]]),"")</f>
        <v>178660.49835663312</v>
      </c>
      <c r="M266" s="25">
        <f ca="1">PaymentSchedule3[[#This Row],[Total
Payment]]-PaymentSchedule33[[#This Row],[Total
Payment]]</f>
        <v>427.19889995542212</v>
      </c>
      <c r="N266" s="25">
        <f ca="1">PaymentSchedule3[[#This Row],[Interest]]-PaymentSchedule33[[#This Row],[Interest]]</f>
        <v>386.06506748114771</v>
      </c>
      <c r="O266" s="25">
        <f ca="1">PaymentSchedule3[[#This Row],[Cumulative
Interest]]-PaymentSchedule33[[#This Row],[Cumulative
Interest]]</f>
        <v>129943.14542376611</v>
      </c>
    </row>
    <row r="267" spans="2:15" x14ac:dyDescent="0.25">
      <c r="B267" s="23">
        <f ca="1">IF(LoanIsGood,IF(ROW()-ROW(PaymentSchedule33[[#Headers],[Payment Number]])&gt;ScheduledNumberOfPayments,"",ROW()-ROW(PaymentSchedule33[[#Headers],[Payment Number]])),"")</f>
        <v>254</v>
      </c>
      <c r="C267" s="24">
        <f ca="1">IF(PaymentSchedule33[[#This Row],[Payment Number]]&lt;&gt;"",EOMONTH(LoanStartDate,ROW(PaymentSchedule33[[#This Row],[Payment Number]])-ROW(PaymentSchedule33[[#Headers],[Payment Number]])-2)+DAY(LoanStartDate),"")</f>
        <v>53167</v>
      </c>
      <c r="D267" s="25">
        <f ca="1">IF(PaymentSchedule33[[#This Row],[Payment Number]]&lt;&gt;"",IF(ROW()-ROW(PaymentSchedule33[[#Headers],[Beginning
Balance]])=1,LoanAmount,INDEX(PaymentSchedule33[Ending
Balance],ROW()-ROW(PaymentSchedule33[[#Headers],[Beginning
Balance]])-1)),"")</f>
        <v>153839.50164336662</v>
      </c>
      <c r="E267" s="25">
        <f ca="1">IF(PaymentSchedule33[[#This Row],[Payment Number]]&lt;&gt;"",ScheduledPayment,"")</f>
        <v>1784.9318965153623</v>
      </c>
      <c r="F26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7" s="25">
        <f ca="1">IF(PaymentSchedule33[[#This Row],[Payment Number]]&lt;&gt;"",PaymentSchedule33[[#This Row],[Total
Payment]]-PaymentSchedule33[[#This Row],[Interest]],"")</f>
        <v>1143.9339730013348</v>
      </c>
      <c r="I267" s="25">
        <f ca="1">IF(PaymentSchedule33[[#This Row],[Payment Number]]&lt;&gt;"",PaymentSchedule33[[#This Row],[Beginning
Balance]]*(InterestRate/PaymentsPerYear),"")</f>
        <v>640.99792351402755</v>
      </c>
      <c r="J267" s="25">
        <f ca="1">IF(PaymentSchedule33[[#This Row],[Payment Number]]&lt;&gt;"",IF(PaymentSchedule33[[#This Row],[Scheduled Payment]]+PaymentSchedule33[[#This Row],[Extra
Payment]]&lt;=PaymentSchedule33[[#This Row],[Beginning
Balance]],PaymentSchedule33[[#This Row],[Beginning
Balance]]-PaymentSchedule33[[#This Row],[Principal]],0),"")</f>
        <v>152695.56767036527</v>
      </c>
      <c r="K267" s="25">
        <f ca="1">IF(PaymentSchedule33[[#This Row],[Payment Number]]&lt;&gt;"",SUM(INDEX(PaymentSchedule33[Interest],1,1):PaymentSchedule33[[#This Row],[Interest]]),"")</f>
        <v>273568.26938526757</v>
      </c>
      <c r="L267" s="25">
        <f ca="1">IF(PaymentSchedule33[[#This Row],[Payment Number]]&lt;&gt;"",SUM(INDEX(PaymentSchedule33[Principal],1,1):PaymentSchedule33[[#This Row],[Principal]]),"")</f>
        <v>179804.43232963447</v>
      </c>
      <c r="M267" s="25">
        <f ca="1">PaymentSchedule3[[#This Row],[Total
Payment]]-PaymentSchedule33[[#This Row],[Total
Payment]]</f>
        <v>427.19889995542212</v>
      </c>
      <c r="N267" s="25">
        <f ca="1">PaymentSchedule3[[#This Row],[Interest]]-PaymentSchedule33[[#This Row],[Interest]]</f>
        <v>383.92647452670542</v>
      </c>
      <c r="O267" s="25">
        <f ca="1">PaymentSchedule3[[#This Row],[Cumulative
Interest]]-PaymentSchedule33[[#This Row],[Cumulative
Interest]]</f>
        <v>130327.07189829281</v>
      </c>
    </row>
    <row r="268" spans="2:15" x14ac:dyDescent="0.25">
      <c r="B268" s="23">
        <f ca="1">IF(LoanIsGood,IF(ROW()-ROW(PaymentSchedule33[[#Headers],[Payment Number]])&gt;ScheduledNumberOfPayments,"",ROW()-ROW(PaymentSchedule33[[#Headers],[Payment Number]])),"")</f>
        <v>255</v>
      </c>
      <c r="C268" s="24">
        <f ca="1">IF(PaymentSchedule33[[#This Row],[Payment Number]]&lt;&gt;"",EOMONTH(LoanStartDate,ROW(PaymentSchedule33[[#This Row],[Payment Number]])-ROW(PaymentSchedule33[[#Headers],[Payment Number]])-2)+DAY(LoanStartDate),"")</f>
        <v>53198</v>
      </c>
      <c r="D268" s="25">
        <f ca="1">IF(PaymentSchedule33[[#This Row],[Payment Number]]&lt;&gt;"",IF(ROW()-ROW(PaymentSchedule33[[#Headers],[Beginning
Balance]])=1,LoanAmount,INDEX(PaymentSchedule33[Ending
Balance],ROW()-ROW(PaymentSchedule33[[#Headers],[Beginning
Balance]])-1)),"")</f>
        <v>152695.56767036527</v>
      </c>
      <c r="E268" s="25">
        <f ca="1">IF(PaymentSchedule33[[#This Row],[Payment Number]]&lt;&gt;"",ScheduledPayment,"")</f>
        <v>1784.9318965153623</v>
      </c>
      <c r="F26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8" s="25">
        <f ca="1">IF(PaymentSchedule33[[#This Row],[Payment Number]]&lt;&gt;"",PaymentSchedule33[[#This Row],[Total
Payment]]-PaymentSchedule33[[#This Row],[Interest]],"")</f>
        <v>1148.7003645555069</v>
      </c>
      <c r="I268" s="25">
        <f ca="1">IF(PaymentSchedule33[[#This Row],[Payment Number]]&lt;&gt;"",PaymentSchedule33[[#This Row],[Beginning
Balance]]*(InterestRate/PaymentsPerYear),"")</f>
        <v>636.23153195985526</v>
      </c>
      <c r="J268" s="25">
        <f ca="1">IF(PaymentSchedule33[[#This Row],[Payment Number]]&lt;&gt;"",IF(PaymentSchedule33[[#This Row],[Scheduled Payment]]+PaymentSchedule33[[#This Row],[Extra
Payment]]&lt;=PaymentSchedule33[[#This Row],[Beginning
Balance]],PaymentSchedule33[[#This Row],[Beginning
Balance]]-PaymentSchedule33[[#This Row],[Principal]],0),"")</f>
        <v>151546.86730580978</v>
      </c>
      <c r="K268" s="25">
        <f ca="1">IF(PaymentSchedule33[[#This Row],[Payment Number]]&lt;&gt;"",SUM(INDEX(PaymentSchedule33[Interest],1,1):PaymentSchedule33[[#This Row],[Interest]]),"")</f>
        <v>274204.50091722741</v>
      </c>
      <c r="L268" s="25">
        <f ca="1">IF(PaymentSchedule33[[#This Row],[Payment Number]]&lt;&gt;"",SUM(INDEX(PaymentSchedule33[Principal],1,1):PaymentSchedule33[[#This Row],[Principal]]),"")</f>
        <v>180953.13269418996</v>
      </c>
      <c r="M268" s="25">
        <f ca="1">PaymentSchedule3[[#This Row],[Total
Payment]]-PaymentSchedule33[[#This Row],[Total
Payment]]</f>
        <v>427.19889995542212</v>
      </c>
      <c r="N268" s="25">
        <f ca="1">PaymentSchedule3[[#This Row],[Interest]]-PaymentSchedule33[[#This Row],[Interest]]</f>
        <v>381.76749542336916</v>
      </c>
      <c r="O268" s="25">
        <f ca="1">PaymentSchedule3[[#This Row],[Cumulative
Interest]]-PaymentSchedule33[[#This Row],[Cumulative
Interest]]</f>
        <v>130708.83939371619</v>
      </c>
    </row>
    <row r="269" spans="2:15" x14ac:dyDescent="0.25">
      <c r="B269" s="23">
        <f ca="1">IF(LoanIsGood,IF(ROW()-ROW(PaymentSchedule33[[#Headers],[Payment Number]])&gt;ScheduledNumberOfPayments,"",ROW()-ROW(PaymentSchedule33[[#Headers],[Payment Number]])),"")</f>
        <v>256</v>
      </c>
      <c r="C269" s="24">
        <f ca="1">IF(PaymentSchedule33[[#This Row],[Payment Number]]&lt;&gt;"",EOMONTH(LoanStartDate,ROW(PaymentSchedule33[[#This Row],[Payment Number]])-ROW(PaymentSchedule33[[#Headers],[Payment Number]])-2)+DAY(LoanStartDate),"")</f>
        <v>53229</v>
      </c>
      <c r="D269" s="25">
        <f ca="1">IF(PaymentSchedule33[[#This Row],[Payment Number]]&lt;&gt;"",IF(ROW()-ROW(PaymentSchedule33[[#Headers],[Beginning
Balance]])=1,LoanAmount,INDEX(PaymentSchedule33[Ending
Balance],ROW()-ROW(PaymentSchedule33[[#Headers],[Beginning
Balance]])-1)),"")</f>
        <v>151546.86730580978</v>
      </c>
      <c r="E269" s="25">
        <f ca="1">IF(PaymentSchedule33[[#This Row],[Payment Number]]&lt;&gt;"",ScheduledPayment,"")</f>
        <v>1784.9318965153623</v>
      </c>
      <c r="F26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6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69" s="25">
        <f ca="1">IF(PaymentSchedule33[[#This Row],[Payment Number]]&lt;&gt;"",PaymentSchedule33[[#This Row],[Total
Payment]]-PaymentSchedule33[[#This Row],[Interest]],"")</f>
        <v>1153.4866160744882</v>
      </c>
      <c r="I269" s="25">
        <f ca="1">IF(PaymentSchedule33[[#This Row],[Payment Number]]&lt;&gt;"",PaymentSchedule33[[#This Row],[Beginning
Balance]]*(InterestRate/PaymentsPerYear),"")</f>
        <v>631.44528044087406</v>
      </c>
      <c r="J269" s="25">
        <f ca="1">IF(PaymentSchedule33[[#This Row],[Payment Number]]&lt;&gt;"",IF(PaymentSchedule33[[#This Row],[Scheduled Payment]]+PaymentSchedule33[[#This Row],[Extra
Payment]]&lt;=PaymentSchedule33[[#This Row],[Beginning
Balance]],PaymentSchedule33[[#This Row],[Beginning
Balance]]-PaymentSchedule33[[#This Row],[Principal]],0),"")</f>
        <v>150393.38068973529</v>
      </c>
      <c r="K269" s="25">
        <f ca="1">IF(PaymentSchedule33[[#This Row],[Payment Number]]&lt;&gt;"",SUM(INDEX(PaymentSchedule33[Interest],1,1):PaymentSchedule33[[#This Row],[Interest]]),"")</f>
        <v>274835.94619766827</v>
      </c>
      <c r="L269" s="25">
        <f ca="1">IF(PaymentSchedule33[[#This Row],[Payment Number]]&lt;&gt;"",SUM(INDEX(PaymentSchedule33[Principal],1,1):PaymentSchedule33[[#This Row],[Principal]]),"")</f>
        <v>182106.61931026445</v>
      </c>
      <c r="M269" s="25">
        <f ca="1">PaymentSchedule3[[#This Row],[Total
Payment]]-PaymentSchedule33[[#This Row],[Total
Payment]]</f>
        <v>427.19889995542212</v>
      </c>
      <c r="N269" s="25">
        <f ca="1">PaymentSchedule3[[#This Row],[Interest]]-PaymentSchedule33[[#This Row],[Interest]]</f>
        <v>379.5879782893395</v>
      </c>
      <c r="O269" s="25">
        <f ca="1">PaymentSchedule3[[#This Row],[Cumulative
Interest]]-PaymentSchedule33[[#This Row],[Cumulative
Interest]]</f>
        <v>131088.42737200554</v>
      </c>
    </row>
    <row r="270" spans="2:15" x14ac:dyDescent="0.25">
      <c r="B270" s="23">
        <f ca="1">IF(LoanIsGood,IF(ROW()-ROW(PaymentSchedule33[[#Headers],[Payment Number]])&gt;ScheduledNumberOfPayments,"",ROW()-ROW(PaymentSchedule33[[#Headers],[Payment Number]])),"")</f>
        <v>257</v>
      </c>
      <c r="C270" s="24">
        <f ca="1">IF(PaymentSchedule33[[#This Row],[Payment Number]]&lt;&gt;"",EOMONTH(LoanStartDate,ROW(PaymentSchedule33[[#This Row],[Payment Number]])-ROW(PaymentSchedule33[[#Headers],[Payment Number]])-2)+DAY(LoanStartDate),"")</f>
        <v>53259</v>
      </c>
      <c r="D270" s="25">
        <f ca="1">IF(PaymentSchedule33[[#This Row],[Payment Number]]&lt;&gt;"",IF(ROW()-ROW(PaymentSchedule33[[#Headers],[Beginning
Balance]])=1,LoanAmount,INDEX(PaymentSchedule33[Ending
Balance],ROW()-ROW(PaymentSchedule33[[#Headers],[Beginning
Balance]])-1)),"")</f>
        <v>150393.38068973529</v>
      </c>
      <c r="E270" s="25">
        <f ca="1">IF(PaymentSchedule33[[#This Row],[Payment Number]]&lt;&gt;"",ScheduledPayment,"")</f>
        <v>1784.9318965153623</v>
      </c>
      <c r="F27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0" s="25">
        <f ca="1">IF(PaymentSchedule33[[#This Row],[Payment Number]]&lt;&gt;"",PaymentSchedule33[[#This Row],[Total
Payment]]-PaymentSchedule33[[#This Row],[Interest]],"")</f>
        <v>1158.2928103081319</v>
      </c>
      <c r="I270" s="25">
        <f ca="1">IF(PaymentSchedule33[[#This Row],[Payment Number]]&lt;&gt;"",PaymentSchedule33[[#This Row],[Beginning
Balance]]*(InterestRate/PaymentsPerYear),"")</f>
        <v>626.63908620723032</v>
      </c>
      <c r="J270" s="25">
        <f ca="1">IF(PaymentSchedule33[[#This Row],[Payment Number]]&lt;&gt;"",IF(PaymentSchedule33[[#This Row],[Scheduled Payment]]+PaymentSchedule33[[#This Row],[Extra
Payment]]&lt;=PaymentSchedule33[[#This Row],[Beginning
Balance]],PaymentSchedule33[[#This Row],[Beginning
Balance]]-PaymentSchedule33[[#This Row],[Principal]],0),"")</f>
        <v>149235.08787942716</v>
      </c>
      <c r="K270" s="25">
        <f ca="1">IF(PaymentSchedule33[[#This Row],[Payment Number]]&lt;&gt;"",SUM(INDEX(PaymentSchedule33[Interest],1,1):PaymentSchedule33[[#This Row],[Interest]]),"")</f>
        <v>275462.58528387552</v>
      </c>
      <c r="L270" s="25">
        <f ca="1">IF(PaymentSchedule33[[#This Row],[Payment Number]]&lt;&gt;"",SUM(INDEX(PaymentSchedule33[Principal],1,1):PaymentSchedule33[[#This Row],[Principal]]),"")</f>
        <v>183264.91212057258</v>
      </c>
      <c r="M270" s="25">
        <f ca="1">PaymentSchedule3[[#This Row],[Total
Payment]]-PaymentSchedule33[[#This Row],[Total
Payment]]</f>
        <v>427.19889995542212</v>
      </c>
      <c r="N270" s="25">
        <f ca="1">PaymentSchedule3[[#This Row],[Interest]]-PaymentSchedule33[[#This Row],[Interest]]</f>
        <v>377.38777021949659</v>
      </c>
      <c r="O270" s="25">
        <f ca="1">PaymentSchedule3[[#This Row],[Cumulative
Interest]]-PaymentSchedule33[[#This Row],[Cumulative
Interest]]</f>
        <v>131465.81514222501</v>
      </c>
    </row>
    <row r="271" spans="2:15" x14ac:dyDescent="0.25">
      <c r="B271" s="23">
        <f ca="1">IF(LoanIsGood,IF(ROW()-ROW(PaymentSchedule33[[#Headers],[Payment Number]])&gt;ScheduledNumberOfPayments,"",ROW()-ROW(PaymentSchedule33[[#Headers],[Payment Number]])),"")</f>
        <v>258</v>
      </c>
      <c r="C271" s="24">
        <f ca="1">IF(PaymentSchedule33[[#This Row],[Payment Number]]&lt;&gt;"",EOMONTH(LoanStartDate,ROW(PaymentSchedule33[[#This Row],[Payment Number]])-ROW(PaymentSchedule33[[#Headers],[Payment Number]])-2)+DAY(LoanStartDate),"")</f>
        <v>53290</v>
      </c>
      <c r="D271" s="25">
        <f ca="1">IF(PaymentSchedule33[[#This Row],[Payment Number]]&lt;&gt;"",IF(ROW()-ROW(PaymentSchedule33[[#Headers],[Beginning
Balance]])=1,LoanAmount,INDEX(PaymentSchedule33[Ending
Balance],ROW()-ROW(PaymentSchedule33[[#Headers],[Beginning
Balance]])-1)),"")</f>
        <v>149235.08787942716</v>
      </c>
      <c r="E271" s="25">
        <f ca="1">IF(PaymentSchedule33[[#This Row],[Payment Number]]&lt;&gt;"",ScheduledPayment,"")</f>
        <v>1784.9318965153623</v>
      </c>
      <c r="F27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1" s="25">
        <f ca="1">IF(PaymentSchedule33[[#This Row],[Payment Number]]&lt;&gt;"",PaymentSchedule33[[#This Row],[Total
Payment]]-PaymentSchedule33[[#This Row],[Interest]],"")</f>
        <v>1163.1190303510825</v>
      </c>
      <c r="I271" s="25">
        <f ca="1">IF(PaymentSchedule33[[#This Row],[Payment Number]]&lt;&gt;"",PaymentSchedule33[[#This Row],[Beginning
Balance]]*(InterestRate/PaymentsPerYear),"")</f>
        <v>621.81286616427985</v>
      </c>
      <c r="J271" s="25">
        <f ca="1">IF(PaymentSchedule33[[#This Row],[Payment Number]]&lt;&gt;"",IF(PaymentSchedule33[[#This Row],[Scheduled Payment]]+PaymentSchedule33[[#This Row],[Extra
Payment]]&lt;=PaymentSchedule33[[#This Row],[Beginning
Balance]],PaymentSchedule33[[#This Row],[Beginning
Balance]]-PaymentSchedule33[[#This Row],[Principal]],0),"")</f>
        <v>148071.96884907607</v>
      </c>
      <c r="K271" s="25">
        <f ca="1">IF(PaymentSchedule33[[#This Row],[Payment Number]]&lt;&gt;"",SUM(INDEX(PaymentSchedule33[Interest],1,1):PaymentSchedule33[[#This Row],[Interest]]),"")</f>
        <v>276084.39815003978</v>
      </c>
      <c r="L271" s="25">
        <f ca="1">IF(PaymentSchedule33[[#This Row],[Payment Number]]&lt;&gt;"",SUM(INDEX(PaymentSchedule33[Principal],1,1):PaymentSchedule33[[#This Row],[Principal]]),"")</f>
        <v>184428.03115092366</v>
      </c>
      <c r="M271" s="25">
        <f ca="1">PaymentSchedule3[[#This Row],[Total
Payment]]-PaymentSchedule33[[#This Row],[Total
Payment]]</f>
        <v>427.19889995542212</v>
      </c>
      <c r="N271" s="25">
        <f ca="1">PaymentSchedule3[[#This Row],[Interest]]-PaymentSchedule33[[#This Row],[Interest]]</f>
        <v>375.16671727885659</v>
      </c>
      <c r="O271" s="25">
        <f ca="1">PaymentSchedule3[[#This Row],[Cumulative
Interest]]-PaymentSchedule33[[#This Row],[Cumulative
Interest]]</f>
        <v>131840.9818595039</v>
      </c>
    </row>
    <row r="272" spans="2:15" x14ac:dyDescent="0.25">
      <c r="B272" s="23">
        <f ca="1">IF(LoanIsGood,IF(ROW()-ROW(PaymentSchedule33[[#Headers],[Payment Number]])&gt;ScheduledNumberOfPayments,"",ROW()-ROW(PaymentSchedule33[[#Headers],[Payment Number]])),"")</f>
        <v>259</v>
      </c>
      <c r="C272" s="24">
        <f ca="1">IF(PaymentSchedule33[[#This Row],[Payment Number]]&lt;&gt;"",EOMONTH(LoanStartDate,ROW(PaymentSchedule33[[#This Row],[Payment Number]])-ROW(PaymentSchedule33[[#Headers],[Payment Number]])-2)+DAY(LoanStartDate),"")</f>
        <v>53320</v>
      </c>
      <c r="D272" s="25">
        <f ca="1">IF(PaymentSchedule33[[#This Row],[Payment Number]]&lt;&gt;"",IF(ROW()-ROW(PaymentSchedule33[[#Headers],[Beginning
Balance]])=1,LoanAmount,INDEX(PaymentSchedule33[Ending
Balance],ROW()-ROW(PaymentSchedule33[[#Headers],[Beginning
Balance]])-1)),"")</f>
        <v>148071.96884907607</v>
      </c>
      <c r="E272" s="25">
        <f ca="1">IF(PaymentSchedule33[[#This Row],[Payment Number]]&lt;&gt;"",ScheduledPayment,"")</f>
        <v>1784.9318965153623</v>
      </c>
      <c r="F27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2" s="25">
        <f ca="1">IF(PaymentSchedule33[[#This Row],[Payment Number]]&lt;&gt;"",PaymentSchedule33[[#This Row],[Total
Payment]]-PaymentSchedule33[[#This Row],[Interest]],"")</f>
        <v>1167.965359644212</v>
      </c>
      <c r="I272" s="25">
        <f ca="1">IF(PaymentSchedule33[[#This Row],[Payment Number]]&lt;&gt;"",PaymentSchedule33[[#This Row],[Beginning
Balance]]*(InterestRate/PaymentsPerYear),"")</f>
        <v>616.96653687115031</v>
      </c>
      <c r="J272" s="25">
        <f ca="1">IF(PaymentSchedule33[[#This Row],[Payment Number]]&lt;&gt;"",IF(PaymentSchedule33[[#This Row],[Scheduled Payment]]+PaymentSchedule33[[#This Row],[Extra
Payment]]&lt;=PaymentSchedule33[[#This Row],[Beginning
Balance]],PaymentSchedule33[[#This Row],[Beginning
Balance]]-PaymentSchedule33[[#This Row],[Principal]],0),"")</f>
        <v>146904.00348943187</v>
      </c>
      <c r="K272" s="25">
        <f ca="1">IF(PaymentSchedule33[[#This Row],[Payment Number]]&lt;&gt;"",SUM(INDEX(PaymentSchedule33[Interest],1,1):PaymentSchedule33[[#This Row],[Interest]]),"")</f>
        <v>276701.36468691094</v>
      </c>
      <c r="L272" s="25">
        <f ca="1">IF(PaymentSchedule33[[#This Row],[Payment Number]]&lt;&gt;"",SUM(INDEX(PaymentSchedule33[Principal],1,1):PaymentSchedule33[[#This Row],[Principal]]),"")</f>
        <v>185595.99651056787</v>
      </c>
      <c r="M272" s="25">
        <f ca="1">PaymentSchedule3[[#This Row],[Total
Payment]]-PaymentSchedule33[[#This Row],[Total
Payment]]</f>
        <v>427.19889995542212</v>
      </c>
      <c r="N272" s="25">
        <f ca="1">PaymentSchedule3[[#This Row],[Interest]]-PaymentSchedule33[[#This Row],[Interest]]</f>
        <v>372.92466449599158</v>
      </c>
      <c r="O272" s="25">
        <f ca="1">PaymentSchedule3[[#This Row],[Cumulative
Interest]]-PaymentSchedule33[[#This Row],[Cumulative
Interest]]</f>
        <v>132213.90652399987</v>
      </c>
    </row>
    <row r="273" spans="2:15" x14ac:dyDescent="0.25">
      <c r="B273" s="23">
        <f ca="1">IF(LoanIsGood,IF(ROW()-ROW(PaymentSchedule33[[#Headers],[Payment Number]])&gt;ScheduledNumberOfPayments,"",ROW()-ROW(PaymentSchedule33[[#Headers],[Payment Number]])),"")</f>
        <v>260</v>
      </c>
      <c r="C273" s="24">
        <f ca="1">IF(PaymentSchedule33[[#This Row],[Payment Number]]&lt;&gt;"",EOMONTH(LoanStartDate,ROW(PaymentSchedule33[[#This Row],[Payment Number]])-ROW(PaymentSchedule33[[#Headers],[Payment Number]])-2)+DAY(LoanStartDate),"")</f>
        <v>53351</v>
      </c>
      <c r="D273" s="25">
        <f ca="1">IF(PaymentSchedule33[[#This Row],[Payment Number]]&lt;&gt;"",IF(ROW()-ROW(PaymentSchedule33[[#Headers],[Beginning
Balance]])=1,LoanAmount,INDEX(PaymentSchedule33[Ending
Balance],ROW()-ROW(PaymentSchedule33[[#Headers],[Beginning
Balance]])-1)),"")</f>
        <v>146904.00348943187</v>
      </c>
      <c r="E273" s="25">
        <f ca="1">IF(PaymentSchedule33[[#This Row],[Payment Number]]&lt;&gt;"",ScheduledPayment,"")</f>
        <v>1784.9318965153623</v>
      </c>
      <c r="F27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3" s="25">
        <f ca="1">IF(PaymentSchedule33[[#This Row],[Payment Number]]&lt;&gt;"",PaymentSchedule33[[#This Row],[Total
Payment]]-PaymentSchedule33[[#This Row],[Interest]],"")</f>
        <v>1172.831881976063</v>
      </c>
      <c r="I273" s="25">
        <f ca="1">IF(PaymentSchedule33[[#This Row],[Payment Number]]&lt;&gt;"",PaymentSchedule33[[#This Row],[Beginning
Balance]]*(InterestRate/PaymentsPerYear),"")</f>
        <v>612.10001453929942</v>
      </c>
      <c r="J273" s="25">
        <f ca="1">IF(PaymentSchedule33[[#This Row],[Payment Number]]&lt;&gt;"",IF(PaymentSchedule33[[#This Row],[Scheduled Payment]]+PaymentSchedule33[[#This Row],[Extra
Payment]]&lt;=PaymentSchedule33[[#This Row],[Beginning
Balance]],PaymentSchedule33[[#This Row],[Beginning
Balance]]-PaymentSchedule33[[#This Row],[Principal]],0),"")</f>
        <v>145731.17160745579</v>
      </c>
      <c r="K273" s="25">
        <f ca="1">IF(PaymentSchedule33[[#This Row],[Payment Number]]&lt;&gt;"",SUM(INDEX(PaymentSchedule33[Interest],1,1):PaymentSchedule33[[#This Row],[Interest]]),"")</f>
        <v>277313.46470145026</v>
      </c>
      <c r="L273" s="25">
        <f ca="1">IF(PaymentSchedule33[[#This Row],[Payment Number]]&lt;&gt;"",SUM(INDEX(PaymentSchedule33[Principal],1,1):PaymentSchedule33[[#This Row],[Principal]]),"")</f>
        <v>186768.82839254395</v>
      </c>
      <c r="M273" s="25">
        <f ca="1">PaymentSchedule3[[#This Row],[Total
Payment]]-PaymentSchedule33[[#This Row],[Total
Payment]]</f>
        <v>427.19889995542212</v>
      </c>
      <c r="N273" s="25">
        <f ca="1">PaymentSchedule3[[#This Row],[Interest]]-PaymentSchedule33[[#This Row],[Interest]]</f>
        <v>370.66145585640459</v>
      </c>
      <c r="O273" s="25">
        <f ca="1">PaymentSchedule3[[#This Row],[Cumulative
Interest]]-PaymentSchedule33[[#This Row],[Cumulative
Interest]]</f>
        <v>132584.56797985628</v>
      </c>
    </row>
    <row r="274" spans="2:15" x14ac:dyDescent="0.25">
      <c r="B274" s="23">
        <f ca="1">IF(LoanIsGood,IF(ROW()-ROW(PaymentSchedule33[[#Headers],[Payment Number]])&gt;ScheduledNumberOfPayments,"",ROW()-ROW(PaymentSchedule33[[#Headers],[Payment Number]])),"")</f>
        <v>261</v>
      </c>
      <c r="C274" s="24">
        <f ca="1">IF(PaymentSchedule33[[#This Row],[Payment Number]]&lt;&gt;"",EOMONTH(LoanStartDate,ROW(PaymentSchedule33[[#This Row],[Payment Number]])-ROW(PaymentSchedule33[[#Headers],[Payment Number]])-2)+DAY(LoanStartDate),"")</f>
        <v>53382</v>
      </c>
      <c r="D274" s="25">
        <f ca="1">IF(PaymentSchedule33[[#This Row],[Payment Number]]&lt;&gt;"",IF(ROW()-ROW(PaymentSchedule33[[#Headers],[Beginning
Balance]])=1,LoanAmount,INDEX(PaymentSchedule33[Ending
Balance],ROW()-ROW(PaymentSchedule33[[#Headers],[Beginning
Balance]])-1)),"")</f>
        <v>145731.17160745579</v>
      </c>
      <c r="E274" s="25">
        <f ca="1">IF(PaymentSchedule33[[#This Row],[Payment Number]]&lt;&gt;"",ScheduledPayment,"")</f>
        <v>1784.9318965153623</v>
      </c>
      <c r="F27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4" s="25">
        <f ca="1">IF(PaymentSchedule33[[#This Row],[Payment Number]]&lt;&gt;"",PaymentSchedule33[[#This Row],[Total
Payment]]-PaymentSchedule33[[#This Row],[Interest]],"")</f>
        <v>1177.7186814842964</v>
      </c>
      <c r="I274" s="25">
        <f ca="1">IF(PaymentSchedule33[[#This Row],[Payment Number]]&lt;&gt;"",PaymentSchedule33[[#This Row],[Beginning
Balance]]*(InterestRate/PaymentsPerYear),"")</f>
        <v>607.21321503106583</v>
      </c>
      <c r="J274" s="25">
        <f ca="1">IF(PaymentSchedule33[[#This Row],[Payment Number]]&lt;&gt;"",IF(PaymentSchedule33[[#This Row],[Scheduled Payment]]+PaymentSchedule33[[#This Row],[Extra
Payment]]&lt;=PaymentSchedule33[[#This Row],[Beginning
Balance]],PaymentSchedule33[[#This Row],[Beginning
Balance]]-PaymentSchedule33[[#This Row],[Principal]],0),"")</f>
        <v>144553.45292597151</v>
      </c>
      <c r="K274" s="25">
        <f ca="1">IF(PaymentSchedule33[[#This Row],[Payment Number]]&lt;&gt;"",SUM(INDEX(PaymentSchedule33[Interest],1,1):PaymentSchedule33[[#This Row],[Interest]]),"")</f>
        <v>277920.67791648133</v>
      </c>
      <c r="L274" s="25">
        <f ca="1">IF(PaymentSchedule33[[#This Row],[Payment Number]]&lt;&gt;"",SUM(INDEX(PaymentSchedule33[Principal],1,1):PaymentSchedule33[[#This Row],[Principal]]),"")</f>
        <v>187946.54707402823</v>
      </c>
      <c r="M274" s="25">
        <f ca="1">PaymentSchedule3[[#This Row],[Total
Payment]]-PaymentSchedule33[[#This Row],[Total
Payment]]</f>
        <v>427.19889995542212</v>
      </c>
      <c r="N274" s="25">
        <f ca="1">PaymentSchedule3[[#This Row],[Interest]]-PaymentSchedule33[[#This Row],[Interest]]</f>
        <v>368.37693429586693</v>
      </c>
      <c r="O274" s="25">
        <f ca="1">PaymentSchedule3[[#This Row],[Cumulative
Interest]]-PaymentSchedule33[[#This Row],[Cumulative
Interest]]</f>
        <v>132952.94491415215</v>
      </c>
    </row>
    <row r="275" spans="2:15" x14ac:dyDescent="0.25">
      <c r="B275" s="23">
        <f ca="1">IF(LoanIsGood,IF(ROW()-ROW(PaymentSchedule33[[#Headers],[Payment Number]])&gt;ScheduledNumberOfPayments,"",ROW()-ROW(PaymentSchedule33[[#Headers],[Payment Number]])),"")</f>
        <v>262</v>
      </c>
      <c r="C275" s="24">
        <f ca="1">IF(PaymentSchedule33[[#This Row],[Payment Number]]&lt;&gt;"",EOMONTH(LoanStartDate,ROW(PaymentSchedule33[[#This Row],[Payment Number]])-ROW(PaymentSchedule33[[#Headers],[Payment Number]])-2)+DAY(LoanStartDate),"")</f>
        <v>53410</v>
      </c>
      <c r="D275" s="25">
        <f ca="1">IF(PaymentSchedule33[[#This Row],[Payment Number]]&lt;&gt;"",IF(ROW()-ROW(PaymentSchedule33[[#Headers],[Beginning
Balance]])=1,LoanAmount,INDEX(PaymentSchedule33[Ending
Balance],ROW()-ROW(PaymentSchedule33[[#Headers],[Beginning
Balance]])-1)),"")</f>
        <v>144553.45292597151</v>
      </c>
      <c r="E275" s="25">
        <f ca="1">IF(PaymentSchedule33[[#This Row],[Payment Number]]&lt;&gt;"",ScheduledPayment,"")</f>
        <v>1784.9318965153623</v>
      </c>
      <c r="F27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5" s="25">
        <f ca="1">IF(PaymentSchedule33[[#This Row],[Payment Number]]&lt;&gt;"",PaymentSchedule33[[#This Row],[Total
Payment]]-PaymentSchedule33[[#This Row],[Interest]],"")</f>
        <v>1182.6258426571476</v>
      </c>
      <c r="I275" s="25">
        <f ca="1">IF(PaymentSchedule33[[#This Row],[Payment Number]]&lt;&gt;"",PaymentSchedule33[[#This Row],[Beginning
Balance]]*(InterestRate/PaymentsPerYear),"")</f>
        <v>602.30605385821457</v>
      </c>
      <c r="J275" s="25">
        <f ca="1">IF(PaymentSchedule33[[#This Row],[Payment Number]]&lt;&gt;"",IF(PaymentSchedule33[[#This Row],[Scheduled Payment]]+PaymentSchedule33[[#This Row],[Extra
Payment]]&lt;=PaymentSchedule33[[#This Row],[Beginning
Balance]],PaymentSchedule33[[#This Row],[Beginning
Balance]]-PaymentSchedule33[[#This Row],[Principal]],0),"")</f>
        <v>143370.82708331436</v>
      </c>
      <c r="K275" s="25">
        <f ca="1">IF(PaymentSchedule33[[#This Row],[Payment Number]]&lt;&gt;"",SUM(INDEX(PaymentSchedule33[Interest],1,1):PaymentSchedule33[[#This Row],[Interest]]),"")</f>
        <v>278522.98397033953</v>
      </c>
      <c r="L275" s="25">
        <f ca="1">IF(PaymentSchedule33[[#This Row],[Payment Number]]&lt;&gt;"",SUM(INDEX(PaymentSchedule33[Principal],1,1):PaymentSchedule33[[#This Row],[Principal]]),"")</f>
        <v>189129.17291668538</v>
      </c>
      <c r="M275" s="25">
        <f ca="1">PaymentSchedule3[[#This Row],[Total
Payment]]-PaymentSchedule33[[#This Row],[Total
Payment]]</f>
        <v>427.19889995542212</v>
      </c>
      <c r="N275" s="25">
        <f ca="1">PaymentSchedule3[[#This Row],[Interest]]-PaymentSchedule33[[#This Row],[Interest]]</f>
        <v>366.07094169371237</v>
      </c>
      <c r="O275" s="25">
        <f ca="1">PaymentSchedule3[[#This Row],[Cumulative
Interest]]-PaymentSchedule33[[#This Row],[Cumulative
Interest]]</f>
        <v>133319.01585584588</v>
      </c>
    </row>
    <row r="276" spans="2:15" x14ac:dyDescent="0.25">
      <c r="B276" s="23">
        <f ca="1">IF(LoanIsGood,IF(ROW()-ROW(PaymentSchedule33[[#Headers],[Payment Number]])&gt;ScheduledNumberOfPayments,"",ROW()-ROW(PaymentSchedule33[[#Headers],[Payment Number]])),"")</f>
        <v>263</v>
      </c>
      <c r="C276" s="24">
        <f ca="1">IF(PaymentSchedule33[[#This Row],[Payment Number]]&lt;&gt;"",EOMONTH(LoanStartDate,ROW(PaymentSchedule33[[#This Row],[Payment Number]])-ROW(PaymentSchedule33[[#Headers],[Payment Number]])-2)+DAY(LoanStartDate),"")</f>
        <v>53441</v>
      </c>
      <c r="D276" s="25">
        <f ca="1">IF(PaymentSchedule33[[#This Row],[Payment Number]]&lt;&gt;"",IF(ROW()-ROW(PaymentSchedule33[[#Headers],[Beginning
Balance]])=1,LoanAmount,INDEX(PaymentSchedule33[Ending
Balance],ROW()-ROW(PaymentSchedule33[[#Headers],[Beginning
Balance]])-1)),"")</f>
        <v>143370.82708331436</v>
      </c>
      <c r="E276" s="25">
        <f ca="1">IF(PaymentSchedule33[[#This Row],[Payment Number]]&lt;&gt;"",ScheduledPayment,"")</f>
        <v>1784.9318965153623</v>
      </c>
      <c r="F27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6" s="25">
        <f ca="1">IF(PaymentSchedule33[[#This Row],[Payment Number]]&lt;&gt;"",PaymentSchedule33[[#This Row],[Total
Payment]]-PaymentSchedule33[[#This Row],[Interest]],"")</f>
        <v>1187.5534503348858</v>
      </c>
      <c r="I276" s="25">
        <f ca="1">IF(PaymentSchedule33[[#This Row],[Payment Number]]&lt;&gt;"",PaymentSchedule33[[#This Row],[Beginning
Balance]]*(InterestRate/PaymentsPerYear),"")</f>
        <v>597.37844618047654</v>
      </c>
      <c r="J276" s="25">
        <f ca="1">IF(PaymentSchedule33[[#This Row],[Payment Number]]&lt;&gt;"",IF(PaymentSchedule33[[#This Row],[Scheduled Payment]]+PaymentSchedule33[[#This Row],[Extra
Payment]]&lt;=PaymentSchedule33[[#This Row],[Beginning
Balance]],PaymentSchedule33[[#This Row],[Beginning
Balance]]-PaymentSchedule33[[#This Row],[Principal]],0),"")</f>
        <v>142183.27363297949</v>
      </c>
      <c r="K276" s="25">
        <f ca="1">IF(PaymentSchedule33[[#This Row],[Payment Number]]&lt;&gt;"",SUM(INDEX(PaymentSchedule33[Interest],1,1):PaymentSchedule33[[#This Row],[Interest]]),"")</f>
        <v>279120.36241652002</v>
      </c>
      <c r="L276" s="25">
        <f ca="1">IF(PaymentSchedule33[[#This Row],[Payment Number]]&lt;&gt;"",SUM(INDEX(PaymentSchedule33[Principal],1,1):PaymentSchedule33[[#This Row],[Principal]]),"")</f>
        <v>190316.72636702025</v>
      </c>
      <c r="M276" s="25">
        <f ca="1">PaymentSchedule3[[#This Row],[Total
Payment]]-PaymentSchedule33[[#This Row],[Total
Payment]]</f>
        <v>427.19889995542212</v>
      </c>
      <c r="N276" s="25">
        <f ca="1">PaymentSchedule3[[#This Row],[Interest]]-PaymentSchedule33[[#This Row],[Interest]]</f>
        <v>363.74331886609048</v>
      </c>
      <c r="O276" s="25">
        <f ca="1">PaymentSchedule3[[#This Row],[Cumulative
Interest]]-PaymentSchedule33[[#This Row],[Cumulative
Interest]]</f>
        <v>133682.75917471194</v>
      </c>
    </row>
    <row r="277" spans="2:15" x14ac:dyDescent="0.25">
      <c r="B277" s="23">
        <f ca="1">IF(LoanIsGood,IF(ROW()-ROW(PaymentSchedule33[[#Headers],[Payment Number]])&gt;ScheduledNumberOfPayments,"",ROW()-ROW(PaymentSchedule33[[#Headers],[Payment Number]])),"")</f>
        <v>264</v>
      </c>
      <c r="C277" s="24">
        <f ca="1">IF(PaymentSchedule33[[#This Row],[Payment Number]]&lt;&gt;"",EOMONTH(LoanStartDate,ROW(PaymentSchedule33[[#This Row],[Payment Number]])-ROW(PaymentSchedule33[[#Headers],[Payment Number]])-2)+DAY(LoanStartDate),"")</f>
        <v>53471</v>
      </c>
      <c r="D277" s="25">
        <f ca="1">IF(PaymentSchedule33[[#This Row],[Payment Number]]&lt;&gt;"",IF(ROW()-ROW(PaymentSchedule33[[#Headers],[Beginning
Balance]])=1,LoanAmount,INDEX(PaymentSchedule33[Ending
Balance],ROW()-ROW(PaymentSchedule33[[#Headers],[Beginning
Balance]])-1)),"")</f>
        <v>142183.27363297949</v>
      </c>
      <c r="E277" s="25">
        <f ca="1">IF(PaymentSchedule33[[#This Row],[Payment Number]]&lt;&gt;"",ScheduledPayment,"")</f>
        <v>1784.9318965153623</v>
      </c>
      <c r="F27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7" s="25">
        <f ca="1">IF(PaymentSchedule33[[#This Row],[Payment Number]]&lt;&gt;"",PaymentSchedule33[[#This Row],[Total
Payment]]-PaymentSchedule33[[#This Row],[Interest]],"")</f>
        <v>1192.5015897112812</v>
      </c>
      <c r="I277" s="25">
        <f ca="1">IF(PaymentSchedule33[[#This Row],[Payment Number]]&lt;&gt;"",PaymentSchedule33[[#This Row],[Beginning
Balance]]*(InterestRate/PaymentsPerYear),"")</f>
        <v>592.43030680408117</v>
      </c>
      <c r="J277" s="25">
        <f ca="1">IF(PaymentSchedule33[[#This Row],[Payment Number]]&lt;&gt;"",IF(PaymentSchedule33[[#This Row],[Scheduled Payment]]+PaymentSchedule33[[#This Row],[Extra
Payment]]&lt;=PaymentSchedule33[[#This Row],[Beginning
Balance]],PaymentSchedule33[[#This Row],[Beginning
Balance]]-PaymentSchedule33[[#This Row],[Principal]],0),"")</f>
        <v>140990.7720432682</v>
      </c>
      <c r="K277" s="25">
        <f ca="1">IF(PaymentSchedule33[[#This Row],[Payment Number]]&lt;&gt;"",SUM(INDEX(PaymentSchedule33[Interest],1,1):PaymentSchedule33[[#This Row],[Interest]]),"")</f>
        <v>279712.79272332409</v>
      </c>
      <c r="L277" s="25">
        <f ca="1">IF(PaymentSchedule33[[#This Row],[Payment Number]]&lt;&gt;"",SUM(INDEX(PaymentSchedule33[Principal],1,1):PaymentSchedule33[[#This Row],[Principal]]),"")</f>
        <v>191509.22795673154</v>
      </c>
      <c r="M277" s="25">
        <f ca="1">PaymentSchedule3[[#This Row],[Total
Payment]]-PaymentSchedule33[[#This Row],[Total
Payment]]</f>
        <v>427.19889995542212</v>
      </c>
      <c r="N277" s="25">
        <f ca="1">PaymentSchedule3[[#This Row],[Interest]]-PaymentSchedule33[[#This Row],[Interest]]</f>
        <v>361.39390555917794</v>
      </c>
      <c r="O277" s="25">
        <f ca="1">PaymentSchedule3[[#This Row],[Cumulative
Interest]]-PaymentSchedule33[[#This Row],[Cumulative
Interest]]</f>
        <v>134044.15308027115</v>
      </c>
    </row>
    <row r="278" spans="2:15" x14ac:dyDescent="0.25">
      <c r="B278" s="23">
        <f ca="1">IF(LoanIsGood,IF(ROW()-ROW(PaymentSchedule33[[#Headers],[Payment Number]])&gt;ScheduledNumberOfPayments,"",ROW()-ROW(PaymentSchedule33[[#Headers],[Payment Number]])),"")</f>
        <v>265</v>
      </c>
      <c r="C278" s="24">
        <f ca="1">IF(PaymentSchedule33[[#This Row],[Payment Number]]&lt;&gt;"",EOMONTH(LoanStartDate,ROW(PaymentSchedule33[[#This Row],[Payment Number]])-ROW(PaymentSchedule33[[#Headers],[Payment Number]])-2)+DAY(LoanStartDate),"")</f>
        <v>53502</v>
      </c>
      <c r="D278" s="25">
        <f ca="1">IF(PaymentSchedule33[[#This Row],[Payment Number]]&lt;&gt;"",IF(ROW()-ROW(PaymentSchedule33[[#Headers],[Beginning
Balance]])=1,LoanAmount,INDEX(PaymentSchedule33[Ending
Balance],ROW()-ROW(PaymentSchedule33[[#Headers],[Beginning
Balance]])-1)),"")</f>
        <v>140990.7720432682</v>
      </c>
      <c r="E278" s="25">
        <f ca="1">IF(PaymentSchedule33[[#This Row],[Payment Number]]&lt;&gt;"",ScheduledPayment,"")</f>
        <v>1784.9318965153623</v>
      </c>
      <c r="F27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8" s="25">
        <f ca="1">IF(PaymentSchedule33[[#This Row],[Payment Number]]&lt;&gt;"",PaymentSchedule33[[#This Row],[Total
Payment]]-PaymentSchedule33[[#This Row],[Interest]],"")</f>
        <v>1197.4703463350781</v>
      </c>
      <c r="I278" s="25">
        <f ca="1">IF(PaymentSchedule33[[#This Row],[Payment Number]]&lt;&gt;"",PaymentSchedule33[[#This Row],[Beginning
Balance]]*(InterestRate/PaymentsPerYear),"")</f>
        <v>587.46155018028412</v>
      </c>
      <c r="J278" s="25">
        <f ca="1">IF(PaymentSchedule33[[#This Row],[Payment Number]]&lt;&gt;"",IF(PaymentSchedule33[[#This Row],[Scheduled Payment]]+PaymentSchedule33[[#This Row],[Extra
Payment]]&lt;=PaymentSchedule33[[#This Row],[Beginning
Balance]],PaymentSchedule33[[#This Row],[Beginning
Balance]]-PaymentSchedule33[[#This Row],[Principal]],0),"")</f>
        <v>139793.30169693311</v>
      </c>
      <c r="K278" s="25">
        <f ca="1">IF(PaymentSchedule33[[#This Row],[Payment Number]]&lt;&gt;"",SUM(INDEX(PaymentSchedule33[Interest],1,1):PaymentSchedule33[[#This Row],[Interest]]),"")</f>
        <v>280300.25427350437</v>
      </c>
      <c r="L278" s="25">
        <f ca="1">IF(PaymentSchedule33[[#This Row],[Payment Number]]&lt;&gt;"",SUM(INDEX(PaymentSchedule33[Principal],1,1):PaymentSchedule33[[#This Row],[Principal]]),"")</f>
        <v>192706.69830306663</v>
      </c>
      <c r="M278" s="25">
        <f ca="1">PaymentSchedule3[[#This Row],[Total
Payment]]-PaymentSchedule33[[#This Row],[Total
Payment]]</f>
        <v>427.19889995542212</v>
      </c>
      <c r="N278" s="25">
        <f ca="1">PaymentSchedule3[[#This Row],[Interest]]-PaymentSchedule33[[#This Row],[Interest]]</f>
        <v>359.02254044234792</v>
      </c>
      <c r="O278" s="25">
        <f ca="1">PaymentSchedule3[[#This Row],[Cumulative
Interest]]-PaymentSchedule33[[#This Row],[Cumulative
Interest]]</f>
        <v>134403.1756207135</v>
      </c>
    </row>
    <row r="279" spans="2:15" x14ac:dyDescent="0.25">
      <c r="B279" s="23">
        <f ca="1">IF(LoanIsGood,IF(ROW()-ROW(PaymentSchedule33[[#Headers],[Payment Number]])&gt;ScheduledNumberOfPayments,"",ROW()-ROW(PaymentSchedule33[[#Headers],[Payment Number]])),"")</f>
        <v>266</v>
      </c>
      <c r="C279" s="24">
        <f ca="1">IF(PaymentSchedule33[[#This Row],[Payment Number]]&lt;&gt;"",EOMONTH(LoanStartDate,ROW(PaymentSchedule33[[#This Row],[Payment Number]])-ROW(PaymentSchedule33[[#Headers],[Payment Number]])-2)+DAY(LoanStartDate),"")</f>
        <v>53532</v>
      </c>
      <c r="D279" s="25">
        <f ca="1">IF(PaymentSchedule33[[#This Row],[Payment Number]]&lt;&gt;"",IF(ROW()-ROW(PaymentSchedule33[[#Headers],[Beginning
Balance]])=1,LoanAmount,INDEX(PaymentSchedule33[Ending
Balance],ROW()-ROW(PaymentSchedule33[[#Headers],[Beginning
Balance]])-1)),"")</f>
        <v>139793.30169693311</v>
      </c>
      <c r="E279" s="25">
        <f ca="1">IF(PaymentSchedule33[[#This Row],[Payment Number]]&lt;&gt;"",ScheduledPayment,"")</f>
        <v>1784.9318965153623</v>
      </c>
      <c r="F27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7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79" s="25">
        <f ca="1">IF(PaymentSchedule33[[#This Row],[Payment Number]]&lt;&gt;"",PaymentSchedule33[[#This Row],[Total
Payment]]-PaymentSchedule33[[#This Row],[Interest]],"")</f>
        <v>1202.4598061114743</v>
      </c>
      <c r="I279" s="25">
        <f ca="1">IF(PaymentSchedule33[[#This Row],[Payment Number]]&lt;&gt;"",PaymentSchedule33[[#This Row],[Beginning
Balance]]*(InterestRate/PaymentsPerYear),"")</f>
        <v>582.47209040388793</v>
      </c>
      <c r="J279" s="25">
        <f ca="1">IF(PaymentSchedule33[[#This Row],[Payment Number]]&lt;&gt;"",IF(PaymentSchedule33[[#This Row],[Scheduled Payment]]+PaymentSchedule33[[#This Row],[Extra
Payment]]&lt;=PaymentSchedule33[[#This Row],[Beginning
Balance]],PaymentSchedule33[[#This Row],[Beginning
Balance]]-PaymentSchedule33[[#This Row],[Principal]],0),"")</f>
        <v>138590.84189082164</v>
      </c>
      <c r="K279" s="25">
        <f ca="1">IF(PaymentSchedule33[[#This Row],[Payment Number]]&lt;&gt;"",SUM(INDEX(PaymentSchedule33[Interest],1,1):PaymentSchedule33[[#This Row],[Interest]]),"")</f>
        <v>280882.72636390827</v>
      </c>
      <c r="L279" s="25">
        <f ca="1">IF(PaymentSchedule33[[#This Row],[Payment Number]]&lt;&gt;"",SUM(INDEX(PaymentSchedule33[Principal],1,1):PaymentSchedule33[[#This Row],[Principal]]),"")</f>
        <v>193909.1581091781</v>
      </c>
      <c r="M279" s="25">
        <f ca="1">PaymentSchedule3[[#This Row],[Total
Payment]]-PaymentSchedule33[[#This Row],[Total
Payment]]</f>
        <v>427.19889995542212</v>
      </c>
      <c r="N279" s="25">
        <f ca="1">PaymentSchedule3[[#This Row],[Interest]]-PaymentSchedule33[[#This Row],[Interest]]</f>
        <v>356.62906110129643</v>
      </c>
      <c r="O279" s="25">
        <f ca="1">PaymentSchedule3[[#This Row],[Cumulative
Interest]]-PaymentSchedule33[[#This Row],[Cumulative
Interest]]</f>
        <v>134759.8046818148</v>
      </c>
    </row>
    <row r="280" spans="2:15" x14ac:dyDescent="0.25">
      <c r="B280" s="23">
        <f ca="1">IF(LoanIsGood,IF(ROW()-ROW(PaymentSchedule33[[#Headers],[Payment Number]])&gt;ScheduledNumberOfPayments,"",ROW()-ROW(PaymentSchedule33[[#Headers],[Payment Number]])),"")</f>
        <v>267</v>
      </c>
      <c r="C280" s="24">
        <f ca="1">IF(PaymentSchedule33[[#This Row],[Payment Number]]&lt;&gt;"",EOMONTH(LoanStartDate,ROW(PaymentSchedule33[[#This Row],[Payment Number]])-ROW(PaymentSchedule33[[#Headers],[Payment Number]])-2)+DAY(LoanStartDate),"")</f>
        <v>53563</v>
      </c>
      <c r="D280" s="25">
        <f ca="1">IF(PaymentSchedule33[[#This Row],[Payment Number]]&lt;&gt;"",IF(ROW()-ROW(PaymentSchedule33[[#Headers],[Beginning
Balance]])=1,LoanAmount,INDEX(PaymentSchedule33[Ending
Balance],ROW()-ROW(PaymentSchedule33[[#Headers],[Beginning
Balance]])-1)),"")</f>
        <v>138590.84189082164</v>
      </c>
      <c r="E280" s="25">
        <f ca="1">IF(PaymentSchedule33[[#This Row],[Payment Number]]&lt;&gt;"",ScheduledPayment,"")</f>
        <v>1784.9318965153623</v>
      </c>
      <c r="F28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0" s="25">
        <f ca="1">IF(PaymentSchedule33[[#This Row],[Payment Number]]&lt;&gt;"",PaymentSchedule33[[#This Row],[Total
Payment]]-PaymentSchedule33[[#This Row],[Interest]],"")</f>
        <v>1207.4700553036055</v>
      </c>
      <c r="I280" s="25">
        <f ca="1">IF(PaymentSchedule33[[#This Row],[Payment Number]]&lt;&gt;"",PaymentSchedule33[[#This Row],[Beginning
Balance]]*(InterestRate/PaymentsPerYear),"")</f>
        <v>577.46184121175679</v>
      </c>
      <c r="J280" s="25">
        <f ca="1">IF(PaymentSchedule33[[#This Row],[Payment Number]]&lt;&gt;"",IF(PaymentSchedule33[[#This Row],[Scheduled Payment]]+PaymentSchedule33[[#This Row],[Extra
Payment]]&lt;=PaymentSchedule33[[#This Row],[Beginning
Balance]],PaymentSchedule33[[#This Row],[Beginning
Balance]]-PaymentSchedule33[[#This Row],[Principal]],0),"")</f>
        <v>137383.37183551805</v>
      </c>
      <c r="K280" s="25">
        <f ca="1">IF(PaymentSchedule33[[#This Row],[Payment Number]]&lt;&gt;"",SUM(INDEX(PaymentSchedule33[Interest],1,1):PaymentSchedule33[[#This Row],[Interest]]),"")</f>
        <v>281460.18820512004</v>
      </c>
      <c r="L280" s="25">
        <f ca="1">IF(PaymentSchedule33[[#This Row],[Payment Number]]&lt;&gt;"",SUM(INDEX(PaymentSchedule33[Principal],1,1):PaymentSchedule33[[#This Row],[Principal]]),"")</f>
        <v>195116.62816448169</v>
      </c>
      <c r="M280" s="25">
        <f ca="1">PaymentSchedule3[[#This Row],[Total
Payment]]-PaymentSchedule33[[#This Row],[Total
Payment]]</f>
        <v>427.19889995542212</v>
      </c>
      <c r="N280" s="25">
        <f ca="1">PaymentSchedule3[[#This Row],[Interest]]-PaymentSchedule33[[#This Row],[Interest]]</f>
        <v>354.21330403112825</v>
      </c>
      <c r="O280" s="25">
        <f ca="1">PaymentSchedule3[[#This Row],[Cumulative
Interest]]-PaymentSchedule33[[#This Row],[Cumulative
Interest]]</f>
        <v>135114.01798584592</v>
      </c>
    </row>
    <row r="281" spans="2:15" x14ac:dyDescent="0.25">
      <c r="B281" s="23">
        <f ca="1">IF(LoanIsGood,IF(ROW()-ROW(PaymentSchedule33[[#Headers],[Payment Number]])&gt;ScheduledNumberOfPayments,"",ROW()-ROW(PaymentSchedule33[[#Headers],[Payment Number]])),"")</f>
        <v>268</v>
      </c>
      <c r="C281" s="24">
        <f ca="1">IF(PaymentSchedule33[[#This Row],[Payment Number]]&lt;&gt;"",EOMONTH(LoanStartDate,ROW(PaymentSchedule33[[#This Row],[Payment Number]])-ROW(PaymentSchedule33[[#Headers],[Payment Number]])-2)+DAY(LoanStartDate),"")</f>
        <v>53594</v>
      </c>
      <c r="D281" s="25">
        <f ca="1">IF(PaymentSchedule33[[#This Row],[Payment Number]]&lt;&gt;"",IF(ROW()-ROW(PaymentSchedule33[[#Headers],[Beginning
Balance]])=1,LoanAmount,INDEX(PaymentSchedule33[Ending
Balance],ROW()-ROW(PaymentSchedule33[[#Headers],[Beginning
Balance]])-1)),"")</f>
        <v>137383.37183551805</v>
      </c>
      <c r="E281" s="25">
        <f ca="1">IF(PaymentSchedule33[[#This Row],[Payment Number]]&lt;&gt;"",ScheduledPayment,"")</f>
        <v>1784.9318965153623</v>
      </c>
      <c r="F28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1" s="25">
        <f ca="1">IF(PaymentSchedule33[[#This Row],[Payment Number]]&lt;&gt;"",PaymentSchedule33[[#This Row],[Total
Payment]]-PaymentSchedule33[[#This Row],[Interest]],"")</f>
        <v>1212.5011805340371</v>
      </c>
      <c r="I281" s="25">
        <f ca="1">IF(PaymentSchedule33[[#This Row],[Payment Number]]&lt;&gt;"",PaymentSchedule33[[#This Row],[Beginning
Balance]]*(InterestRate/PaymentsPerYear),"")</f>
        <v>572.43071598132519</v>
      </c>
      <c r="J281" s="25">
        <f ca="1">IF(PaymentSchedule33[[#This Row],[Payment Number]]&lt;&gt;"",IF(PaymentSchedule33[[#This Row],[Scheduled Payment]]+PaymentSchedule33[[#This Row],[Extra
Payment]]&lt;=PaymentSchedule33[[#This Row],[Beginning
Balance]],PaymentSchedule33[[#This Row],[Beginning
Balance]]-PaymentSchedule33[[#This Row],[Principal]],0),"")</f>
        <v>136170.870654984</v>
      </c>
      <c r="K281" s="25">
        <f ca="1">IF(PaymentSchedule33[[#This Row],[Payment Number]]&lt;&gt;"",SUM(INDEX(PaymentSchedule33[Interest],1,1):PaymentSchedule33[[#This Row],[Interest]]),"")</f>
        <v>282032.61892110138</v>
      </c>
      <c r="L281" s="25">
        <f ca="1">IF(PaymentSchedule33[[#This Row],[Payment Number]]&lt;&gt;"",SUM(INDEX(PaymentSchedule33[Principal],1,1):PaymentSchedule33[[#This Row],[Principal]]),"")</f>
        <v>196329.12934501574</v>
      </c>
      <c r="M281" s="25">
        <f ca="1">PaymentSchedule3[[#This Row],[Total
Payment]]-PaymentSchedule33[[#This Row],[Total
Payment]]</f>
        <v>427.19889995542212</v>
      </c>
      <c r="N281" s="25">
        <f ca="1">PaymentSchedule3[[#This Row],[Interest]]-PaymentSchedule33[[#This Row],[Interest]]</f>
        <v>351.77510462939699</v>
      </c>
      <c r="O281" s="25">
        <f ca="1">PaymentSchedule3[[#This Row],[Cumulative
Interest]]-PaymentSchedule33[[#This Row],[Cumulative
Interest]]</f>
        <v>135465.79309047532</v>
      </c>
    </row>
    <row r="282" spans="2:15" x14ac:dyDescent="0.25">
      <c r="B282" s="23">
        <f ca="1">IF(LoanIsGood,IF(ROW()-ROW(PaymentSchedule33[[#Headers],[Payment Number]])&gt;ScheduledNumberOfPayments,"",ROW()-ROW(PaymentSchedule33[[#Headers],[Payment Number]])),"")</f>
        <v>269</v>
      </c>
      <c r="C282" s="24">
        <f ca="1">IF(PaymentSchedule33[[#This Row],[Payment Number]]&lt;&gt;"",EOMONTH(LoanStartDate,ROW(PaymentSchedule33[[#This Row],[Payment Number]])-ROW(PaymentSchedule33[[#Headers],[Payment Number]])-2)+DAY(LoanStartDate),"")</f>
        <v>53624</v>
      </c>
      <c r="D282" s="25">
        <f ca="1">IF(PaymentSchedule33[[#This Row],[Payment Number]]&lt;&gt;"",IF(ROW()-ROW(PaymentSchedule33[[#Headers],[Beginning
Balance]])=1,LoanAmount,INDEX(PaymentSchedule33[Ending
Balance],ROW()-ROW(PaymentSchedule33[[#Headers],[Beginning
Balance]])-1)),"")</f>
        <v>136170.870654984</v>
      </c>
      <c r="E282" s="25">
        <f ca="1">IF(PaymentSchedule33[[#This Row],[Payment Number]]&lt;&gt;"",ScheduledPayment,"")</f>
        <v>1784.9318965153623</v>
      </c>
      <c r="F28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2" s="25">
        <f ca="1">IF(PaymentSchedule33[[#This Row],[Payment Number]]&lt;&gt;"",PaymentSchedule33[[#This Row],[Total
Payment]]-PaymentSchedule33[[#This Row],[Interest]],"")</f>
        <v>1217.5532687862624</v>
      </c>
      <c r="I282" s="25">
        <f ca="1">IF(PaymentSchedule33[[#This Row],[Payment Number]]&lt;&gt;"",PaymentSchedule33[[#This Row],[Beginning
Balance]]*(InterestRate/PaymentsPerYear),"")</f>
        <v>567.3786277291</v>
      </c>
      <c r="J282" s="25">
        <f ca="1">IF(PaymentSchedule33[[#This Row],[Payment Number]]&lt;&gt;"",IF(PaymentSchedule33[[#This Row],[Scheduled Payment]]+PaymentSchedule33[[#This Row],[Extra
Payment]]&lt;=PaymentSchedule33[[#This Row],[Beginning
Balance]],PaymentSchedule33[[#This Row],[Beginning
Balance]]-PaymentSchedule33[[#This Row],[Principal]],0),"")</f>
        <v>134953.31738619774</v>
      </c>
      <c r="K282" s="25">
        <f ca="1">IF(PaymentSchedule33[[#This Row],[Payment Number]]&lt;&gt;"",SUM(INDEX(PaymentSchedule33[Interest],1,1):PaymentSchedule33[[#This Row],[Interest]]),"")</f>
        <v>282599.99754883046</v>
      </c>
      <c r="L282" s="25">
        <f ca="1">IF(PaymentSchedule33[[#This Row],[Payment Number]]&lt;&gt;"",SUM(INDEX(PaymentSchedule33[Principal],1,1):PaymentSchedule33[[#This Row],[Principal]]),"")</f>
        <v>197546.682613802</v>
      </c>
      <c r="M282" s="25">
        <f ca="1">PaymentSchedule3[[#This Row],[Total
Payment]]-PaymentSchedule33[[#This Row],[Total
Payment]]</f>
        <v>427.19889995542212</v>
      </c>
      <c r="N282" s="25">
        <f ca="1">PaymentSchedule3[[#This Row],[Interest]]-PaymentSchedule33[[#This Row],[Interest]]</f>
        <v>349.31429718910522</v>
      </c>
      <c r="O282" s="25">
        <f ca="1">PaymentSchedule3[[#This Row],[Cumulative
Interest]]-PaymentSchedule33[[#This Row],[Cumulative
Interest]]</f>
        <v>135815.10738766444</v>
      </c>
    </row>
    <row r="283" spans="2:15" x14ac:dyDescent="0.25">
      <c r="B283" s="23">
        <f ca="1">IF(LoanIsGood,IF(ROW()-ROW(PaymentSchedule33[[#Headers],[Payment Number]])&gt;ScheduledNumberOfPayments,"",ROW()-ROW(PaymentSchedule33[[#Headers],[Payment Number]])),"")</f>
        <v>270</v>
      </c>
      <c r="C283" s="24">
        <f ca="1">IF(PaymentSchedule33[[#This Row],[Payment Number]]&lt;&gt;"",EOMONTH(LoanStartDate,ROW(PaymentSchedule33[[#This Row],[Payment Number]])-ROW(PaymentSchedule33[[#Headers],[Payment Number]])-2)+DAY(LoanStartDate),"")</f>
        <v>53655</v>
      </c>
      <c r="D283" s="25">
        <f ca="1">IF(PaymentSchedule33[[#This Row],[Payment Number]]&lt;&gt;"",IF(ROW()-ROW(PaymentSchedule33[[#Headers],[Beginning
Balance]])=1,LoanAmount,INDEX(PaymentSchedule33[Ending
Balance],ROW()-ROW(PaymentSchedule33[[#Headers],[Beginning
Balance]])-1)),"")</f>
        <v>134953.31738619774</v>
      </c>
      <c r="E283" s="25">
        <f ca="1">IF(PaymentSchedule33[[#This Row],[Payment Number]]&lt;&gt;"",ScheduledPayment,"")</f>
        <v>1784.9318965153623</v>
      </c>
      <c r="F28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3" s="25">
        <f ca="1">IF(PaymentSchedule33[[#This Row],[Payment Number]]&lt;&gt;"",PaymentSchedule33[[#This Row],[Total
Payment]]-PaymentSchedule33[[#This Row],[Interest]],"")</f>
        <v>1222.6264074062051</v>
      </c>
      <c r="I283" s="25">
        <f ca="1">IF(PaymentSchedule33[[#This Row],[Payment Number]]&lt;&gt;"",PaymentSchedule33[[#This Row],[Beginning
Balance]]*(InterestRate/PaymentsPerYear),"")</f>
        <v>562.30548910915729</v>
      </c>
      <c r="J283" s="25">
        <f ca="1">IF(PaymentSchedule33[[#This Row],[Payment Number]]&lt;&gt;"",IF(PaymentSchedule33[[#This Row],[Scheduled Payment]]+PaymentSchedule33[[#This Row],[Extra
Payment]]&lt;=PaymentSchedule33[[#This Row],[Beginning
Balance]],PaymentSchedule33[[#This Row],[Beginning
Balance]]-PaymentSchedule33[[#This Row],[Principal]],0),"")</f>
        <v>133730.69097879154</v>
      </c>
      <c r="K283" s="25">
        <f ca="1">IF(PaymentSchedule33[[#This Row],[Payment Number]]&lt;&gt;"",SUM(INDEX(PaymentSchedule33[Interest],1,1):PaymentSchedule33[[#This Row],[Interest]]),"")</f>
        <v>283162.30303793959</v>
      </c>
      <c r="L283" s="25">
        <f ca="1">IF(PaymentSchedule33[[#This Row],[Payment Number]]&lt;&gt;"",SUM(INDEX(PaymentSchedule33[Principal],1,1):PaymentSchedule33[[#This Row],[Principal]]),"")</f>
        <v>198769.3090212082</v>
      </c>
      <c r="M283" s="25">
        <f ca="1">PaymentSchedule3[[#This Row],[Total
Payment]]-PaymentSchedule33[[#This Row],[Total
Payment]]</f>
        <v>427.19889995542212</v>
      </c>
      <c r="N283" s="25">
        <f ca="1">PaymentSchedule3[[#This Row],[Interest]]-PaymentSchedule33[[#This Row],[Interest]]</f>
        <v>346.83071489165798</v>
      </c>
      <c r="O283" s="25">
        <f ca="1">PaymentSchedule3[[#This Row],[Cumulative
Interest]]-PaymentSchedule33[[#This Row],[Cumulative
Interest]]</f>
        <v>136161.9381025561</v>
      </c>
    </row>
    <row r="284" spans="2:15" x14ac:dyDescent="0.25">
      <c r="B284" s="23">
        <f ca="1">IF(LoanIsGood,IF(ROW()-ROW(PaymentSchedule33[[#Headers],[Payment Number]])&gt;ScheduledNumberOfPayments,"",ROW()-ROW(PaymentSchedule33[[#Headers],[Payment Number]])),"")</f>
        <v>271</v>
      </c>
      <c r="C284" s="24">
        <f ca="1">IF(PaymentSchedule33[[#This Row],[Payment Number]]&lt;&gt;"",EOMONTH(LoanStartDate,ROW(PaymentSchedule33[[#This Row],[Payment Number]])-ROW(PaymentSchedule33[[#Headers],[Payment Number]])-2)+DAY(LoanStartDate),"")</f>
        <v>53685</v>
      </c>
      <c r="D284" s="25">
        <f ca="1">IF(PaymentSchedule33[[#This Row],[Payment Number]]&lt;&gt;"",IF(ROW()-ROW(PaymentSchedule33[[#Headers],[Beginning
Balance]])=1,LoanAmount,INDEX(PaymentSchedule33[Ending
Balance],ROW()-ROW(PaymentSchedule33[[#Headers],[Beginning
Balance]])-1)),"")</f>
        <v>133730.69097879154</v>
      </c>
      <c r="E284" s="25">
        <f ca="1">IF(PaymentSchedule33[[#This Row],[Payment Number]]&lt;&gt;"",ScheduledPayment,"")</f>
        <v>1784.9318965153623</v>
      </c>
      <c r="F28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4" s="25">
        <f ca="1">IF(PaymentSchedule33[[#This Row],[Payment Number]]&lt;&gt;"",PaymentSchedule33[[#This Row],[Total
Payment]]-PaymentSchedule33[[#This Row],[Interest]],"")</f>
        <v>1227.7206841037309</v>
      </c>
      <c r="I284" s="25">
        <f ca="1">IF(PaymentSchedule33[[#This Row],[Payment Number]]&lt;&gt;"",PaymentSchedule33[[#This Row],[Beginning
Balance]]*(InterestRate/PaymentsPerYear),"")</f>
        <v>557.21121241163144</v>
      </c>
      <c r="J284" s="25">
        <f ca="1">IF(PaymentSchedule33[[#This Row],[Payment Number]]&lt;&gt;"",IF(PaymentSchedule33[[#This Row],[Scheduled Payment]]+PaymentSchedule33[[#This Row],[Extra
Payment]]&lt;=PaymentSchedule33[[#This Row],[Beginning
Balance]],PaymentSchedule33[[#This Row],[Beginning
Balance]]-PaymentSchedule33[[#This Row],[Principal]],0),"")</f>
        <v>132502.97029468781</v>
      </c>
      <c r="K284" s="25">
        <f ca="1">IF(PaymentSchedule33[[#This Row],[Payment Number]]&lt;&gt;"",SUM(INDEX(PaymentSchedule33[Interest],1,1):PaymentSchedule33[[#This Row],[Interest]]),"")</f>
        <v>283719.51425035123</v>
      </c>
      <c r="L284" s="25">
        <f ca="1">IF(PaymentSchedule33[[#This Row],[Payment Number]]&lt;&gt;"",SUM(INDEX(PaymentSchedule33[Principal],1,1):PaymentSchedule33[[#This Row],[Principal]]),"")</f>
        <v>199997.02970531193</v>
      </c>
      <c r="M284" s="25">
        <f ca="1">PaymentSchedule3[[#This Row],[Total
Payment]]-PaymentSchedule33[[#This Row],[Total
Payment]]</f>
        <v>427.19889995542212</v>
      </c>
      <c r="N284" s="25">
        <f ca="1">PaymentSchedule3[[#This Row],[Interest]]-PaymentSchedule33[[#This Row],[Interest]]</f>
        <v>344.3241897997757</v>
      </c>
      <c r="O284" s="25">
        <f ca="1">PaymentSchedule3[[#This Row],[Cumulative
Interest]]-PaymentSchedule33[[#This Row],[Cumulative
Interest]]</f>
        <v>136506.26229235588</v>
      </c>
    </row>
    <row r="285" spans="2:15" x14ac:dyDescent="0.25">
      <c r="B285" s="23">
        <f ca="1">IF(LoanIsGood,IF(ROW()-ROW(PaymentSchedule33[[#Headers],[Payment Number]])&gt;ScheduledNumberOfPayments,"",ROW()-ROW(PaymentSchedule33[[#Headers],[Payment Number]])),"")</f>
        <v>272</v>
      </c>
      <c r="C285" s="24">
        <f ca="1">IF(PaymentSchedule33[[#This Row],[Payment Number]]&lt;&gt;"",EOMONTH(LoanStartDate,ROW(PaymentSchedule33[[#This Row],[Payment Number]])-ROW(PaymentSchedule33[[#Headers],[Payment Number]])-2)+DAY(LoanStartDate),"")</f>
        <v>53716</v>
      </c>
      <c r="D285" s="25">
        <f ca="1">IF(PaymentSchedule33[[#This Row],[Payment Number]]&lt;&gt;"",IF(ROW()-ROW(PaymentSchedule33[[#Headers],[Beginning
Balance]])=1,LoanAmount,INDEX(PaymentSchedule33[Ending
Balance],ROW()-ROW(PaymentSchedule33[[#Headers],[Beginning
Balance]])-1)),"")</f>
        <v>132502.97029468781</v>
      </c>
      <c r="E285" s="25">
        <f ca="1">IF(PaymentSchedule33[[#This Row],[Payment Number]]&lt;&gt;"",ScheduledPayment,"")</f>
        <v>1784.9318965153623</v>
      </c>
      <c r="F28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5" s="25">
        <f ca="1">IF(PaymentSchedule33[[#This Row],[Payment Number]]&lt;&gt;"",PaymentSchedule33[[#This Row],[Total
Payment]]-PaymentSchedule33[[#This Row],[Interest]],"")</f>
        <v>1232.8361869541632</v>
      </c>
      <c r="I285" s="25">
        <f ca="1">IF(PaymentSchedule33[[#This Row],[Payment Number]]&lt;&gt;"",PaymentSchedule33[[#This Row],[Beginning
Balance]]*(InterestRate/PaymentsPerYear),"")</f>
        <v>552.09570956119921</v>
      </c>
      <c r="J285" s="25">
        <f ca="1">IF(PaymentSchedule33[[#This Row],[Payment Number]]&lt;&gt;"",IF(PaymentSchedule33[[#This Row],[Scheduled Payment]]+PaymentSchedule33[[#This Row],[Extra
Payment]]&lt;=PaymentSchedule33[[#This Row],[Beginning
Balance]],PaymentSchedule33[[#This Row],[Beginning
Balance]]-PaymentSchedule33[[#This Row],[Principal]],0),"")</f>
        <v>131270.13410773364</v>
      </c>
      <c r="K285" s="25">
        <f ca="1">IF(PaymentSchedule33[[#This Row],[Payment Number]]&lt;&gt;"",SUM(INDEX(PaymentSchedule33[Interest],1,1):PaymentSchedule33[[#This Row],[Interest]]),"")</f>
        <v>284271.60995991243</v>
      </c>
      <c r="L285" s="25">
        <f ca="1">IF(PaymentSchedule33[[#This Row],[Payment Number]]&lt;&gt;"",SUM(INDEX(PaymentSchedule33[Principal],1,1):PaymentSchedule33[[#This Row],[Principal]]),"")</f>
        <v>201229.8658922661</v>
      </c>
      <c r="M285" s="25">
        <f ca="1">PaymentSchedule3[[#This Row],[Total
Payment]]-PaymentSchedule33[[#This Row],[Total
Payment]]</f>
        <v>427.19889995542212</v>
      </c>
      <c r="N285" s="25">
        <f ca="1">PaymentSchedule3[[#This Row],[Interest]]-PaymentSchedule33[[#This Row],[Interest]]</f>
        <v>341.79455285036158</v>
      </c>
      <c r="O285" s="25">
        <f ca="1">PaymentSchedule3[[#This Row],[Cumulative
Interest]]-PaymentSchedule33[[#This Row],[Cumulative
Interest]]</f>
        <v>136848.05684520624</v>
      </c>
    </row>
    <row r="286" spans="2:15" x14ac:dyDescent="0.25">
      <c r="B286" s="23">
        <f ca="1">IF(LoanIsGood,IF(ROW()-ROW(PaymentSchedule33[[#Headers],[Payment Number]])&gt;ScheduledNumberOfPayments,"",ROW()-ROW(PaymentSchedule33[[#Headers],[Payment Number]])),"")</f>
        <v>273</v>
      </c>
      <c r="C286" s="24">
        <f ca="1">IF(PaymentSchedule33[[#This Row],[Payment Number]]&lt;&gt;"",EOMONTH(LoanStartDate,ROW(PaymentSchedule33[[#This Row],[Payment Number]])-ROW(PaymentSchedule33[[#Headers],[Payment Number]])-2)+DAY(LoanStartDate),"")</f>
        <v>53747</v>
      </c>
      <c r="D286" s="25">
        <f ca="1">IF(PaymentSchedule33[[#This Row],[Payment Number]]&lt;&gt;"",IF(ROW()-ROW(PaymentSchedule33[[#Headers],[Beginning
Balance]])=1,LoanAmount,INDEX(PaymentSchedule33[Ending
Balance],ROW()-ROW(PaymentSchedule33[[#Headers],[Beginning
Balance]])-1)),"")</f>
        <v>131270.13410773364</v>
      </c>
      <c r="E286" s="25">
        <f ca="1">IF(PaymentSchedule33[[#This Row],[Payment Number]]&lt;&gt;"",ScheduledPayment,"")</f>
        <v>1784.9318965153623</v>
      </c>
      <c r="F28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6" s="25">
        <f ca="1">IF(PaymentSchedule33[[#This Row],[Payment Number]]&lt;&gt;"",PaymentSchedule33[[#This Row],[Total
Payment]]-PaymentSchedule33[[#This Row],[Interest]],"")</f>
        <v>1237.9730043998054</v>
      </c>
      <c r="I286" s="25">
        <f ca="1">IF(PaymentSchedule33[[#This Row],[Payment Number]]&lt;&gt;"",PaymentSchedule33[[#This Row],[Beginning
Balance]]*(InterestRate/PaymentsPerYear),"")</f>
        <v>546.95889211555686</v>
      </c>
      <c r="J286" s="25">
        <f ca="1">IF(PaymentSchedule33[[#This Row],[Payment Number]]&lt;&gt;"",IF(PaymentSchedule33[[#This Row],[Scheduled Payment]]+PaymentSchedule33[[#This Row],[Extra
Payment]]&lt;=PaymentSchedule33[[#This Row],[Beginning
Balance]],PaymentSchedule33[[#This Row],[Beginning
Balance]]-PaymentSchedule33[[#This Row],[Principal]],0),"")</f>
        <v>130032.16110333384</v>
      </c>
      <c r="K286" s="25">
        <f ca="1">IF(PaymentSchedule33[[#This Row],[Payment Number]]&lt;&gt;"",SUM(INDEX(PaymentSchedule33[Interest],1,1):PaymentSchedule33[[#This Row],[Interest]]),"")</f>
        <v>284818.56885202799</v>
      </c>
      <c r="L286" s="25">
        <f ca="1">IF(PaymentSchedule33[[#This Row],[Payment Number]]&lt;&gt;"",SUM(INDEX(PaymentSchedule33[Principal],1,1):PaymentSchedule33[[#This Row],[Principal]]),"")</f>
        <v>202467.8388966659</v>
      </c>
      <c r="M286" s="25">
        <f ca="1">PaymentSchedule3[[#This Row],[Total
Payment]]-PaymentSchedule33[[#This Row],[Total
Payment]]</f>
        <v>427.19889995542212</v>
      </c>
      <c r="N286" s="25">
        <f ca="1">PaymentSchedule3[[#This Row],[Interest]]-PaymentSchedule33[[#This Row],[Interest]]</f>
        <v>339.24163384732503</v>
      </c>
      <c r="O286" s="25">
        <f ca="1">PaymentSchedule3[[#This Row],[Cumulative
Interest]]-PaymentSchedule33[[#This Row],[Cumulative
Interest]]</f>
        <v>137187.29847905354</v>
      </c>
    </row>
    <row r="287" spans="2:15" x14ac:dyDescent="0.25">
      <c r="B287" s="23">
        <f ca="1">IF(LoanIsGood,IF(ROW()-ROW(PaymentSchedule33[[#Headers],[Payment Number]])&gt;ScheduledNumberOfPayments,"",ROW()-ROW(PaymentSchedule33[[#Headers],[Payment Number]])),"")</f>
        <v>274</v>
      </c>
      <c r="C287" s="24">
        <f ca="1">IF(PaymentSchedule33[[#This Row],[Payment Number]]&lt;&gt;"",EOMONTH(LoanStartDate,ROW(PaymentSchedule33[[#This Row],[Payment Number]])-ROW(PaymentSchedule33[[#Headers],[Payment Number]])-2)+DAY(LoanStartDate),"")</f>
        <v>53775</v>
      </c>
      <c r="D287" s="25">
        <f ca="1">IF(PaymentSchedule33[[#This Row],[Payment Number]]&lt;&gt;"",IF(ROW()-ROW(PaymentSchedule33[[#Headers],[Beginning
Balance]])=1,LoanAmount,INDEX(PaymentSchedule33[Ending
Balance],ROW()-ROW(PaymentSchedule33[[#Headers],[Beginning
Balance]])-1)),"")</f>
        <v>130032.16110333384</v>
      </c>
      <c r="E287" s="25">
        <f ca="1">IF(PaymentSchedule33[[#This Row],[Payment Number]]&lt;&gt;"",ScheduledPayment,"")</f>
        <v>1784.9318965153623</v>
      </c>
      <c r="F28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7" s="25">
        <f ca="1">IF(PaymentSchedule33[[#This Row],[Payment Number]]&lt;&gt;"",PaymentSchedule33[[#This Row],[Total
Payment]]-PaymentSchedule33[[#This Row],[Interest]],"")</f>
        <v>1243.1312252514713</v>
      </c>
      <c r="I287" s="25">
        <f ca="1">IF(PaymentSchedule33[[#This Row],[Payment Number]]&lt;&gt;"",PaymentSchedule33[[#This Row],[Beginning
Balance]]*(InterestRate/PaymentsPerYear),"")</f>
        <v>541.80067126389099</v>
      </c>
      <c r="J287" s="25">
        <f ca="1">IF(PaymentSchedule33[[#This Row],[Payment Number]]&lt;&gt;"",IF(PaymentSchedule33[[#This Row],[Scheduled Payment]]+PaymentSchedule33[[#This Row],[Extra
Payment]]&lt;=PaymentSchedule33[[#This Row],[Beginning
Balance]],PaymentSchedule33[[#This Row],[Beginning
Balance]]-PaymentSchedule33[[#This Row],[Principal]],0),"")</f>
        <v>128789.02987808237</v>
      </c>
      <c r="K287" s="25">
        <f ca="1">IF(PaymentSchedule33[[#This Row],[Payment Number]]&lt;&gt;"",SUM(INDEX(PaymentSchedule33[Interest],1,1):PaymentSchedule33[[#This Row],[Interest]]),"")</f>
        <v>285360.36952329188</v>
      </c>
      <c r="L287" s="25">
        <f ca="1">IF(PaymentSchedule33[[#This Row],[Payment Number]]&lt;&gt;"",SUM(INDEX(PaymentSchedule33[Principal],1,1):PaymentSchedule33[[#This Row],[Principal]]),"")</f>
        <v>203710.97012191737</v>
      </c>
      <c r="M287" s="25">
        <f ca="1">PaymentSchedule3[[#This Row],[Total
Payment]]-PaymentSchedule33[[#This Row],[Total
Payment]]</f>
        <v>427.19889995542212</v>
      </c>
      <c r="N287" s="25">
        <f ca="1">PaymentSchedule3[[#This Row],[Interest]]-PaymentSchedule33[[#This Row],[Interest]]</f>
        <v>336.66526145436148</v>
      </c>
      <c r="O287" s="25">
        <f ca="1">PaymentSchedule3[[#This Row],[Cumulative
Interest]]-PaymentSchedule33[[#This Row],[Cumulative
Interest]]</f>
        <v>137523.9637405079</v>
      </c>
    </row>
    <row r="288" spans="2:15" x14ac:dyDescent="0.25">
      <c r="B288" s="23">
        <f ca="1">IF(LoanIsGood,IF(ROW()-ROW(PaymentSchedule33[[#Headers],[Payment Number]])&gt;ScheduledNumberOfPayments,"",ROW()-ROW(PaymentSchedule33[[#Headers],[Payment Number]])),"")</f>
        <v>275</v>
      </c>
      <c r="C288" s="24">
        <f ca="1">IF(PaymentSchedule33[[#This Row],[Payment Number]]&lt;&gt;"",EOMONTH(LoanStartDate,ROW(PaymentSchedule33[[#This Row],[Payment Number]])-ROW(PaymentSchedule33[[#Headers],[Payment Number]])-2)+DAY(LoanStartDate),"")</f>
        <v>53806</v>
      </c>
      <c r="D288" s="25">
        <f ca="1">IF(PaymentSchedule33[[#This Row],[Payment Number]]&lt;&gt;"",IF(ROW()-ROW(PaymentSchedule33[[#Headers],[Beginning
Balance]])=1,LoanAmount,INDEX(PaymentSchedule33[Ending
Balance],ROW()-ROW(PaymentSchedule33[[#Headers],[Beginning
Balance]])-1)),"")</f>
        <v>128789.02987808237</v>
      </c>
      <c r="E288" s="25">
        <f ca="1">IF(PaymentSchedule33[[#This Row],[Payment Number]]&lt;&gt;"",ScheduledPayment,"")</f>
        <v>1784.9318965153623</v>
      </c>
      <c r="F28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8" s="25">
        <f ca="1">IF(PaymentSchedule33[[#This Row],[Payment Number]]&lt;&gt;"",PaymentSchedule33[[#This Row],[Total
Payment]]-PaymentSchedule33[[#This Row],[Interest]],"")</f>
        <v>1248.3109386900192</v>
      </c>
      <c r="I288" s="25">
        <f ca="1">IF(PaymentSchedule33[[#This Row],[Payment Number]]&lt;&gt;"",PaymentSchedule33[[#This Row],[Beginning
Balance]]*(InterestRate/PaymentsPerYear),"")</f>
        <v>536.62095782534323</v>
      </c>
      <c r="J288" s="25">
        <f ca="1">IF(PaymentSchedule33[[#This Row],[Payment Number]]&lt;&gt;"",IF(PaymentSchedule33[[#This Row],[Scheduled Payment]]+PaymentSchedule33[[#This Row],[Extra
Payment]]&lt;=PaymentSchedule33[[#This Row],[Beginning
Balance]],PaymentSchedule33[[#This Row],[Beginning
Balance]]-PaymentSchedule33[[#This Row],[Principal]],0),"")</f>
        <v>127540.71893939235</v>
      </c>
      <c r="K288" s="25">
        <f ca="1">IF(PaymentSchedule33[[#This Row],[Payment Number]]&lt;&gt;"",SUM(INDEX(PaymentSchedule33[Interest],1,1):PaymentSchedule33[[#This Row],[Interest]]),"")</f>
        <v>285896.99048111722</v>
      </c>
      <c r="L288" s="25">
        <f ca="1">IF(PaymentSchedule33[[#This Row],[Payment Number]]&lt;&gt;"",SUM(INDEX(PaymentSchedule33[Principal],1,1):PaymentSchedule33[[#This Row],[Principal]]),"")</f>
        <v>204959.28106060741</v>
      </c>
      <c r="M288" s="25">
        <f ca="1">PaymentSchedule3[[#This Row],[Total
Payment]]-PaymentSchedule33[[#This Row],[Total
Payment]]</f>
        <v>427.19889995542212</v>
      </c>
      <c r="N288" s="25">
        <f ca="1">PaymentSchedule3[[#This Row],[Interest]]-PaymentSchedule33[[#This Row],[Interest]]</f>
        <v>334.06526318768613</v>
      </c>
      <c r="O288" s="25">
        <f ca="1">PaymentSchedule3[[#This Row],[Cumulative
Interest]]-PaymentSchedule33[[#This Row],[Cumulative
Interest]]</f>
        <v>137858.02900369558</v>
      </c>
    </row>
    <row r="289" spans="2:15" x14ac:dyDescent="0.25">
      <c r="B289" s="23">
        <f ca="1">IF(LoanIsGood,IF(ROW()-ROW(PaymentSchedule33[[#Headers],[Payment Number]])&gt;ScheduledNumberOfPayments,"",ROW()-ROW(PaymentSchedule33[[#Headers],[Payment Number]])),"")</f>
        <v>276</v>
      </c>
      <c r="C289" s="24">
        <f ca="1">IF(PaymentSchedule33[[#This Row],[Payment Number]]&lt;&gt;"",EOMONTH(LoanStartDate,ROW(PaymentSchedule33[[#This Row],[Payment Number]])-ROW(PaymentSchedule33[[#Headers],[Payment Number]])-2)+DAY(LoanStartDate),"")</f>
        <v>53836</v>
      </c>
      <c r="D289" s="25">
        <f ca="1">IF(PaymentSchedule33[[#This Row],[Payment Number]]&lt;&gt;"",IF(ROW()-ROW(PaymentSchedule33[[#Headers],[Beginning
Balance]])=1,LoanAmount,INDEX(PaymentSchedule33[Ending
Balance],ROW()-ROW(PaymentSchedule33[[#Headers],[Beginning
Balance]])-1)),"")</f>
        <v>127540.71893939235</v>
      </c>
      <c r="E289" s="25">
        <f ca="1">IF(PaymentSchedule33[[#This Row],[Payment Number]]&lt;&gt;"",ScheduledPayment,"")</f>
        <v>1784.9318965153623</v>
      </c>
      <c r="F28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8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89" s="25">
        <f ca="1">IF(PaymentSchedule33[[#This Row],[Payment Number]]&lt;&gt;"",PaymentSchedule33[[#This Row],[Total
Payment]]-PaymentSchedule33[[#This Row],[Interest]],"")</f>
        <v>1253.5122342678942</v>
      </c>
      <c r="I289" s="25">
        <f ca="1">IF(PaymentSchedule33[[#This Row],[Payment Number]]&lt;&gt;"",PaymentSchedule33[[#This Row],[Beginning
Balance]]*(InterestRate/PaymentsPerYear),"")</f>
        <v>531.41966224746807</v>
      </c>
      <c r="J289" s="25">
        <f ca="1">IF(PaymentSchedule33[[#This Row],[Payment Number]]&lt;&gt;"",IF(PaymentSchedule33[[#This Row],[Scheduled Payment]]+PaymentSchedule33[[#This Row],[Extra
Payment]]&lt;=PaymentSchedule33[[#This Row],[Beginning
Balance]],PaymentSchedule33[[#This Row],[Beginning
Balance]]-PaymentSchedule33[[#This Row],[Principal]],0),"")</f>
        <v>126287.20670512445</v>
      </c>
      <c r="K289" s="25">
        <f ca="1">IF(PaymentSchedule33[[#This Row],[Payment Number]]&lt;&gt;"",SUM(INDEX(PaymentSchedule33[Interest],1,1):PaymentSchedule33[[#This Row],[Interest]]),"")</f>
        <v>286428.41014336469</v>
      </c>
      <c r="L289" s="25">
        <f ca="1">IF(PaymentSchedule33[[#This Row],[Payment Number]]&lt;&gt;"",SUM(INDEX(PaymentSchedule33[Principal],1,1):PaymentSchedule33[[#This Row],[Principal]]),"")</f>
        <v>206212.7932948753</v>
      </c>
      <c r="M289" s="25">
        <f ca="1">PaymentSchedule3[[#This Row],[Total
Payment]]-PaymentSchedule33[[#This Row],[Total
Payment]]</f>
        <v>427.19889995542212</v>
      </c>
      <c r="N289" s="25">
        <f ca="1">PaymentSchedule3[[#This Row],[Interest]]-PaymentSchedule33[[#This Row],[Interest]]</f>
        <v>331.44146540872453</v>
      </c>
      <c r="O289" s="25">
        <f ca="1">PaymentSchedule3[[#This Row],[Cumulative
Interest]]-PaymentSchedule33[[#This Row],[Cumulative
Interest]]</f>
        <v>138189.4704691043</v>
      </c>
    </row>
    <row r="290" spans="2:15" x14ac:dyDescent="0.25">
      <c r="B290" s="23">
        <f ca="1">IF(LoanIsGood,IF(ROW()-ROW(PaymentSchedule33[[#Headers],[Payment Number]])&gt;ScheduledNumberOfPayments,"",ROW()-ROW(PaymentSchedule33[[#Headers],[Payment Number]])),"")</f>
        <v>277</v>
      </c>
      <c r="C290" s="24">
        <f ca="1">IF(PaymentSchedule33[[#This Row],[Payment Number]]&lt;&gt;"",EOMONTH(LoanStartDate,ROW(PaymentSchedule33[[#This Row],[Payment Number]])-ROW(PaymentSchedule33[[#Headers],[Payment Number]])-2)+DAY(LoanStartDate),"")</f>
        <v>53867</v>
      </c>
      <c r="D290" s="25">
        <f ca="1">IF(PaymentSchedule33[[#This Row],[Payment Number]]&lt;&gt;"",IF(ROW()-ROW(PaymentSchedule33[[#Headers],[Beginning
Balance]])=1,LoanAmount,INDEX(PaymentSchedule33[Ending
Balance],ROW()-ROW(PaymentSchedule33[[#Headers],[Beginning
Balance]])-1)),"")</f>
        <v>126287.20670512445</v>
      </c>
      <c r="E290" s="25">
        <f ca="1">IF(PaymentSchedule33[[#This Row],[Payment Number]]&lt;&gt;"",ScheduledPayment,"")</f>
        <v>1784.9318965153623</v>
      </c>
      <c r="F29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0" s="25">
        <f ca="1">IF(PaymentSchedule33[[#This Row],[Payment Number]]&lt;&gt;"",PaymentSchedule33[[#This Row],[Total
Payment]]-PaymentSchedule33[[#This Row],[Interest]],"")</f>
        <v>1258.735201910677</v>
      </c>
      <c r="I290" s="25">
        <f ca="1">IF(PaymentSchedule33[[#This Row],[Payment Number]]&lt;&gt;"",PaymentSchedule33[[#This Row],[Beginning
Balance]]*(InterestRate/PaymentsPerYear),"")</f>
        <v>526.19669460468526</v>
      </c>
      <c r="J290" s="25">
        <f ca="1">IF(PaymentSchedule33[[#This Row],[Payment Number]]&lt;&gt;"",IF(PaymentSchedule33[[#This Row],[Scheduled Payment]]+PaymentSchedule33[[#This Row],[Extra
Payment]]&lt;=PaymentSchedule33[[#This Row],[Beginning
Balance]],PaymentSchedule33[[#This Row],[Beginning
Balance]]-PaymentSchedule33[[#This Row],[Principal]],0),"")</f>
        <v>125028.47150321378</v>
      </c>
      <c r="K290" s="25">
        <f ca="1">IF(PaymentSchedule33[[#This Row],[Payment Number]]&lt;&gt;"",SUM(INDEX(PaymentSchedule33[Interest],1,1):PaymentSchedule33[[#This Row],[Interest]]),"")</f>
        <v>286954.60683796939</v>
      </c>
      <c r="L290" s="25">
        <f ca="1">IF(PaymentSchedule33[[#This Row],[Payment Number]]&lt;&gt;"",SUM(INDEX(PaymentSchedule33[Principal],1,1):PaymentSchedule33[[#This Row],[Principal]]),"")</f>
        <v>207471.52849678599</v>
      </c>
      <c r="M290" s="25">
        <f ca="1">PaymentSchedule3[[#This Row],[Total
Payment]]-PaymentSchedule33[[#This Row],[Total
Payment]]</f>
        <v>427.19889995542212</v>
      </c>
      <c r="N290" s="25">
        <f ca="1">PaymentSchedule3[[#This Row],[Interest]]-PaymentSchedule33[[#This Row],[Interest]]</f>
        <v>328.79369331675559</v>
      </c>
      <c r="O290" s="25">
        <f ca="1">PaymentSchedule3[[#This Row],[Cumulative
Interest]]-PaymentSchedule33[[#This Row],[Cumulative
Interest]]</f>
        <v>138518.26416242105</v>
      </c>
    </row>
    <row r="291" spans="2:15" x14ac:dyDescent="0.25">
      <c r="B291" s="23">
        <f ca="1">IF(LoanIsGood,IF(ROW()-ROW(PaymentSchedule33[[#Headers],[Payment Number]])&gt;ScheduledNumberOfPayments,"",ROW()-ROW(PaymentSchedule33[[#Headers],[Payment Number]])),"")</f>
        <v>278</v>
      </c>
      <c r="C291" s="24">
        <f ca="1">IF(PaymentSchedule33[[#This Row],[Payment Number]]&lt;&gt;"",EOMONTH(LoanStartDate,ROW(PaymentSchedule33[[#This Row],[Payment Number]])-ROW(PaymentSchedule33[[#Headers],[Payment Number]])-2)+DAY(LoanStartDate),"")</f>
        <v>53897</v>
      </c>
      <c r="D291" s="25">
        <f ca="1">IF(PaymentSchedule33[[#This Row],[Payment Number]]&lt;&gt;"",IF(ROW()-ROW(PaymentSchedule33[[#Headers],[Beginning
Balance]])=1,LoanAmount,INDEX(PaymentSchedule33[Ending
Balance],ROW()-ROW(PaymentSchedule33[[#Headers],[Beginning
Balance]])-1)),"")</f>
        <v>125028.47150321378</v>
      </c>
      <c r="E291" s="25">
        <f ca="1">IF(PaymentSchedule33[[#This Row],[Payment Number]]&lt;&gt;"",ScheduledPayment,"")</f>
        <v>1784.9318965153623</v>
      </c>
      <c r="F29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1" s="25">
        <f ca="1">IF(PaymentSchedule33[[#This Row],[Payment Number]]&lt;&gt;"",PaymentSchedule33[[#This Row],[Total
Payment]]-PaymentSchedule33[[#This Row],[Interest]],"")</f>
        <v>1263.9799319186382</v>
      </c>
      <c r="I291" s="25">
        <f ca="1">IF(PaymentSchedule33[[#This Row],[Payment Number]]&lt;&gt;"",PaymentSchedule33[[#This Row],[Beginning
Balance]]*(InterestRate/PaymentsPerYear),"")</f>
        <v>520.95196459672411</v>
      </c>
      <c r="J291" s="25">
        <f ca="1">IF(PaymentSchedule33[[#This Row],[Payment Number]]&lt;&gt;"",IF(PaymentSchedule33[[#This Row],[Scheduled Payment]]+PaymentSchedule33[[#This Row],[Extra
Payment]]&lt;=PaymentSchedule33[[#This Row],[Beginning
Balance]],PaymentSchedule33[[#This Row],[Beginning
Balance]]-PaymentSchedule33[[#This Row],[Principal]],0),"")</f>
        <v>123764.49157129513</v>
      </c>
      <c r="K291" s="25">
        <f ca="1">IF(PaymentSchedule33[[#This Row],[Payment Number]]&lt;&gt;"",SUM(INDEX(PaymentSchedule33[Interest],1,1):PaymentSchedule33[[#This Row],[Interest]]),"")</f>
        <v>287475.55880256614</v>
      </c>
      <c r="L291" s="25">
        <f ca="1">IF(PaymentSchedule33[[#This Row],[Payment Number]]&lt;&gt;"",SUM(INDEX(PaymentSchedule33[Principal],1,1):PaymentSchedule33[[#This Row],[Principal]]),"")</f>
        <v>208735.50842870463</v>
      </c>
      <c r="M291" s="25">
        <f ca="1">PaymentSchedule3[[#This Row],[Total
Payment]]-PaymentSchedule33[[#This Row],[Total
Payment]]</f>
        <v>427.19889995542212</v>
      </c>
      <c r="N291" s="25">
        <f ca="1">PaymentSchedule3[[#This Row],[Interest]]-PaymentSchedule33[[#This Row],[Interest]]</f>
        <v>326.12177094151218</v>
      </c>
      <c r="O291" s="25">
        <f ca="1">PaymentSchedule3[[#This Row],[Cumulative
Interest]]-PaymentSchedule33[[#This Row],[Cumulative
Interest]]</f>
        <v>138844.38593336253</v>
      </c>
    </row>
    <row r="292" spans="2:15" x14ac:dyDescent="0.25">
      <c r="B292" s="23">
        <f ca="1">IF(LoanIsGood,IF(ROW()-ROW(PaymentSchedule33[[#Headers],[Payment Number]])&gt;ScheduledNumberOfPayments,"",ROW()-ROW(PaymentSchedule33[[#Headers],[Payment Number]])),"")</f>
        <v>279</v>
      </c>
      <c r="C292" s="24">
        <f ca="1">IF(PaymentSchedule33[[#This Row],[Payment Number]]&lt;&gt;"",EOMONTH(LoanStartDate,ROW(PaymentSchedule33[[#This Row],[Payment Number]])-ROW(PaymentSchedule33[[#Headers],[Payment Number]])-2)+DAY(LoanStartDate),"")</f>
        <v>53928</v>
      </c>
      <c r="D292" s="25">
        <f ca="1">IF(PaymentSchedule33[[#This Row],[Payment Number]]&lt;&gt;"",IF(ROW()-ROW(PaymentSchedule33[[#Headers],[Beginning
Balance]])=1,LoanAmount,INDEX(PaymentSchedule33[Ending
Balance],ROW()-ROW(PaymentSchedule33[[#Headers],[Beginning
Balance]])-1)),"")</f>
        <v>123764.49157129513</v>
      </c>
      <c r="E292" s="25">
        <f ca="1">IF(PaymentSchedule33[[#This Row],[Payment Number]]&lt;&gt;"",ScheduledPayment,"")</f>
        <v>1784.9318965153623</v>
      </c>
      <c r="F29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2" s="25">
        <f ca="1">IF(PaymentSchedule33[[#This Row],[Payment Number]]&lt;&gt;"",PaymentSchedule33[[#This Row],[Total
Payment]]-PaymentSchedule33[[#This Row],[Interest]],"")</f>
        <v>1269.2465149682994</v>
      </c>
      <c r="I292" s="25">
        <f ca="1">IF(PaymentSchedule33[[#This Row],[Payment Number]]&lt;&gt;"",PaymentSchedule33[[#This Row],[Beginning
Balance]]*(InterestRate/PaymentsPerYear),"")</f>
        <v>515.685381547063</v>
      </c>
      <c r="J292" s="25">
        <f ca="1">IF(PaymentSchedule33[[#This Row],[Payment Number]]&lt;&gt;"",IF(PaymentSchedule33[[#This Row],[Scheduled Payment]]+PaymentSchedule33[[#This Row],[Extra
Payment]]&lt;=PaymentSchedule33[[#This Row],[Beginning
Balance]],PaymentSchedule33[[#This Row],[Beginning
Balance]]-PaymentSchedule33[[#This Row],[Principal]],0),"")</f>
        <v>122495.24505632684</v>
      </c>
      <c r="K292" s="25">
        <f ca="1">IF(PaymentSchedule33[[#This Row],[Payment Number]]&lt;&gt;"",SUM(INDEX(PaymentSchedule33[Interest],1,1):PaymentSchedule33[[#This Row],[Interest]]),"")</f>
        <v>287991.24418411322</v>
      </c>
      <c r="L292" s="25">
        <f ca="1">IF(PaymentSchedule33[[#This Row],[Payment Number]]&lt;&gt;"",SUM(INDEX(PaymentSchedule33[Principal],1,1):PaymentSchedule33[[#This Row],[Principal]]),"")</f>
        <v>210004.75494367295</v>
      </c>
      <c r="M292" s="25">
        <f ca="1">PaymentSchedule3[[#This Row],[Total
Payment]]-PaymentSchedule33[[#This Row],[Total
Payment]]</f>
        <v>427.19889995542212</v>
      </c>
      <c r="N292" s="25">
        <f ca="1">PaymentSchedule3[[#This Row],[Interest]]-PaymentSchedule33[[#This Row],[Interest]]</f>
        <v>323.42552113573356</v>
      </c>
      <c r="O292" s="25">
        <f ca="1">PaymentSchedule3[[#This Row],[Cumulative
Interest]]-PaymentSchedule33[[#This Row],[Cumulative
Interest]]</f>
        <v>139167.81145449827</v>
      </c>
    </row>
    <row r="293" spans="2:15" x14ac:dyDescent="0.25">
      <c r="B293" s="23">
        <f ca="1">IF(LoanIsGood,IF(ROW()-ROW(PaymentSchedule33[[#Headers],[Payment Number]])&gt;ScheduledNumberOfPayments,"",ROW()-ROW(PaymentSchedule33[[#Headers],[Payment Number]])),"")</f>
        <v>280</v>
      </c>
      <c r="C293" s="24">
        <f ca="1">IF(PaymentSchedule33[[#This Row],[Payment Number]]&lt;&gt;"",EOMONTH(LoanStartDate,ROW(PaymentSchedule33[[#This Row],[Payment Number]])-ROW(PaymentSchedule33[[#Headers],[Payment Number]])-2)+DAY(LoanStartDate),"")</f>
        <v>53959</v>
      </c>
      <c r="D293" s="25">
        <f ca="1">IF(PaymentSchedule33[[#This Row],[Payment Number]]&lt;&gt;"",IF(ROW()-ROW(PaymentSchedule33[[#Headers],[Beginning
Balance]])=1,LoanAmount,INDEX(PaymentSchedule33[Ending
Balance],ROW()-ROW(PaymentSchedule33[[#Headers],[Beginning
Balance]])-1)),"")</f>
        <v>122495.24505632684</v>
      </c>
      <c r="E293" s="25">
        <f ca="1">IF(PaymentSchedule33[[#This Row],[Payment Number]]&lt;&gt;"",ScheduledPayment,"")</f>
        <v>1784.9318965153623</v>
      </c>
      <c r="F29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3" s="25">
        <f ca="1">IF(PaymentSchedule33[[#This Row],[Payment Number]]&lt;&gt;"",PaymentSchedule33[[#This Row],[Total
Payment]]-PaymentSchedule33[[#This Row],[Interest]],"")</f>
        <v>1274.5350421140006</v>
      </c>
      <c r="I293" s="25">
        <f ca="1">IF(PaymentSchedule33[[#This Row],[Payment Number]]&lt;&gt;"",PaymentSchedule33[[#This Row],[Beginning
Balance]]*(InterestRate/PaymentsPerYear),"")</f>
        <v>510.39685440136179</v>
      </c>
      <c r="J293" s="25">
        <f ca="1">IF(PaymentSchedule33[[#This Row],[Payment Number]]&lt;&gt;"",IF(PaymentSchedule33[[#This Row],[Scheduled Payment]]+PaymentSchedule33[[#This Row],[Extra
Payment]]&lt;=PaymentSchedule33[[#This Row],[Beginning
Balance]],PaymentSchedule33[[#This Row],[Beginning
Balance]]-PaymentSchedule33[[#This Row],[Principal]],0),"")</f>
        <v>121220.71001421283</v>
      </c>
      <c r="K293" s="25">
        <f ca="1">IF(PaymentSchedule33[[#This Row],[Payment Number]]&lt;&gt;"",SUM(INDEX(PaymentSchedule33[Interest],1,1):PaymentSchedule33[[#This Row],[Interest]]),"")</f>
        <v>288501.64103851456</v>
      </c>
      <c r="L293" s="25">
        <f ca="1">IF(PaymentSchedule33[[#This Row],[Payment Number]]&lt;&gt;"",SUM(INDEX(PaymentSchedule33[Principal],1,1):PaymentSchedule33[[#This Row],[Principal]]),"")</f>
        <v>211279.28998578695</v>
      </c>
      <c r="M293" s="25">
        <f ca="1">PaymentSchedule3[[#This Row],[Total
Payment]]-PaymentSchedule33[[#This Row],[Total
Payment]]</f>
        <v>427.19889995542212</v>
      </c>
      <c r="N293" s="25">
        <f ca="1">PaymentSchedule3[[#This Row],[Interest]]-PaymentSchedule33[[#This Row],[Interest]]</f>
        <v>320.70476556767153</v>
      </c>
      <c r="O293" s="25">
        <f ca="1">PaymentSchedule3[[#This Row],[Cumulative
Interest]]-PaymentSchedule33[[#This Row],[Cumulative
Interest]]</f>
        <v>139488.51622006594</v>
      </c>
    </row>
    <row r="294" spans="2:15" x14ac:dyDescent="0.25">
      <c r="B294" s="23">
        <f ca="1">IF(LoanIsGood,IF(ROW()-ROW(PaymentSchedule33[[#Headers],[Payment Number]])&gt;ScheduledNumberOfPayments,"",ROW()-ROW(PaymentSchedule33[[#Headers],[Payment Number]])),"")</f>
        <v>281</v>
      </c>
      <c r="C294" s="24">
        <f ca="1">IF(PaymentSchedule33[[#This Row],[Payment Number]]&lt;&gt;"",EOMONTH(LoanStartDate,ROW(PaymentSchedule33[[#This Row],[Payment Number]])-ROW(PaymentSchedule33[[#Headers],[Payment Number]])-2)+DAY(LoanStartDate),"")</f>
        <v>53989</v>
      </c>
      <c r="D294" s="25">
        <f ca="1">IF(PaymentSchedule33[[#This Row],[Payment Number]]&lt;&gt;"",IF(ROW()-ROW(PaymentSchedule33[[#Headers],[Beginning
Balance]])=1,LoanAmount,INDEX(PaymentSchedule33[Ending
Balance],ROW()-ROW(PaymentSchedule33[[#Headers],[Beginning
Balance]])-1)),"")</f>
        <v>121220.71001421283</v>
      </c>
      <c r="E294" s="25">
        <f ca="1">IF(PaymentSchedule33[[#This Row],[Payment Number]]&lt;&gt;"",ScheduledPayment,"")</f>
        <v>1784.9318965153623</v>
      </c>
      <c r="F29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4" s="25">
        <f ca="1">IF(PaymentSchedule33[[#This Row],[Payment Number]]&lt;&gt;"",PaymentSchedule33[[#This Row],[Total
Payment]]-PaymentSchedule33[[#This Row],[Interest]],"")</f>
        <v>1279.8456047894756</v>
      </c>
      <c r="I294" s="25">
        <f ca="1">IF(PaymentSchedule33[[#This Row],[Payment Number]]&lt;&gt;"",PaymentSchedule33[[#This Row],[Beginning
Balance]]*(InterestRate/PaymentsPerYear),"")</f>
        <v>505.08629172588678</v>
      </c>
      <c r="J294" s="25">
        <f ca="1">IF(PaymentSchedule33[[#This Row],[Payment Number]]&lt;&gt;"",IF(PaymentSchedule33[[#This Row],[Scheduled Payment]]+PaymentSchedule33[[#This Row],[Extra
Payment]]&lt;=PaymentSchedule33[[#This Row],[Beginning
Balance]],PaymentSchedule33[[#This Row],[Beginning
Balance]]-PaymentSchedule33[[#This Row],[Principal]],0),"")</f>
        <v>119940.86440942336</v>
      </c>
      <c r="K294" s="25">
        <f ca="1">IF(PaymentSchedule33[[#This Row],[Payment Number]]&lt;&gt;"",SUM(INDEX(PaymentSchedule33[Interest],1,1):PaymentSchedule33[[#This Row],[Interest]]),"")</f>
        <v>289006.72733024042</v>
      </c>
      <c r="L294" s="25">
        <f ca="1">IF(PaymentSchedule33[[#This Row],[Payment Number]]&lt;&gt;"",SUM(INDEX(PaymentSchedule33[Principal],1,1):PaymentSchedule33[[#This Row],[Principal]]),"")</f>
        <v>212559.13559057642</v>
      </c>
      <c r="M294" s="25">
        <f ca="1">PaymentSchedule3[[#This Row],[Total
Payment]]-PaymentSchedule33[[#This Row],[Total
Payment]]</f>
        <v>427.19889995542212</v>
      </c>
      <c r="N294" s="25">
        <f ca="1">PaymentSchedule3[[#This Row],[Interest]]-PaymentSchedule33[[#This Row],[Interest]]</f>
        <v>317.95932471355297</v>
      </c>
      <c r="O294" s="25">
        <f ca="1">PaymentSchedule3[[#This Row],[Cumulative
Interest]]-PaymentSchedule33[[#This Row],[Cumulative
Interest]]</f>
        <v>139806.4755447795</v>
      </c>
    </row>
    <row r="295" spans="2:15" x14ac:dyDescent="0.25">
      <c r="B295" s="23">
        <f ca="1">IF(LoanIsGood,IF(ROW()-ROW(PaymentSchedule33[[#Headers],[Payment Number]])&gt;ScheduledNumberOfPayments,"",ROW()-ROW(PaymentSchedule33[[#Headers],[Payment Number]])),"")</f>
        <v>282</v>
      </c>
      <c r="C295" s="24">
        <f ca="1">IF(PaymentSchedule33[[#This Row],[Payment Number]]&lt;&gt;"",EOMONTH(LoanStartDate,ROW(PaymentSchedule33[[#This Row],[Payment Number]])-ROW(PaymentSchedule33[[#Headers],[Payment Number]])-2)+DAY(LoanStartDate),"")</f>
        <v>54020</v>
      </c>
      <c r="D295" s="25">
        <f ca="1">IF(PaymentSchedule33[[#This Row],[Payment Number]]&lt;&gt;"",IF(ROW()-ROW(PaymentSchedule33[[#Headers],[Beginning
Balance]])=1,LoanAmount,INDEX(PaymentSchedule33[Ending
Balance],ROW()-ROW(PaymentSchedule33[[#Headers],[Beginning
Balance]])-1)),"")</f>
        <v>119940.86440942336</v>
      </c>
      <c r="E295" s="25">
        <f ca="1">IF(PaymentSchedule33[[#This Row],[Payment Number]]&lt;&gt;"",ScheduledPayment,"")</f>
        <v>1784.9318965153623</v>
      </c>
      <c r="F29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5" s="25">
        <f ca="1">IF(PaymentSchedule33[[#This Row],[Payment Number]]&lt;&gt;"",PaymentSchedule33[[#This Row],[Total
Payment]]-PaymentSchedule33[[#This Row],[Interest]],"")</f>
        <v>1285.1782948094317</v>
      </c>
      <c r="I295" s="25">
        <f ca="1">IF(PaymentSchedule33[[#This Row],[Payment Number]]&lt;&gt;"",PaymentSchedule33[[#This Row],[Beginning
Balance]]*(InterestRate/PaymentsPerYear),"")</f>
        <v>499.75360170593063</v>
      </c>
      <c r="J295" s="25">
        <f ca="1">IF(PaymentSchedule33[[#This Row],[Payment Number]]&lt;&gt;"",IF(PaymentSchedule33[[#This Row],[Scheduled Payment]]+PaymentSchedule33[[#This Row],[Extra
Payment]]&lt;=PaymentSchedule33[[#This Row],[Beginning
Balance]],PaymentSchedule33[[#This Row],[Beginning
Balance]]-PaymentSchedule33[[#This Row],[Principal]],0),"")</f>
        <v>118655.68611461393</v>
      </c>
      <c r="K295" s="25">
        <f ca="1">IF(PaymentSchedule33[[#This Row],[Payment Number]]&lt;&gt;"",SUM(INDEX(PaymentSchedule33[Interest],1,1):PaymentSchedule33[[#This Row],[Interest]]),"")</f>
        <v>289506.48093194637</v>
      </c>
      <c r="L295" s="25">
        <f ca="1">IF(PaymentSchedule33[[#This Row],[Payment Number]]&lt;&gt;"",SUM(INDEX(PaymentSchedule33[Principal],1,1):PaymentSchedule33[[#This Row],[Principal]]),"")</f>
        <v>213844.31388538584</v>
      </c>
      <c r="M295" s="25">
        <f ca="1">PaymentSchedule3[[#This Row],[Total
Payment]]-PaymentSchedule33[[#This Row],[Total
Payment]]</f>
        <v>427.19889995542212</v>
      </c>
      <c r="N295" s="25">
        <f ca="1">PaymentSchedule3[[#This Row],[Interest]]-PaymentSchedule33[[#This Row],[Interest]]</f>
        <v>315.18901784999292</v>
      </c>
      <c r="O295" s="25">
        <f ca="1">PaymentSchedule3[[#This Row],[Cumulative
Interest]]-PaymentSchedule33[[#This Row],[Cumulative
Interest]]</f>
        <v>140121.66456262948</v>
      </c>
    </row>
    <row r="296" spans="2:15" x14ac:dyDescent="0.25">
      <c r="B296" s="23">
        <f ca="1">IF(LoanIsGood,IF(ROW()-ROW(PaymentSchedule33[[#Headers],[Payment Number]])&gt;ScheduledNumberOfPayments,"",ROW()-ROW(PaymentSchedule33[[#Headers],[Payment Number]])),"")</f>
        <v>283</v>
      </c>
      <c r="C296" s="24">
        <f ca="1">IF(PaymentSchedule33[[#This Row],[Payment Number]]&lt;&gt;"",EOMONTH(LoanStartDate,ROW(PaymentSchedule33[[#This Row],[Payment Number]])-ROW(PaymentSchedule33[[#Headers],[Payment Number]])-2)+DAY(LoanStartDate),"")</f>
        <v>54050</v>
      </c>
      <c r="D296" s="25">
        <f ca="1">IF(PaymentSchedule33[[#This Row],[Payment Number]]&lt;&gt;"",IF(ROW()-ROW(PaymentSchedule33[[#Headers],[Beginning
Balance]])=1,LoanAmount,INDEX(PaymentSchedule33[Ending
Balance],ROW()-ROW(PaymentSchedule33[[#Headers],[Beginning
Balance]])-1)),"")</f>
        <v>118655.68611461393</v>
      </c>
      <c r="E296" s="25">
        <f ca="1">IF(PaymentSchedule33[[#This Row],[Payment Number]]&lt;&gt;"",ScheduledPayment,"")</f>
        <v>1784.9318965153623</v>
      </c>
      <c r="F29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6" s="25">
        <f ca="1">IF(PaymentSchedule33[[#This Row],[Payment Number]]&lt;&gt;"",PaymentSchedule33[[#This Row],[Total
Payment]]-PaymentSchedule33[[#This Row],[Interest]],"")</f>
        <v>1290.5332043711376</v>
      </c>
      <c r="I296" s="25">
        <f ca="1">IF(PaymentSchedule33[[#This Row],[Payment Number]]&lt;&gt;"",PaymentSchedule33[[#This Row],[Beginning
Balance]]*(InterestRate/PaymentsPerYear),"")</f>
        <v>494.3986921442247</v>
      </c>
      <c r="J296" s="25">
        <f ca="1">IF(PaymentSchedule33[[#This Row],[Payment Number]]&lt;&gt;"",IF(PaymentSchedule33[[#This Row],[Scheduled Payment]]+PaymentSchedule33[[#This Row],[Extra
Payment]]&lt;=PaymentSchedule33[[#This Row],[Beginning
Balance]],PaymentSchedule33[[#This Row],[Beginning
Balance]]-PaymentSchedule33[[#This Row],[Principal]],0),"")</f>
        <v>117365.15291024279</v>
      </c>
      <c r="K296" s="25">
        <f ca="1">IF(PaymentSchedule33[[#This Row],[Payment Number]]&lt;&gt;"",SUM(INDEX(PaymentSchedule33[Interest],1,1):PaymentSchedule33[[#This Row],[Interest]]),"")</f>
        <v>290000.87962409056</v>
      </c>
      <c r="L296" s="25">
        <f ca="1">IF(PaymentSchedule33[[#This Row],[Payment Number]]&lt;&gt;"",SUM(INDEX(PaymentSchedule33[Principal],1,1):PaymentSchedule33[[#This Row],[Principal]]),"")</f>
        <v>215134.84708975698</v>
      </c>
      <c r="M296" s="25">
        <f ca="1">PaymentSchedule3[[#This Row],[Total
Payment]]-PaymentSchedule33[[#This Row],[Total
Payment]]</f>
        <v>427.19889995542212</v>
      </c>
      <c r="N296" s="25">
        <f ca="1">PaymentSchedule3[[#This Row],[Interest]]-PaymentSchedule33[[#This Row],[Interest]]</f>
        <v>312.39366304636212</v>
      </c>
      <c r="O296" s="25">
        <f ca="1">PaymentSchedule3[[#This Row],[Cumulative
Interest]]-PaymentSchedule33[[#This Row],[Cumulative
Interest]]</f>
        <v>140434.05822567589</v>
      </c>
    </row>
    <row r="297" spans="2:15" x14ac:dyDescent="0.25">
      <c r="B297" s="23">
        <f ca="1">IF(LoanIsGood,IF(ROW()-ROW(PaymentSchedule33[[#Headers],[Payment Number]])&gt;ScheduledNumberOfPayments,"",ROW()-ROW(PaymentSchedule33[[#Headers],[Payment Number]])),"")</f>
        <v>284</v>
      </c>
      <c r="C297" s="24">
        <f ca="1">IF(PaymentSchedule33[[#This Row],[Payment Number]]&lt;&gt;"",EOMONTH(LoanStartDate,ROW(PaymentSchedule33[[#This Row],[Payment Number]])-ROW(PaymentSchedule33[[#Headers],[Payment Number]])-2)+DAY(LoanStartDate),"")</f>
        <v>54081</v>
      </c>
      <c r="D297" s="25">
        <f ca="1">IF(PaymentSchedule33[[#This Row],[Payment Number]]&lt;&gt;"",IF(ROW()-ROW(PaymentSchedule33[[#Headers],[Beginning
Balance]])=1,LoanAmount,INDEX(PaymentSchedule33[Ending
Balance],ROW()-ROW(PaymentSchedule33[[#Headers],[Beginning
Balance]])-1)),"")</f>
        <v>117365.15291024279</v>
      </c>
      <c r="E297" s="25">
        <f ca="1">IF(PaymentSchedule33[[#This Row],[Payment Number]]&lt;&gt;"",ScheduledPayment,"")</f>
        <v>1784.9318965153623</v>
      </c>
      <c r="F29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7" s="25">
        <f ca="1">IF(PaymentSchedule33[[#This Row],[Payment Number]]&lt;&gt;"",PaymentSchedule33[[#This Row],[Total
Payment]]-PaymentSchedule33[[#This Row],[Interest]],"")</f>
        <v>1295.9104260560173</v>
      </c>
      <c r="I297" s="25">
        <f ca="1">IF(PaymentSchedule33[[#This Row],[Payment Number]]&lt;&gt;"",PaymentSchedule33[[#This Row],[Beginning
Balance]]*(InterestRate/PaymentsPerYear),"")</f>
        <v>489.02147045934493</v>
      </c>
      <c r="J297" s="25">
        <f ca="1">IF(PaymentSchedule33[[#This Row],[Payment Number]]&lt;&gt;"",IF(PaymentSchedule33[[#This Row],[Scheduled Payment]]+PaymentSchedule33[[#This Row],[Extra
Payment]]&lt;=PaymentSchedule33[[#This Row],[Beginning
Balance]],PaymentSchedule33[[#This Row],[Beginning
Balance]]-PaymentSchedule33[[#This Row],[Principal]],0),"")</f>
        <v>116069.24248418678</v>
      </c>
      <c r="K297" s="25">
        <f ca="1">IF(PaymentSchedule33[[#This Row],[Payment Number]]&lt;&gt;"",SUM(INDEX(PaymentSchedule33[Interest],1,1):PaymentSchedule33[[#This Row],[Interest]]),"")</f>
        <v>290489.90109454992</v>
      </c>
      <c r="L297" s="25">
        <f ca="1">IF(PaymentSchedule33[[#This Row],[Payment Number]]&lt;&gt;"",SUM(INDEX(PaymentSchedule33[Principal],1,1):PaymentSchedule33[[#This Row],[Principal]]),"")</f>
        <v>216430.75751581299</v>
      </c>
      <c r="M297" s="25">
        <f ca="1">PaymentSchedule3[[#This Row],[Total
Payment]]-PaymentSchedule33[[#This Row],[Total
Payment]]</f>
        <v>427.19889995542212</v>
      </c>
      <c r="N297" s="25">
        <f ca="1">PaymentSchedule3[[#This Row],[Interest]]-PaymentSchedule33[[#This Row],[Interest]]</f>
        <v>309.57307715710732</v>
      </c>
      <c r="O297" s="25">
        <f ca="1">PaymentSchedule3[[#This Row],[Cumulative
Interest]]-PaymentSchedule33[[#This Row],[Cumulative
Interest]]</f>
        <v>140743.63130283298</v>
      </c>
    </row>
    <row r="298" spans="2:15" x14ac:dyDescent="0.25">
      <c r="B298" s="23">
        <f ca="1">IF(LoanIsGood,IF(ROW()-ROW(PaymentSchedule33[[#Headers],[Payment Number]])&gt;ScheduledNumberOfPayments,"",ROW()-ROW(PaymentSchedule33[[#Headers],[Payment Number]])),"")</f>
        <v>285</v>
      </c>
      <c r="C298" s="24">
        <f ca="1">IF(PaymentSchedule33[[#This Row],[Payment Number]]&lt;&gt;"",EOMONTH(LoanStartDate,ROW(PaymentSchedule33[[#This Row],[Payment Number]])-ROW(PaymentSchedule33[[#Headers],[Payment Number]])-2)+DAY(LoanStartDate),"")</f>
        <v>54112</v>
      </c>
      <c r="D298" s="25">
        <f ca="1">IF(PaymentSchedule33[[#This Row],[Payment Number]]&lt;&gt;"",IF(ROW()-ROW(PaymentSchedule33[[#Headers],[Beginning
Balance]])=1,LoanAmount,INDEX(PaymentSchedule33[Ending
Balance],ROW()-ROW(PaymentSchedule33[[#Headers],[Beginning
Balance]])-1)),"")</f>
        <v>116069.24248418678</v>
      </c>
      <c r="E298" s="25">
        <f ca="1">IF(PaymentSchedule33[[#This Row],[Payment Number]]&lt;&gt;"",ScheduledPayment,"")</f>
        <v>1784.9318965153623</v>
      </c>
      <c r="F29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8" s="25">
        <f ca="1">IF(PaymentSchedule33[[#This Row],[Payment Number]]&lt;&gt;"",PaymentSchedule33[[#This Row],[Total
Payment]]-PaymentSchedule33[[#This Row],[Interest]],"")</f>
        <v>1301.3100528312507</v>
      </c>
      <c r="I298" s="25">
        <f ca="1">IF(PaymentSchedule33[[#This Row],[Payment Number]]&lt;&gt;"",PaymentSchedule33[[#This Row],[Beginning
Balance]]*(InterestRate/PaymentsPerYear),"")</f>
        <v>483.62184368411158</v>
      </c>
      <c r="J298" s="25">
        <f ca="1">IF(PaymentSchedule33[[#This Row],[Payment Number]]&lt;&gt;"",IF(PaymentSchedule33[[#This Row],[Scheduled Payment]]+PaymentSchedule33[[#This Row],[Extra
Payment]]&lt;=PaymentSchedule33[[#This Row],[Beginning
Balance]],PaymentSchedule33[[#This Row],[Beginning
Balance]]-PaymentSchedule33[[#This Row],[Principal]],0),"")</f>
        <v>114767.93243135553</v>
      </c>
      <c r="K298" s="25">
        <f ca="1">IF(PaymentSchedule33[[#This Row],[Payment Number]]&lt;&gt;"",SUM(INDEX(PaymentSchedule33[Interest],1,1):PaymentSchedule33[[#This Row],[Interest]]),"")</f>
        <v>290973.52293823403</v>
      </c>
      <c r="L298" s="25">
        <f ca="1">IF(PaymentSchedule33[[#This Row],[Payment Number]]&lt;&gt;"",SUM(INDEX(PaymentSchedule33[Principal],1,1):PaymentSchedule33[[#This Row],[Principal]]),"")</f>
        <v>217732.06756864424</v>
      </c>
      <c r="M298" s="25">
        <f ca="1">PaymentSchedule3[[#This Row],[Total
Payment]]-PaymentSchedule33[[#This Row],[Total
Payment]]</f>
        <v>427.19889995542212</v>
      </c>
      <c r="N298" s="25">
        <f ca="1">PaymentSchedule3[[#This Row],[Interest]]-PaymentSchedule33[[#This Row],[Interest]]</f>
        <v>306.72707581402369</v>
      </c>
      <c r="O298" s="25">
        <f ca="1">PaymentSchedule3[[#This Row],[Cumulative
Interest]]-PaymentSchedule33[[#This Row],[Cumulative
Interest]]</f>
        <v>141050.35837864701</v>
      </c>
    </row>
    <row r="299" spans="2:15" x14ac:dyDescent="0.25">
      <c r="B299" s="23">
        <f ca="1">IF(LoanIsGood,IF(ROW()-ROW(PaymentSchedule33[[#Headers],[Payment Number]])&gt;ScheduledNumberOfPayments,"",ROW()-ROW(PaymentSchedule33[[#Headers],[Payment Number]])),"")</f>
        <v>286</v>
      </c>
      <c r="C299" s="24">
        <f ca="1">IF(PaymentSchedule33[[#This Row],[Payment Number]]&lt;&gt;"",EOMONTH(LoanStartDate,ROW(PaymentSchedule33[[#This Row],[Payment Number]])-ROW(PaymentSchedule33[[#Headers],[Payment Number]])-2)+DAY(LoanStartDate),"")</f>
        <v>54141</v>
      </c>
      <c r="D299" s="25">
        <f ca="1">IF(PaymentSchedule33[[#This Row],[Payment Number]]&lt;&gt;"",IF(ROW()-ROW(PaymentSchedule33[[#Headers],[Beginning
Balance]])=1,LoanAmount,INDEX(PaymentSchedule33[Ending
Balance],ROW()-ROW(PaymentSchedule33[[#Headers],[Beginning
Balance]])-1)),"")</f>
        <v>114767.93243135553</v>
      </c>
      <c r="E299" s="25">
        <f ca="1">IF(PaymentSchedule33[[#This Row],[Payment Number]]&lt;&gt;"",ScheduledPayment,"")</f>
        <v>1784.9318965153623</v>
      </c>
      <c r="F29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29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299" s="25">
        <f ca="1">IF(PaymentSchedule33[[#This Row],[Payment Number]]&lt;&gt;"",PaymentSchedule33[[#This Row],[Total
Payment]]-PaymentSchedule33[[#This Row],[Interest]],"")</f>
        <v>1306.732178051381</v>
      </c>
      <c r="I299" s="25">
        <f ca="1">IF(PaymentSchedule33[[#This Row],[Payment Number]]&lt;&gt;"",PaymentSchedule33[[#This Row],[Beginning
Balance]]*(InterestRate/PaymentsPerYear),"")</f>
        <v>478.19971846398136</v>
      </c>
      <c r="J299" s="25">
        <f ca="1">IF(PaymentSchedule33[[#This Row],[Payment Number]]&lt;&gt;"",IF(PaymentSchedule33[[#This Row],[Scheduled Payment]]+PaymentSchedule33[[#This Row],[Extra
Payment]]&lt;=PaymentSchedule33[[#This Row],[Beginning
Balance]],PaymentSchedule33[[#This Row],[Beginning
Balance]]-PaymentSchedule33[[#This Row],[Principal]],0),"")</f>
        <v>113461.20025330415</v>
      </c>
      <c r="K299" s="25">
        <f ca="1">IF(PaymentSchedule33[[#This Row],[Payment Number]]&lt;&gt;"",SUM(INDEX(PaymentSchedule33[Interest],1,1):PaymentSchedule33[[#This Row],[Interest]]),"")</f>
        <v>291451.72265669802</v>
      </c>
      <c r="L299" s="25">
        <f ca="1">IF(PaymentSchedule33[[#This Row],[Payment Number]]&lt;&gt;"",SUM(INDEX(PaymentSchedule33[Principal],1,1):PaymentSchedule33[[#This Row],[Principal]]),"")</f>
        <v>219038.79974669561</v>
      </c>
      <c r="M299" s="25">
        <f ca="1">PaymentSchedule3[[#This Row],[Total
Payment]]-PaymentSchedule33[[#This Row],[Total
Payment]]</f>
        <v>427.19889995542212</v>
      </c>
      <c r="N299" s="25">
        <f ca="1">PaymentSchedule3[[#This Row],[Interest]]-PaymentSchedule33[[#This Row],[Interest]]</f>
        <v>303.85547341848024</v>
      </c>
      <c r="O299" s="25">
        <f ca="1">PaymentSchedule3[[#This Row],[Cumulative
Interest]]-PaymentSchedule33[[#This Row],[Cumulative
Interest]]</f>
        <v>141354.2138520655</v>
      </c>
    </row>
    <row r="300" spans="2:15" x14ac:dyDescent="0.25">
      <c r="B300" s="23">
        <f ca="1">IF(LoanIsGood,IF(ROW()-ROW(PaymentSchedule33[[#Headers],[Payment Number]])&gt;ScheduledNumberOfPayments,"",ROW()-ROW(PaymentSchedule33[[#Headers],[Payment Number]])),"")</f>
        <v>287</v>
      </c>
      <c r="C300" s="24">
        <f ca="1">IF(PaymentSchedule33[[#This Row],[Payment Number]]&lt;&gt;"",EOMONTH(LoanStartDate,ROW(PaymentSchedule33[[#This Row],[Payment Number]])-ROW(PaymentSchedule33[[#Headers],[Payment Number]])-2)+DAY(LoanStartDate),"")</f>
        <v>54172</v>
      </c>
      <c r="D300" s="25">
        <f ca="1">IF(PaymentSchedule33[[#This Row],[Payment Number]]&lt;&gt;"",IF(ROW()-ROW(PaymentSchedule33[[#Headers],[Beginning
Balance]])=1,LoanAmount,INDEX(PaymentSchedule33[Ending
Balance],ROW()-ROW(PaymentSchedule33[[#Headers],[Beginning
Balance]])-1)),"")</f>
        <v>113461.20025330415</v>
      </c>
      <c r="E300" s="25">
        <f ca="1">IF(PaymentSchedule33[[#This Row],[Payment Number]]&lt;&gt;"",ScheduledPayment,"")</f>
        <v>1784.9318965153623</v>
      </c>
      <c r="F30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0" s="25">
        <f ca="1">IF(PaymentSchedule33[[#This Row],[Payment Number]]&lt;&gt;"",PaymentSchedule33[[#This Row],[Total
Payment]]-PaymentSchedule33[[#This Row],[Interest]],"")</f>
        <v>1312.1768954599283</v>
      </c>
      <c r="I300" s="25">
        <f ca="1">IF(PaymentSchedule33[[#This Row],[Payment Number]]&lt;&gt;"",PaymentSchedule33[[#This Row],[Beginning
Balance]]*(InterestRate/PaymentsPerYear),"")</f>
        <v>472.75500105543398</v>
      </c>
      <c r="J300" s="25">
        <f ca="1">IF(PaymentSchedule33[[#This Row],[Payment Number]]&lt;&gt;"",IF(PaymentSchedule33[[#This Row],[Scheduled Payment]]+PaymentSchedule33[[#This Row],[Extra
Payment]]&lt;=PaymentSchedule33[[#This Row],[Beginning
Balance]],PaymentSchedule33[[#This Row],[Beginning
Balance]]-PaymentSchedule33[[#This Row],[Principal]],0),"")</f>
        <v>112149.02335784423</v>
      </c>
      <c r="K300" s="25">
        <f ca="1">IF(PaymentSchedule33[[#This Row],[Payment Number]]&lt;&gt;"",SUM(INDEX(PaymentSchedule33[Interest],1,1):PaymentSchedule33[[#This Row],[Interest]]),"")</f>
        <v>291924.47765775345</v>
      </c>
      <c r="L300" s="25">
        <f ca="1">IF(PaymentSchedule33[[#This Row],[Payment Number]]&lt;&gt;"",SUM(INDEX(PaymentSchedule33[Principal],1,1):PaymentSchedule33[[#This Row],[Principal]]),"")</f>
        <v>220350.97664215555</v>
      </c>
      <c r="M300" s="25">
        <f ca="1">PaymentSchedule3[[#This Row],[Total
Payment]]-PaymentSchedule33[[#This Row],[Total
Payment]]</f>
        <v>427.19889995542212</v>
      </c>
      <c r="N300" s="25">
        <f ca="1">PaymentSchedule3[[#This Row],[Interest]]-PaymentSchedule33[[#This Row],[Interest]]</f>
        <v>300.95808313359572</v>
      </c>
      <c r="O300" s="25">
        <f ca="1">PaymentSchedule3[[#This Row],[Cumulative
Interest]]-PaymentSchedule33[[#This Row],[Cumulative
Interest]]</f>
        <v>141655.17193519912</v>
      </c>
    </row>
    <row r="301" spans="2:15" x14ac:dyDescent="0.25">
      <c r="B301" s="23">
        <f ca="1">IF(LoanIsGood,IF(ROW()-ROW(PaymentSchedule33[[#Headers],[Payment Number]])&gt;ScheduledNumberOfPayments,"",ROW()-ROW(PaymentSchedule33[[#Headers],[Payment Number]])),"")</f>
        <v>288</v>
      </c>
      <c r="C301" s="24">
        <f ca="1">IF(PaymentSchedule33[[#This Row],[Payment Number]]&lt;&gt;"",EOMONTH(LoanStartDate,ROW(PaymentSchedule33[[#This Row],[Payment Number]])-ROW(PaymentSchedule33[[#Headers],[Payment Number]])-2)+DAY(LoanStartDate),"")</f>
        <v>54202</v>
      </c>
      <c r="D301" s="25">
        <f ca="1">IF(PaymentSchedule33[[#This Row],[Payment Number]]&lt;&gt;"",IF(ROW()-ROW(PaymentSchedule33[[#Headers],[Beginning
Balance]])=1,LoanAmount,INDEX(PaymentSchedule33[Ending
Balance],ROW()-ROW(PaymentSchedule33[[#Headers],[Beginning
Balance]])-1)),"")</f>
        <v>112149.02335784423</v>
      </c>
      <c r="E301" s="25">
        <f ca="1">IF(PaymentSchedule33[[#This Row],[Payment Number]]&lt;&gt;"",ScheduledPayment,"")</f>
        <v>1784.9318965153623</v>
      </c>
      <c r="F30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1" s="25">
        <f ca="1">IF(PaymentSchedule33[[#This Row],[Payment Number]]&lt;&gt;"",PaymentSchedule33[[#This Row],[Total
Payment]]-PaymentSchedule33[[#This Row],[Interest]],"")</f>
        <v>1317.6442991910112</v>
      </c>
      <c r="I301" s="25">
        <f ca="1">IF(PaymentSchedule33[[#This Row],[Payment Number]]&lt;&gt;"",PaymentSchedule33[[#This Row],[Beginning
Balance]]*(InterestRate/PaymentsPerYear),"")</f>
        <v>467.28759732435094</v>
      </c>
      <c r="J301" s="25">
        <f ca="1">IF(PaymentSchedule33[[#This Row],[Payment Number]]&lt;&gt;"",IF(PaymentSchedule33[[#This Row],[Scheduled Payment]]+PaymentSchedule33[[#This Row],[Extra
Payment]]&lt;=PaymentSchedule33[[#This Row],[Beginning
Balance]],PaymentSchedule33[[#This Row],[Beginning
Balance]]-PaymentSchedule33[[#This Row],[Principal]],0),"")</f>
        <v>110831.37905865321</v>
      </c>
      <c r="K301" s="25">
        <f ca="1">IF(PaymentSchedule33[[#This Row],[Payment Number]]&lt;&gt;"",SUM(INDEX(PaymentSchedule33[Interest],1,1):PaymentSchedule33[[#This Row],[Interest]]),"")</f>
        <v>292391.7652550778</v>
      </c>
      <c r="L301" s="25">
        <f ca="1">IF(PaymentSchedule33[[#This Row],[Payment Number]]&lt;&gt;"",SUM(INDEX(PaymentSchedule33[Principal],1,1):PaymentSchedule33[[#This Row],[Principal]]),"")</f>
        <v>221668.62094134657</v>
      </c>
      <c r="M301" s="25">
        <f ca="1">PaymentSchedule3[[#This Row],[Total
Payment]]-PaymentSchedule33[[#This Row],[Total
Payment]]</f>
        <v>427.19889995542212</v>
      </c>
      <c r="N301" s="25">
        <f ca="1">PaymentSchedule3[[#This Row],[Interest]]-PaymentSchedule33[[#This Row],[Interest]]</f>
        <v>298.03471687636852</v>
      </c>
      <c r="O301" s="25">
        <f ca="1">PaymentSchedule3[[#This Row],[Cumulative
Interest]]-PaymentSchedule33[[#This Row],[Cumulative
Interest]]</f>
        <v>141953.20665207552</v>
      </c>
    </row>
    <row r="302" spans="2:15" x14ac:dyDescent="0.25">
      <c r="B302" s="23">
        <f ca="1">IF(LoanIsGood,IF(ROW()-ROW(PaymentSchedule33[[#Headers],[Payment Number]])&gt;ScheduledNumberOfPayments,"",ROW()-ROW(PaymentSchedule33[[#Headers],[Payment Number]])),"")</f>
        <v>289</v>
      </c>
      <c r="C302" s="24">
        <f ca="1">IF(PaymentSchedule33[[#This Row],[Payment Number]]&lt;&gt;"",EOMONTH(LoanStartDate,ROW(PaymentSchedule33[[#This Row],[Payment Number]])-ROW(PaymentSchedule33[[#Headers],[Payment Number]])-2)+DAY(LoanStartDate),"")</f>
        <v>54233</v>
      </c>
      <c r="D302" s="25">
        <f ca="1">IF(PaymentSchedule33[[#This Row],[Payment Number]]&lt;&gt;"",IF(ROW()-ROW(PaymentSchedule33[[#Headers],[Beginning
Balance]])=1,LoanAmount,INDEX(PaymentSchedule33[Ending
Balance],ROW()-ROW(PaymentSchedule33[[#Headers],[Beginning
Balance]])-1)),"")</f>
        <v>110831.37905865321</v>
      </c>
      <c r="E302" s="25">
        <f ca="1">IF(PaymentSchedule33[[#This Row],[Payment Number]]&lt;&gt;"",ScheduledPayment,"")</f>
        <v>1784.9318965153623</v>
      </c>
      <c r="F30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2" s="25">
        <f ca="1">IF(PaymentSchedule33[[#This Row],[Payment Number]]&lt;&gt;"",PaymentSchedule33[[#This Row],[Total
Payment]]-PaymentSchedule33[[#This Row],[Interest]],"")</f>
        <v>1323.1344837709739</v>
      </c>
      <c r="I302" s="25">
        <f ca="1">IF(PaymentSchedule33[[#This Row],[Payment Number]]&lt;&gt;"",PaymentSchedule33[[#This Row],[Beginning
Balance]]*(InterestRate/PaymentsPerYear),"")</f>
        <v>461.7974127443884</v>
      </c>
      <c r="J302" s="25">
        <f ca="1">IF(PaymentSchedule33[[#This Row],[Payment Number]]&lt;&gt;"",IF(PaymentSchedule33[[#This Row],[Scheduled Payment]]+PaymentSchedule33[[#This Row],[Extra
Payment]]&lt;=PaymentSchedule33[[#This Row],[Beginning
Balance]],PaymentSchedule33[[#This Row],[Beginning
Balance]]-PaymentSchedule33[[#This Row],[Principal]],0),"")</f>
        <v>109508.24457488224</v>
      </c>
      <c r="K302" s="25">
        <f ca="1">IF(PaymentSchedule33[[#This Row],[Payment Number]]&lt;&gt;"",SUM(INDEX(PaymentSchedule33[Interest],1,1):PaymentSchedule33[[#This Row],[Interest]]),"")</f>
        <v>292853.56266782217</v>
      </c>
      <c r="L302" s="25">
        <f ca="1">IF(PaymentSchedule33[[#This Row],[Payment Number]]&lt;&gt;"",SUM(INDEX(PaymentSchedule33[Principal],1,1):PaymentSchedule33[[#This Row],[Principal]]),"")</f>
        <v>222991.75542511753</v>
      </c>
      <c r="M302" s="25">
        <f ca="1">PaymentSchedule3[[#This Row],[Total
Payment]]-PaymentSchedule33[[#This Row],[Total
Payment]]</f>
        <v>427.19889995542212</v>
      </c>
      <c r="N302" s="25">
        <f ca="1">PaymentSchedule3[[#This Row],[Interest]]-PaymentSchedule33[[#This Row],[Interest]]</f>
        <v>295.08518530975579</v>
      </c>
      <c r="O302" s="25">
        <f ca="1">PaymentSchedule3[[#This Row],[Cumulative
Interest]]-PaymentSchedule33[[#This Row],[Cumulative
Interest]]</f>
        <v>142248.29183738527</v>
      </c>
    </row>
    <row r="303" spans="2:15" x14ac:dyDescent="0.25">
      <c r="B303" s="23">
        <f ca="1">IF(LoanIsGood,IF(ROW()-ROW(PaymentSchedule33[[#Headers],[Payment Number]])&gt;ScheduledNumberOfPayments,"",ROW()-ROW(PaymentSchedule33[[#Headers],[Payment Number]])),"")</f>
        <v>290</v>
      </c>
      <c r="C303" s="24">
        <f ca="1">IF(PaymentSchedule33[[#This Row],[Payment Number]]&lt;&gt;"",EOMONTH(LoanStartDate,ROW(PaymentSchedule33[[#This Row],[Payment Number]])-ROW(PaymentSchedule33[[#Headers],[Payment Number]])-2)+DAY(LoanStartDate),"")</f>
        <v>54263</v>
      </c>
      <c r="D303" s="25">
        <f ca="1">IF(PaymentSchedule33[[#This Row],[Payment Number]]&lt;&gt;"",IF(ROW()-ROW(PaymentSchedule33[[#Headers],[Beginning
Balance]])=1,LoanAmount,INDEX(PaymentSchedule33[Ending
Balance],ROW()-ROW(PaymentSchedule33[[#Headers],[Beginning
Balance]])-1)),"")</f>
        <v>109508.24457488224</v>
      </c>
      <c r="E303" s="25">
        <f ca="1">IF(PaymentSchedule33[[#This Row],[Payment Number]]&lt;&gt;"",ScheduledPayment,"")</f>
        <v>1784.9318965153623</v>
      </c>
      <c r="F30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3" s="25">
        <f ca="1">IF(PaymentSchedule33[[#This Row],[Payment Number]]&lt;&gt;"",PaymentSchedule33[[#This Row],[Total
Payment]]-PaymentSchedule33[[#This Row],[Interest]],"")</f>
        <v>1328.6475441200196</v>
      </c>
      <c r="I303" s="25">
        <f ca="1">IF(PaymentSchedule33[[#This Row],[Payment Number]]&lt;&gt;"",PaymentSchedule33[[#This Row],[Beginning
Balance]]*(InterestRate/PaymentsPerYear),"")</f>
        <v>456.28435239534264</v>
      </c>
      <c r="J303" s="25">
        <f ca="1">IF(PaymentSchedule33[[#This Row],[Payment Number]]&lt;&gt;"",IF(PaymentSchedule33[[#This Row],[Scheduled Payment]]+PaymentSchedule33[[#This Row],[Extra
Payment]]&lt;=PaymentSchedule33[[#This Row],[Beginning
Balance]],PaymentSchedule33[[#This Row],[Beginning
Balance]]-PaymentSchedule33[[#This Row],[Principal]],0),"")</f>
        <v>108179.59703076222</v>
      </c>
      <c r="K303" s="25">
        <f ca="1">IF(PaymentSchedule33[[#This Row],[Payment Number]]&lt;&gt;"",SUM(INDEX(PaymentSchedule33[Interest],1,1):PaymentSchedule33[[#This Row],[Interest]]),"")</f>
        <v>293309.84702021751</v>
      </c>
      <c r="L303" s="25">
        <f ca="1">IF(PaymentSchedule33[[#This Row],[Payment Number]]&lt;&gt;"",SUM(INDEX(PaymentSchedule33[Principal],1,1):PaymentSchedule33[[#This Row],[Principal]]),"")</f>
        <v>224320.40296923756</v>
      </c>
      <c r="M303" s="25">
        <f ca="1">PaymentSchedule3[[#This Row],[Total
Payment]]-PaymentSchedule33[[#This Row],[Total
Payment]]</f>
        <v>427.19889995542212</v>
      </c>
      <c r="N303" s="25">
        <f ca="1">PaymentSchedule3[[#This Row],[Interest]]-PaymentSchedule33[[#This Row],[Interest]]</f>
        <v>292.10929783470448</v>
      </c>
      <c r="O303" s="25">
        <f ca="1">PaymentSchedule3[[#This Row],[Cumulative
Interest]]-PaymentSchedule33[[#This Row],[Cumulative
Interest]]</f>
        <v>142540.40113521996</v>
      </c>
    </row>
    <row r="304" spans="2:15" x14ac:dyDescent="0.25">
      <c r="B304" s="23">
        <f ca="1">IF(LoanIsGood,IF(ROW()-ROW(PaymentSchedule33[[#Headers],[Payment Number]])&gt;ScheduledNumberOfPayments,"",ROW()-ROW(PaymentSchedule33[[#Headers],[Payment Number]])),"")</f>
        <v>291</v>
      </c>
      <c r="C304" s="24">
        <f ca="1">IF(PaymentSchedule33[[#This Row],[Payment Number]]&lt;&gt;"",EOMONTH(LoanStartDate,ROW(PaymentSchedule33[[#This Row],[Payment Number]])-ROW(PaymentSchedule33[[#Headers],[Payment Number]])-2)+DAY(LoanStartDate),"")</f>
        <v>54294</v>
      </c>
      <c r="D304" s="25">
        <f ca="1">IF(PaymentSchedule33[[#This Row],[Payment Number]]&lt;&gt;"",IF(ROW()-ROW(PaymentSchedule33[[#Headers],[Beginning
Balance]])=1,LoanAmount,INDEX(PaymentSchedule33[Ending
Balance],ROW()-ROW(PaymentSchedule33[[#Headers],[Beginning
Balance]])-1)),"")</f>
        <v>108179.59703076222</v>
      </c>
      <c r="E304" s="25">
        <f ca="1">IF(PaymentSchedule33[[#This Row],[Payment Number]]&lt;&gt;"",ScheduledPayment,"")</f>
        <v>1784.9318965153623</v>
      </c>
      <c r="F30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4" s="25">
        <f ca="1">IF(PaymentSchedule33[[#This Row],[Payment Number]]&lt;&gt;"",PaymentSchedule33[[#This Row],[Total
Payment]]-PaymentSchedule33[[#This Row],[Interest]],"")</f>
        <v>1334.183575553853</v>
      </c>
      <c r="I304" s="25">
        <f ca="1">IF(PaymentSchedule33[[#This Row],[Payment Number]]&lt;&gt;"",PaymentSchedule33[[#This Row],[Beginning
Balance]]*(InterestRate/PaymentsPerYear),"")</f>
        <v>450.74832096150925</v>
      </c>
      <c r="J304" s="25">
        <f ca="1">IF(PaymentSchedule33[[#This Row],[Payment Number]]&lt;&gt;"",IF(PaymentSchedule33[[#This Row],[Scheduled Payment]]+PaymentSchedule33[[#This Row],[Extra
Payment]]&lt;=PaymentSchedule33[[#This Row],[Beginning
Balance]],PaymentSchedule33[[#This Row],[Beginning
Balance]]-PaymentSchedule33[[#This Row],[Principal]],0),"")</f>
        <v>106845.41345520837</v>
      </c>
      <c r="K304" s="25">
        <f ca="1">IF(PaymentSchedule33[[#This Row],[Payment Number]]&lt;&gt;"",SUM(INDEX(PaymentSchedule33[Interest],1,1):PaymentSchedule33[[#This Row],[Interest]]),"")</f>
        <v>293760.595341179</v>
      </c>
      <c r="L304" s="25">
        <f ca="1">IF(PaymentSchedule33[[#This Row],[Payment Number]]&lt;&gt;"",SUM(INDEX(PaymentSchedule33[Principal],1,1):PaymentSchedule33[[#This Row],[Principal]]),"")</f>
        <v>225654.58654479141</v>
      </c>
      <c r="M304" s="25">
        <f ca="1">PaymentSchedule3[[#This Row],[Total
Payment]]-PaymentSchedule33[[#This Row],[Total
Payment]]</f>
        <v>427.19889995542212</v>
      </c>
      <c r="N304" s="25">
        <f ca="1">PaymentSchedule3[[#This Row],[Interest]]-PaymentSchedule33[[#This Row],[Interest]]</f>
        <v>289.1068625821336</v>
      </c>
      <c r="O304" s="25">
        <f ca="1">PaymentSchedule3[[#This Row],[Cumulative
Interest]]-PaymentSchedule33[[#This Row],[Cumulative
Interest]]</f>
        <v>142829.50799780211</v>
      </c>
    </row>
    <row r="305" spans="2:15" x14ac:dyDescent="0.25">
      <c r="B305" s="23">
        <f ca="1">IF(LoanIsGood,IF(ROW()-ROW(PaymentSchedule33[[#Headers],[Payment Number]])&gt;ScheduledNumberOfPayments,"",ROW()-ROW(PaymentSchedule33[[#Headers],[Payment Number]])),"")</f>
        <v>292</v>
      </c>
      <c r="C305" s="24">
        <f ca="1">IF(PaymentSchedule33[[#This Row],[Payment Number]]&lt;&gt;"",EOMONTH(LoanStartDate,ROW(PaymentSchedule33[[#This Row],[Payment Number]])-ROW(PaymentSchedule33[[#Headers],[Payment Number]])-2)+DAY(LoanStartDate),"")</f>
        <v>54325</v>
      </c>
      <c r="D305" s="25">
        <f ca="1">IF(PaymentSchedule33[[#This Row],[Payment Number]]&lt;&gt;"",IF(ROW()-ROW(PaymentSchedule33[[#Headers],[Beginning
Balance]])=1,LoanAmount,INDEX(PaymentSchedule33[Ending
Balance],ROW()-ROW(PaymentSchedule33[[#Headers],[Beginning
Balance]])-1)),"")</f>
        <v>106845.41345520837</v>
      </c>
      <c r="E305" s="25">
        <f ca="1">IF(PaymentSchedule33[[#This Row],[Payment Number]]&lt;&gt;"",ScheduledPayment,"")</f>
        <v>1784.9318965153623</v>
      </c>
      <c r="F30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5" s="25">
        <f ca="1">IF(PaymentSchedule33[[#This Row],[Payment Number]]&lt;&gt;"",PaymentSchedule33[[#This Row],[Total
Payment]]-PaymentSchedule33[[#This Row],[Interest]],"")</f>
        <v>1339.7426737853275</v>
      </c>
      <c r="I305" s="25">
        <f ca="1">IF(PaymentSchedule33[[#This Row],[Payment Number]]&lt;&gt;"",PaymentSchedule33[[#This Row],[Beginning
Balance]]*(InterestRate/PaymentsPerYear),"")</f>
        <v>445.18922273003488</v>
      </c>
      <c r="J305" s="25">
        <f ca="1">IF(PaymentSchedule33[[#This Row],[Payment Number]]&lt;&gt;"",IF(PaymentSchedule33[[#This Row],[Scheduled Payment]]+PaymentSchedule33[[#This Row],[Extra
Payment]]&lt;=PaymentSchedule33[[#This Row],[Beginning
Balance]],PaymentSchedule33[[#This Row],[Beginning
Balance]]-PaymentSchedule33[[#This Row],[Principal]],0),"")</f>
        <v>105505.67078142305</v>
      </c>
      <c r="K305" s="25">
        <f ca="1">IF(PaymentSchedule33[[#This Row],[Payment Number]]&lt;&gt;"",SUM(INDEX(PaymentSchedule33[Interest],1,1):PaymentSchedule33[[#This Row],[Interest]]),"")</f>
        <v>294205.78456390905</v>
      </c>
      <c r="L305" s="25">
        <f ca="1">IF(PaymentSchedule33[[#This Row],[Payment Number]]&lt;&gt;"",SUM(INDEX(PaymentSchedule33[Principal],1,1):PaymentSchedule33[[#This Row],[Principal]]),"")</f>
        <v>226994.32921857675</v>
      </c>
      <c r="M305" s="25">
        <f ca="1">PaymentSchedule3[[#This Row],[Total
Payment]]-PaymentSchedule33[[#This Row],[Total
Payment]]</f>
        <v>427.19889995542212</v>
      </c>
      <c r="N305" s="25">
        <f ca="1">PaymentSchedule3[[#This Row],[Interest]]-PaymentSchedule33[[#This Row],[Interest]]</f>
        <v>286.0776864048662</v>
      </c>
      <c r="O305" s="25">
        <f ca="1">PaymentSchedule3[[#This Row],[Cumulative
Interest]]-PaymentSchedule33[[#This Row],[Cumulative
Interest]]</f>
        <v>143115.58568420698</v>
      </c>
    </row>
    <row r="306" spans="2:15" x14ac:dyDescent="0.25">
      <c r="B306" s="23">
        <f ca="1">IF(LoanIsGood,IF(ROW()-ROW(PaymentSchedule33[[#Headers],[Payment Number]])&gt;ScheduledNumberOfPayments,"",ROW()-ROW(PaymentSchedule33[[#Headers],[Payment Number]])),"")</f>
        <v>293</v>
      </c>
      <c r="C306" s="24">
        <f ca="1">IF(PaymentSchedule33[[#This Row],[Payment Number]]&lt;&gt;"",EOMONTH(LoanStartDate,ROW(PaymentSchedule33[[#This Row],[Payment Number]])-ROW(PaymentSchedule33[[#Headers],[Payment Number]])-2)+DAY(LoanStartDate),"")</f>
        <v>54355</v>
      </c>
      <c r="D306" s="25">
        <f ca="1">IF(PaymentSchedule33[[#This Row],[Payment Number]]&lt;&gt;"",IF(ROW()-ROW(PaymentSchedule33[[#Headers],[Beginning
Balance]])=1,LoanAmount,INDEX(PaymentSchedule33[Ending
Balance],ROW()-ROW(PaymentSchedule33[[#Headers],[Beginning
Balance]])-1)),"")</f>
        <v>105505.67078142305</v>
      </c>
      <c r="E306" s="25">
        <f ca="1">IF(PaymentSchedule33[[#This Row],[Payment Number]]&lt;&gt;"",ScheduledPayment,"")</f>
        <v>1784.9318965153623</v>
      </c>
      <c r="F30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6" s="25">
        <f ca="1">IF(PaymentSchedule33[[#This Row],[Payment Number]]&lt;&gt;"",PaymentSchedule33[[#This Row],[Total
Payment]]-PaymentSchedule33[[#This Row],[Interest]],"")</f>
        <v>1345.3249349260996</v>
      </c>
      <c r="I306" s="25">
        <f ca="1">IF(PaymentSchedule33[[#This Row],[Payment Number]]&lt;&gt;"",PaymentSchedule33[[#This Row],[Beginning
Balance]]*(InterestRate/PaymentsPerYear),"")</f>
        <v>439.60696158926271</v>
      </c>
      <c r="J306" s="25">
        <f ca="1">IF(PaymentSchedule33[[#This Row],[Payment Number]]&lt;&gt;"",IF(PaymentSchedule33[[#This Row],[Scheduled Payment]]+PaymentSchedule33[[#This Row],[Extra
Payment]]&lt;=PaymentSchedule33[[#This Row],[Beginning
Balance]],PaymentSchedule33[[#This Row],[Beginning
Balance]]-PaymentSchedule33[[#This Row],[Principal]],0),"")</f>
        <v>104160.34584649694</v>
      </c>
      <c r="K306" s="25">
        <f ca="1">IF(PaymentSchedule33[[#This Row],[Payment Number]]&lt;&gt;"",SUM(INDEX(PaymentSchedule33[Interest],1,1):PaymentSchedule33[[#This Row],[Interest]]),"")</f>
        <v>294645.3915254983</v>
      </c>
      <c r="L306" s="25">
        <f ca="1">IF(PaymentSchedule33[[#This Row],[Payment Number]]&lt;&gt;"",SUM(INDEX(PaymentSchedule33[Principal],1,1):PaymentSchedule33[[#This Row],[Principal]]),"")</f>
        <v>228339.65415350284</v>
      </c>
      <c r="M306" s="25">
        <f ca="1">PaymentSchedule3[[#This Row],[Total
Payment]]-PaymentSchedule33[[#This Row],[Total
Payment]]</f>
        <v>427.19889995542212</v>
      </c>
      <c r="N306" s="25">
        <f ca="1">PaymentSchedule3[[#This Row],[Interest]]-PaymentSchedule33[[#This Row],[Interest]]</f>
        <v>283.02157486951239</v>
      </c>
      <c r="O306" s="25">
        <f ca="1">PaymentSchedule3[[#This Row],[Cumulative
Interest]]-PaymentSchedule33[[#This Row],[Cumulative
Interest]]</f>
        <v>143398.6072590765</v>
      </c>
    </row>
    <row r="307" spans="2:15" x14ac:dyDescent="0.25">
      <c r="B307" s="23">
        <f ca="1">IF(LoanIsGood,IF(ROW()-ROW(PaymentSchedule33[[#Headers],[Payment Number]])&gt;ScheduledNumberOfPayments,"",ROW()-ROW(PaymentSchedule33[[#Headers],[Payment Number]])),"")</f>
        <v>294</v>
      </c>
      <c r="C307" s="24">
        <f ca="1">IF(PaymentSchedule33[[#This Row],[Payment Number]]&lt;&gt;"",EOMONTH(LoanStartDate,ROW(PaymentSchedule33[[#This Row],[Payment Number]])-ROW(PaymentSchedule33[[#Headers],[Payment Number]])-2)+DAY(LoanStartDate),"")</f>
        <v>54386</v>
      </c>
      <c r="D307" s="25">
        <f ca="1">IF(PaymentSchedule33[[#This Row],[Payment Number]]&lt;&gt;"",IF(ROW()-ROW(PaymentSchedule33[[#Headers],[Beginning
Balance]])=1,LoanAmount,INDEX(PaymentSchedule33[Ending
Balance],ROW()-ROW(PaymentSchedule33[[#Headers],[Beginning
Balance]])-1)),"")</f>
        <v>104160.34584649694</v>
      </c>
      <c r="E307" s="25">
        <f ca="1">IF(PaymentSchedule33[[#This Row],[Payment Number]]&lt;&gt;"",ScheduledPayment,"")</f>
        <v>1784.9318965153623</v>
      </c>
      <c r="F30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7" s="25">
        <f ca="1">IF(PaymentSchedule33[[#This Row],[Payment Number]]&lt;&gt;"",PaymentSchedule33[[#This Row],[Total
Payment]]-PaymentSchedule33[[#This Row],[Interest]],"")</f>
        <v>1350.9304554882917</v>
      </c>
      <c r="I307" s="25">
        <f ca="1">IF(PaymentSchedule33[[#This Row],[Payment Number]]&lt;&gt;"",PaymentSchedule33[[#This Row],[Beginning
Balance]]*(InterestRate/PaymentsPerYear),"")</f>
        <v>434.0014410270706</v>
      </c>
      <c r="J307" s="25">
        <f ca="1">IF(PaymentSchedule33[[#This Row],[Payment Number]]&lt;&gt;"",IF(PaymentSchedule33[[#This Row],[Scheduled Payment]]+PaymentSchedule33[[#This Row],[Extra
Payment]]&lt;=PaymentSchedule33[[#This Row],[Beginning
Balance]],PaymentSchedule33[[#This Row],[Beginning
Balance]]-PaymentSchedule33[[#This Row],[Principal]],0),"")</f>
        <v>102809.41539100865</v>
      </c>
      <c r="K307" s="25">
        <f ca="1">IF(PaymentSchedule33[[#This Row],[Payment Number]]&lt;&gt;"",SUM(INDEX(PaymentSchedule33[Interest],1,1):PaymentSchedule33[[#This Row],[Interest]]),"")</f>
        <v>295079.3929665254</v>
      </c>
      <c r="L307" s="25">
        <f ca="1">IF(PaymentSchedule33[[#This Row],[Payment Number]]&lt;&gt;"",SUM(INDEX(PaymentSchedule33[Principal],1,1):PaymentSchedule33[[#This Row],[Principal]]),"")</f>
        <v>229690.58460899114</v>
      </c>
      <c r="M307" s="25">
        <f ca="1">PaymentSchedule3[[#This Row],[Total
Payment]]-PaymentSchedule33[[#This Row],[Total
Payment]]</f>
        <v>427.19889995542212</v>
      </c>
      <c r="N307" s="25">
        <f ca="1">PaymentSchedule3[[#This Row],[Interest]]-PaymentSchedule33[[#This Row],[Interest]]</f>
        <v>279.93833224830115</v>
      </c>
      <c r="O307" s="25">
        <f ca="1">PaymentSchedule3[[#This Row],[Cumulative
Interest]]-PaymentSchedule33[[#This Row],[Cumulative
Interest]]</f>
        <v>143678.5455913248</v>
      </c>
    </row>
    <row r="308" spans="2:15" x14ac:dyDescent="0.25">
      <c r="B308" s="23">
        <f ca="1">IF(LoanIsGood,IF(ROW()-ROW(PaymentSchedule33[[#Headers],[Payment Number]])&gt;ScheduledNumberOfPayments,"",ROW()-ROW(PaymentSchedule33[[#Headers],[Payment Number]])),"")</f>
        <v>295</v>
      </c>
      <c r="C308" s="24">
        <f ca="1">IF(PaymentSchedule33[[#This Row],[Payment Number]]&lt;&gt;"",EOMONTH(LoanStartDate,ROW(PaymentSchedule33[[#This Row],[Payment Number]])-ROW(PaymentSchedule33[[#Headers],[Payment Number]])-2)+DAY(LoanStartDate),"")</f>
        <v>54416</v>
      </c>
      <c r="D308" s="25">
        <f ca="1">IF(PaymentSchedule33[[#This Row],[Payment Number]]&lt;&gt;"",IF(ROW()-ROW(PaymentSchedule33[[#Headers],[Beginning
Balance]])=1,LoanAmount,INDEX(PaymentSchedule33[Ending
Balance],ROW()-ROW(PaymentSchedule33[[#Headers],[Beginning
Balance]])-1)),"")</f>
        <v>102809.41539100865</v>
      </c>
      <c r="E308" s="25">
        <f ca="1">IF(PaymentSchedule33[[#This Row],[Payment Number]]&lt;&gt;"",ScheduledPayment,"")</f>
        <v>1784.9318965153623</v>
      </c>
      <c r="F30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8" s="25">
        <f ca="1">IF(PaymentSchedule33[[#This Row],[Payment Number]]&lt;&gt;"",PaymentSchedule33[[#This Row],[Total
Payment]]-PaymentSchedule33[[#This Row],[Interest]],"")</f>
        <v>1356.5593323861597</v>
      </c>
      <c r="I308" s="25">
        <f ca="1">IF(PaymentSchedule33[[#This Row],[Payment Number]]&lt;&gt;"",PaymentSchedule33[[#This Row],[Beginning
Balance]]*(InterestRate/PaymentsPerYear),"")</f>
        <v>428.37256412920266</v>
      </c>
      <c r="J308" s="25">
        <f ca="1">IF(PaymentSchedule33[[#This Row],[Payment Number]]&lt;&gt;"",IF(PaymentSchedule33[[#This Row],[Scheduled Payment]]+PaymentSchedule33[[#This Row],[Extra
Payment]]&lt;=PaymentSchedule33[[#This Row],[Beginning
Balance]],PaymentSchedule33[[#This Row],[Beginning
Balance]]-PaymentSchedule33[[#This Row],[Principal]],0),"")</f>
        <v>101452.85605862249</v>
      </c>
      <c r="K308" s="25">
        <f ca="1">IF(PaymentSchedule33[[#This Row],[Payment Number]]&lt;&gt;"",SUM(INDEX(PaymentSchedule33[Interest],1,1):PaymentSchedule33[[#This Row],[Interest]]),"")</f>
        <v>295507.76553065458</v>
      </c>
      <c r="L308" s="25">
        <f ca="1">IF(PaymentSchedule33[[#This Row],[Payment Number]]&lt;&gt;"",SUM(INDEX(PaymentSchedule33[Principal],1,1):PaymentSchedule33[[#This Row],[Principal]]),"")</f>
        <v>231047.14394137729</v>
      </c>
      <c r="M308" s="25">
        <f ca="1">PaymentSchedule3[[#This Row],[Total
Payment]]-PaymentSchedule33[[#This Row],[Total
Payment]]</f>
        <v>427.19889995542212</v>
      </c>
      <c r="N308" s="25">
        <f ca="1">PaymentSchedule3[[#This Row],[Interest]]-PaymentSchedule33[[#This Row],[Interest]]</f>
        <v>276.82776151086256</v>
      </c>
      <c r="O308" s="25">
        <f ca="1">PaymentSchedule3[[#This Row],[Cumulative
Interest]]-PaymentSchedule33[[#This Row],[Cumulative
Interest]]</f>
        <v>143955.37335283571</v>
      </c>
    </row>
    <row r="309" spans="2:15" x14ac:dyDescent="0.25">
      <c r="B309" s="23">
        <f ca="1">IF(LoanIsGood,IF(ROW()-ROW(PaymentSchedule33[[#Headers],[Payment Number]])&gt;ScheduledNumberOfPayments,"",ROW()-ROW(PaymentSchedule33[[#Headers],[Payment Number]])),"")</f>
        <v>296</v>
      </c>
      <c r="C309" s="24">
        <f ca="1">IF(PaymentSchedule33[[#This Row],[Payment Number]]&lt;&gt;"",EOMONTH(LoanStartDate,ROW(PaymentSchedule33[[#This Row],[Payment Number]])-ROW(PaymentSchedule33[[#Headers],[Payment Number]])-2)+DAY(LoanStartDate),"")</f>
        <v>54447</v>
      </c>
      <c r="D309" s="25">
        <f ca="1">IF(PaymentSchedule33[[#This Row],[Payment Number]]&lt;&gt;"",IF(ROW()-ROW(PaymentSchedule33[[#Headers],[Beginning
Balance]])=1,LoanAmount,INDEX(PaymentSchedule33[Ending
Balance],ROW()-ROW(PaymentSchedule33[[#Headers],[Beginning
Balance]])-1)),"")</f>
        <v>101452.85605862249</v>
      </c>
      <c r="E309" s="25">
        <f ca="1">IF(PaymentSchedule33[[#This Row],[Payment Number]]&lt;&gt;"",ScheduledPayment,"")</f>
        <v>1784.9318965153623</v>
      </c>
      <c r="F30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0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09" s="25">
        <f ca="1">IF(PaymentSchedule33[[#This Row],[Payment Number]]&lt;&gt;"",PaymentSchedule33[[#This Row],[Total
Payment]]-PaymentSchedule33[[#This Row],[Interest]],"")</f>
        <v>1362.2116629377686</v>
      </c>
      <c r="I309" s="25">
        <f ca="1">IF(PaymentSchedule33[[#This Row],[Payment Number]]&lt;&gt;"",PaymentSchedule33[[#This Row],[Beginning
Balance]]*(InterestRate/PaymentsPerYear),"")</f>
        <v>422.72023357759372</v>
      </c>
      <c r="J309" s="25">
        <f ca="1">IF(PaymentSchedule33[[#This Row],[Payment Number]]&lt;&gt;"",IF(PaymentSchedule33[[#This Row],[Scheduled Payment]]+PaymentSchedule33[[#This Row],[Extra
Payment]]&lt;=PaymentSchedule33[[#This Row],[Beginning
Balance]],PaymentSchedule33[[#This Row],[Beginning
Balance]]-PaymentSchedule33[[#This Row],[Principal]],0),"")</f>
        <v>100090.64439568472</v>
      </c>
      <c r="K309" s="25">
        <f ca="1">IF(PaymentSchedule33[[#This Row],[Payment Number]]&lt;&gt;"",SUM(INDEX(PaymentSchedule33[Interest],1,1):PaymentSchedule33[[#This Row],[Interest]]),"")</f>
        <v>295930.48576423217</v>
      </c>
      <c r="L309" s="25">
        <f ca="1">IF(PaymentSchedule33[[#This Row],[Payment Number]]&lt;&gt;"",SUM(INDEX(PaymentSchedule33[Principal],1,1):PaymentSchedule33[[#This Row],[Principal]]),"")</f>
        <v>232409.35560431506</v>
      </c>
      <c r="M309" s="25">
        <f ca="1">PaymentSchedule3[[#This Row],[Total
Payment]]-PaymentSchedule33[[#This Row],[Total
Payment]]</f>
        <v>427.19889995542212</v>
      </c>
      <c r="N309" s="25">
        <f ca="1">PaymentSchedule3[[#This Row],[Interest]]-PaymentSchedule33[[#This Row],[Interest]]</f>
        <v>273.68966431595891</v>
      </c>
      <c r="O309" s="25">
        <f ca="1">PaymentSchedule3[[#This Row],[Cumulative
Interest]]-PaymentSchedule33[[#This Row],[Cumulative
Interest]]</f>
        <v>144229.06301715167</v>
      </c>
    </row>
    <row r="310" spans="2:15" x14ac:dyDescent="0.25">
      <c r="B310" s="23">
        <f ca="1">IF(LoanIsGood,IF(ROW()-ROW(PaymentSchedule33[[#Headers],[Payment Number]])&gt;ScheduledNumberOfPayments,"",ROW()-ROW(PaymentSchedule33[[#Headers],[Payment Number]])),"")</f>
        <v>297</v>
      </c>
      <c r="C310" s="24">
        <f ca="1">IF(PaymentSchedule33[[#This Row],[Payment Number]]&lt;&gt;"",EOMONTH(LoanStartDate,ROW(PaymentSchedule33[[#This Row],[Payment Number]])-ROW(PaymentSchedule33[[#Headers],[Payment Number]])-2)+DAY(LoanStartDate),"")</f>
        <v>54478</v>
      </c>
      <c r="D310" s="25">
        <f ca="1">IF(PaymentSchedule33[[#This Row],[Payment Number]]&lt;&gt;"",IF(ROW()-ROW(PaymentSchedule33[[#Headers],[Beginning
Balance]])=1,LoanAmount,INDEX(PaymentSchedule33[Ending
Balance],ROW()-ROW(PaymentSchedule33[[#Headers],[Beginning
Balance]])-1)),"")</f>
        <v>100090.64439568472</v>
      </c>
      <c r="E310" s="25">
        <f ca="1">IF(PaymentSchedule33[[#This Row],[Payment Number]]&lt;&gt;"",ScheduledPayment,"")</f>
        <v>1784.9318965153623</v>
      </c>
      <c r="F31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0" s="25">
        <f ca="1">IF(PaymentSchedule33[[#This Row],[Payment Number]]&lt;&gt;"",PaymentSchedule33[[#This Row],[Total
Payment]]-PaymentSchedule33[[#This Row],[Interest]],"")</f>
        <v>1367.8875448666759</v>
      </c>
      <c r="I310" s="25">
        <f ca="1">IF(PaymentSchedule33[[#This Row],[Payment Number]]&lt;&gt;"",PaymentSchedule33[[#This Row],[Beginning
Balance]]*(InterestRate/PaymentsPerYear),"")</f>
        <v>417.04435164868636</v>
      </c>
      <c r="J310" s="25">
        <f ca="1">IF(PaymentSchedule33[[#This Row],[Payment Number]]&lt;&gt;"",IF(PaymentSchedule33[[#This Row],[Scheduled Payment]]+PaymentSchedule33[[#This Row],[Extra
Payment]]&lt;=PaymentSchedule33[[#This Row],[Beginning
Balance]],PaymentSchedule33[[#This Row],[Beginning
Balance]]-PaymentSchedule33[[#This Row],[Principal]],0),"")</f>
        <v>98722.756850818041</v>
      </c>
      <c r="K310" s="25">
        <f ca="1">IF(PaymentSchedule33[[#This Row],[Payment Number]]&lt;&gt;"",SUM(INDEX(PaymentSchedule33[Interest],1,1):PaymentSchedule33[[#This Row],[Interest]]),"")</f>
        <v>296347.53011588089</v>
      </c>
      <c r="L310" s="25">
        <f ca="1">IF(PaymentSchedule33[[#This Row],[Payment Number]]&lt;&gt;"",SUM(INDEX(PaymentSchedule33[Principal],1,1):PaymentSchedule33[[#This Row],[Principal]]),"")</f>
        <v>233777.24314918174</v>
      </c>
      <c r="M310" s="25">
        <f ca="1">PaymentSchedule3[[#This Row],[Total
Payment]]-PaymentSchedule33[[#This Row],[Total
Payment]]</f>
        <v>427.19889995542212</v>
      </c>
      <c r="N310" s="25">
        <f ca="1">PaymentSchedule3[[#This Row],[Interest]]-PaymentSchedule33[[#This Row],[Interest]]</f>
        <v>270.52384100316573</v>
      </c>
      <c r="O310" s="25">
        <f ca="1">PaymentSchedule3[[#This Row],[Cumulative
Interest]]-PaymentSchedule33[[#This Row],[Cumulative
Interest]]</f>
        <v>144499.5868581548</v>
      </c>
    </row>
    <row r="311" spans="2:15" x14ac:dyDescent="0.25">
      <c r="B311" s="23">
        <f ca="1">IF(LoanIsGood,IF(ROW()-ROW(PaymentSchedule33[[#Headers],[Payment Number]])&gt;ScheduledNumberOfPayments,"",ROW()-ROW(PaymentSchedule33[[#Headers],[Payment Number]])),"")</f>
        <v>298</v>
      </c>
      <c r="C311" s="24">
        <f ca="1">IF(PaymentSchedule33[[#This Row],[Payment Number]]&lt;&gt;"",EOMONTH(LoanStartDate,ROW(PaymentSchedule33[[#This Row],[Payment Number]])-ROW(PaymentSchedule33[[#Headers],[Payment Number]])-2)+DAY(LoanStartDate),"")</f>
        <v>54506</v>
      </c>
      <c r="D311" s="25">
        <f ca="1">IF(PaymentSchedule33[[#This Row],[Payment Number]]&lt;&gt;"",IF(ROW()-ROW(PaymentSchedule33[[#Headers],[Beginning
Balance]])=1,LoanAmount,INDEX(PaymentSchedule33[Ending
Balance],ROW()-ROW(PaymentSchedule33[[#Headers],[Beginning
Balance]])-1)),"")</f>
        <v>98722.756850818041</v>
      </c>
      <c r="E311" s="25">
        <f ca="1">IF(PaymentSchedule33[[#This Row],[Payment Number]]&lt;&gt;"",ScheduledPayment,"")</f>
        <v>1784.9318965153623</v>
      </c>
      <c r="F31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1" s="25">
        <f ca="1">IF(PaymentSchedule33[[#This Row],[Payment Number]]&lt;&gt;"",PaymentSchedule33[[#This Row],[Total
Payment]]-PaymentSchedule33[[#This Row],[Interest]],"")</f>
        <v>1373.5870763036205</v>
      </c>
      <c r="I311" s="25">
        <f ca="1">IF(PaymentSchedule33[[#This Row],[Payment Number]]&lt;&gt;"",PaymentSchedule33[[#This Row],[Beginning
Balance]]*(InterestRate/PaymentsPerYear),"")</f>
        <v>411.34482021174182</v>
      </c>
      <c r="J311" s="25">
        <f ca="1">IF(PaymentSchedule33[[#This Row],[Payment Number]]&lt;&gt;"",IF(PaymentSchedule33[[#This Row],[Scheduled Payment]]+PaymentSchedule33[[#This Row],[Extra
Payment]]&lt;=PaymentSchedule33[[#This Row],[Beginning
Balance]],PaymentSchedule33[[#This Row],[Beginning
Balance]]-PaymentSchedule33[[#This Row],[Principal]],0),"")</f>
        <v>97349.169774514419</v>
      </c>
      <c r="K311" s="25">
        <f ca="1">IF(PaymentSchedule33[[#This Row],[Payment Number]]&lt;&gt;"",SUM(INDEX(PaymentSchedule33[Interest],1,1):PaymentSchedule33[[#This Row],[Interest]]),"")</f>
        <v>296758.87493609264</v>
      </c>
      <c r="L311" s="25">
        <f ca="1">IF(PaymentSchedule33[[#This Row],[Payment Number]]&lt;&gt;"",SUM(INDEX(PaymentSchedule33[Principal],1,1):PaymentSchedule33[[#This Row],[Principal]]),"")</f>
        <v>235150.83022548535</v>
      </c>
      <c r="M311" s="25">
        <f ca="1">PaymentSchedule3[[#This Row],[Total
Payment]]-PaymentSchedule33[[#This Row],[Total
Payment]]</f>
        <v>427.19889995542212</v>
      </c>
      <c r="N311" s="25">
        <f ca="1">PaymentSchedule3[[#This Row],[Interest]]-PaymentSchedule33[[#This Row],[Interest]]</f>
        <v>267.33009058449983</v>
      </c>
      <c r="O311" s="25">
        <f ca="1">PaymentSchedule3[[#This Row],[Cumulative
Interest]]-PaymentSchedule33[[#This Row],[Cumulative
Interest]]</f>
        <v>144766.91694873926</v>
      </c>
    </row>
    <row r="312" spans="2:15" x14ac:dyDescent="0.25">
      <c r="B312" s="23">
        <f ca="1">IF(LoanIsGood,IF(ROW()-ROW(PaymentSchedule33[[#Headers],[Payment Number]])&gt;ScheduledNumberOfPayments,"",ROW()-ROW(PaymentSchedule33[[#Headers],[Payment Number]])),"")</f>
        <v>299</v>
      </c>
      <c r="C312" s="24">
        <f ca="1">IF(PaymentSchedule33[[#This Row],[Payment Number]]&lt;&gt;"",EOMONTH(LoanStartDate,ROW(PaymentSchedule33[[#This Row],[Payment Number]])-ROW(PaymentSchedule33[[#Headers],[Payment Number]])-2)+DAY(LoanStartDate),"")</f>
        <v>54537</v>
      </c>
      <c r="D312" s="25">
        <f ca="1">IF(PaymentSchedule33[[#This Row],[Payment Number]]&lt;&gt;"",IF(ROW()-ROW(PaymentSchedule33[[#Headers],[Beginning
Balance]])=1,LoanAmount,INDEX(PaymentSchedule33[Ending
Balance],ROW()-ROW(PaymentSchedule33[[#Headers],[Beginning
Balance]])-1)),"")</f>
        <v>97349.169774514419</v>
      </c>
      <c r="E312" s="25">
        <f ca="1">IF(PaymentSchedule33[[#This Row],[Payment Number]]&lt;&gt;"",ScheduledPayment,"")</f>
        <v>1784.9318965153623</v>
      </c>
      <c r="F31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2" s="25">
        <f ca="1">IF(PaymentSchedule33[[#This Row],[Payment Number]]&lt;&gt;"",PaymentSchedule33[[#This Row],[Total
Payment]]-PaymentSchedule33[[#This Row],[Interest]],"")</f>
        <v>1379.3103557882189</v>
      </c>
      <c r="I312" s="25">
        <f ca="1">IF(PaymentSchedule33[[#This Row],[Payment Number]]&lt;&gt;"",PaymentSchedule33[[#This Row],[Beginning
Balance]]*(InterestRate/PaymentsPerYear),"")</f>
        <v>405.62154072714338</v>
      </c>
      <c r="J312" s="25">
        <f ca="1">IF(PaymentSchedule33[[#This Row],[Payment Number]]&lt;&gt;"",IF(PaymentSchedule33[[#This Row],[Scheduled Payment]]+PaymentSchedule33[[#This Row],[Extra
Payment]]&lt;=PaymentSchedule33[[#This Row],[Beginning
Balance]],PaymentSchedule33[[#This Row],[Beginning
Balance]]-PaymentSchedule33[[#This Row],[Principal]],0),"")</f>
        <v>95969.859418726206</v>
      </c>
      <c r="K312" s="25">
        <f ca="1">IF(PaymentSchedule33[[#This Row],[Payment Number]]&lt;&gt;"",SUM(INDEX(PaymentSchedule33[Interest],1,1):PaymentSchedule33[[#This Row],[Interest]]),"")</f>
        <v>297164.4964768198</v>
      </c>
      <c r="L312" s="25">
        <f ca="1">IF(PaymentSchedule33[[#This Row],[Payment Number]]&lt;&gt;"",SUM(INDEX(PaymentSchedule33[Principal],1,1):PaymentSchedule33[[#This Row],[Principal]]),"")</f>
        <v>236530.14058127356</v>
      </c>
      <c r="M312" s="25">
        <f ca="1">PaymentSchedule3[[#This Row],[Total
Payment]]-PaymentSchedule33[[#This Row],[Total
Payment]]</f>
        <v>427.19889995542212</v>
      </c>
      <c r="N312" s="25">
        <f ca="1">PaymentSchedule3[[#This Row],[Interest]]-PaymentSchedule33[[#This Row],[Interest]]</f>
        <v>264.10821073599675</v>
      </c>
      <c r="O312" s="25">
        <f ca="1">PaymentSchedule3[[#This Row],[Cumulative
Interest]]-PaymentSchedule33[[#This Row],[Cumulative
Interest]]</f>
        <v>145031.02515947528</v>
      </c>
    </row>
    <row r="313" spans="2:15" x14ac:dyDescent="0.25">
      <c r="B313" s="23">
        <f ca="1">IF(LoanIsGood,IF(ROW()-ROW(PaymentSchedule33[[#Headers],[Payment Number]])&gt;ScheduledNumberOfPayments,"",ROW()-ROW(PaymentSchedule33[[#Headers],[Payment Number]])),"")</f>
        <v>300</v>
      </c>
      <c r="C313" s="24">
        <f ca="1">IF(PaymentSchedule33[[#This Row],[Payment Number]]&lt;&gt;"",EOMONTH(LoanStartDate,ROW(PaymentSchedule33[[#This Row],[Payment Number]])-ROW(PaymentSchedule33[[#Headers],[Payment Number]])-2)+DAY(LoanStartDate),"")</f>
        <v>54567</v>
      </c>
      <c r="D313" s="25">
        <f ca="1">IF(PaymentSchedule33[[#This Row],[Payment Number]]&lt;&gt;"",IF(ROW()-ROW(PaymentSchedule33[[#Headers],[Beginning
Balance]])=1,LoanAmount,INDEX(PaymentSchedule33[Ending
Balance],ROW()-ROW(PaymentSchedule33[[#Headers],[Beginning
Balance]])-1)),"")</f>
        <v>95969.859418726206</v>
      </c>
      <c r="E313" s="25">
        <f ca="1">IF(PaymentSchedule33[[#This Row],[Payment Number]]&lt;&gt;"",ScheduledPayment,"")</f>
        <v>1784.9318965153623</v>
      </c>
      <c r="F31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3" s="25">
        <f ca="1">IF(PaymentSchedule33[[#This Row],[Payment Number]]&lt;&gt;"",PaymentSchedule33[[#This Row],[Total
Payment]]-PaymentSchedule33[[#This Row],[Interest]],"")</f>
        <v>1385.0574822706699</v>
      </c>
      <c r="I313" s="25">
        <f ca="1">IF(PaymentSchedule33[[#This Row],[Payment Number]]&lt;&gt;"",PaymentSchedule33[[#This Row],[Beginning
Balance]]*(InterestRate/PaymentsPerYear),"")</f>
        <v>399.8744142446925</v>
      </c>
      <c r="J313" s="25">
        <f ca="1">IF(PaymentSchedule33[[#This Row],[Payment Number]]&lt;&gt;"",IF(PaymentSchedule33[[#This Row],[Scheduled Payment]]+PaymentSchedule33[[#This Row],[Extra
Payment]]&lt;=PaymentSchedule33[[#This Row],[Beginning
Balance]],PaymentSchedule33[[#This Row],[Beginning
Balance]]-PaymentSchedule33[[#This Row],[Principal]],0),"")</f>
        <v>94584.801936455537</v>
      </c>
      <c r="K313" s="25">
        <f ca="1">IF(PaymentSchedule33[[#This Row],[Payment Number]]&lt;&gt;"",SUM(INDEX(PaymentSchedule33[Interest],1,1):PaymentSchedule33[[#This Row],[Interest]]),"")</f>
        <v>297564.37089106446</v>
      </c>
      <c r="L313" s="25">
        <f ca="1">IF(PaymentSchedule33[[#This Row],[Payment Number]]&lt;&gt;"",SUM(INDEX(PaymentSchedule33[Principal],1,1):PaymentSchedule33[[#This Row],[Principal]]),"")</f>
        <v>237915.19806354423</v>
      </c>
      <c r="M313" s="25">
        <f ca="1">PaymentSchedule3[[#This Row],[Total
Payment]]-PaymentSchedule33[[#This Row],[Total
Payment]]</f>
        <v>427.19889995542212</v>
      </c>
      <c r="N313" s="25">
        <f ca="1">PaymentSchedule3[[#This Row],[Interest]]-PaymentSchedule33[[#This Row],[Interest]]</f>
        <v>260.85799778923638</v>
      </c>
      <c r="O313" s="25">
        <f ca="1">PaymentSchedule3[[#This Row],[Cumulative
Interest]]-PaymentSchedule33[[#This Row],[Cumulative
Interest]]</f>
        <v>145291.88315726456</v>
      </c>
    </row>
    <row r="314" spans="2:15" x14ac:dyDescent="0.25">
      <c r="B314" s="23">
        <f ca="1">IF(LoanIsGood,IF(ROW()-ROW(PaymentSchedule33[[#Headers],[Payment Number]])&gt;ScheduledNumberOfPayments,"",ROW()-ROW(PaymentSchedule33[[#Headers],[Payment Number]])),"")</f>
        <v>301</v>
      </c>
      <c r="C314" s="24">
        <f ca="1">IF(PaymentSchedule33[[#This Row],[Payment Number]]&lt;&gt;"",EOMONTH(LoanStartDate,ROW(PaymentSchedule33[[#This Row],[Payment Number]])-ROW(PaymentSchedule33[[#Headers],[Payment Number]])-2)+DAY(LoanStartDate),"")</f>
        <v>54598</v>
      </c>
      <c r="D314" s="25">
        <f ca="1">IF(PaymentSchedule33[[#This Row],[Payment Number]]&lt;&gt;"",IF(ROW()-ROW(PaymentSchedule33[[#Headers],[Beginning
Balance]])=1,LoanAmount,INDEX(PaymentSchedule33[Ending
Balance],ROW()-ROW(PaymentSchedule33[[#Headers],[Beginning
Balance]])-1)),"")</f>
        <v>94584.801936455537</v>
      </c>
      <c r="E314" s="25">
        <f ca="1">IF(PaymentSchedule33[[#This Row],[Payment Number]]&lt;&gt;"",ScheduledPayment,"")</f>
        <v>1784.9318965153623</v>
      </c>
      <c r="F31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4" s="25">
        <f ca="1">IF(PaymentSchedule33[[#This Row],[Payment Number]]&lt;&gt;"",PaymentSchedule33[[#This Row],[Total
Payment]]-PaymentSchedule33[[#This Row],[Interest]],"")</f>
        <v>1390.8285551134641</v>
      </c>
      <c r="I314" s="25">
        <f ca="1">IF(PaymentSchedule33[[#This Row],[Payment Number]]&lt;&gt;"",PaymentSchedule33[[#This Row],[Beginning
Balance]]*(InterestRate/PaymentsPerYear),"")</f>
        <v>394.10334140189809</v>
      </c>
      <c r="J314" s="25">
        <f ca="1">IF(PaymentSchedule33[[#This Row],[Payment Number]]&lt;&gt;"",IF(PaymentSchedule33[[#This Row],[Scheduled Payment]]+PaymentSchedule33[[#This Row],[Extra
Payment]]&lt;=PaymentSchedule33[[#This Row],[Beginning
Balance]],PaymentSchedule33[[#This Row],[Beginning
Balance]]-PaymentSchedule33[[#This Row],[Principal]],0),"")</f>
        <v>93193.973381342075</v>
      </c>
      <c r="K314" s="25">
        <f ca="1">IF(PaymentSchedule33[[#This Row],[Payment Number]]&lt;&gt;"",SUM(INDEX(PaymentSchedule33[Interest],1,1):PaymentSchedule33[[#This Row],[Interest]]),"")</f>
        <v>297958.47423246637</v>
      </c>
      <c r="L314" s="25">
        <f ca="1">IF(PaymentSchedule33[[#This Row],[Payment Number]]&lt;&gt;"",SUM(INDEX(PaymentSchedule33[Principal],1,1):PaymentSchedule33[[#This Row],[Principal]]),"")</f>
        <v>239306.02661865769</v>
      </c>
      <c r="M314" s="25">
        <f ca="1">PaymentSchedule3[[#This Row],[Total
Payment]]-PaymentSchedule33[[#This Row],[Total
Payment]]</f>
        <v>427.19889995542212</v>
      </c>
      <c r="N314" s="25">
        <f ca="1">PaymentSchedule3[[#This Row],[Interest]]-PaymentSchedule33[[#This Row],[Interest]]</f>
        <v>257.57924672281581</v>
      </c>
      <c r="O314" s="25">
        <f ca="1">PaymentSchedule3[[#This Row],[Cumulative
Interest]]-PaymentSchedule33[[#This Row],[Cumulative
Interest]]</f>
        <v>145549.46240398736</v>
      </c>
    </row>
    <row r="315" spans="2:15" x14ac:dyDescent="0.25">
      <c r="B315" s="23">
        <f ca="1">IF(LoanIsGood,IF(ROW()-ROW(PaymentSchedule33[[#Headers],[Payment Number]])&gt;ScheduledNumberOfPayments,"",ROW()-ROW(PaymentSchedule33[[#Headers],[Payment Number]])),"")</f>
        <v>302</v>
      </c>
      <c r="C315" s="24">
        <f ca="1">IF(PaymentSchedule33[[#This Row],[Payment Number]]&lt;&gt;"",EOMONTH(LoanStartDate,ROW(PaymentSchedule33[[#This Row],[Payment Number]])-ROW(PaymentSchedule33[[#Headers],[Payment Number]])-2)+DAY(LoanStartDate),"")</f>
        <v>54628</v>
      </c>
      <c r="D315" s="25">
        <f ca="1">IF(PaymentSchedule33[[#This Row],[Payment Number]]&lt;&gt;"",IF(ROW()-ROW(PaymentSchedule33[[#Headers],[Beginning
Balance]])=1,LoanAmount,INDEX(PaymentSchedule33[Ending
Balance],ROW()-ROW(PaymentSchedule33[[#Headers],[Beginning
Balance]])-1)),"")</f>
        <v>93193.973381342075</v>
      </c>
      <c r="E315" s="25">
        <f ca="1">IF(PaymentSchedule33[[#This Row],[Payment Number]]&lt;&gt;"",ScheduledPayment,"")</f>
        <v>1784.9318965153623</v>
      </c>
      <c r="F31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5" s="25">
        <f ca="1">IF(PaymentSchedule33[[#This Row],[Payment Number]]&lt;&gt;"",PaymentSchedule33[[#This Row],[Total
Payment]]-PaymentSchedule33[[#This Row],[Interest]],"")</f>
        <v>1396.6236740931035</v>
      </c>
      <c r="I315" s="25">
        <f ca="1">IF(PaymentSchedule33[[#This Row],[Payment Number]]&lt;&gt;"",PaymentSchedule33[[#This Row],[Beginning
Balance]]*(InterestRate/PaymentsPerYear),"")</f>
        <v>388.30822242225867</v>
      </c>
      <c r="J315" s="25">
        <f ca="1">IF(PaymentSchedule33[[#This Row],[Payment Number]]&lt;&gt;"",IF(PaymentSchedule33[[#This Row],[Scheduled Payment]]+PaymentSchedule33[[#This Row],[Extra
Payment]]&lt;=PaymentSchedule33[[#This Row],[Beginning
Balance]],PaymentSchedule33[[#This Row],[Beginning
Balance]]-PaymentSchedule33[[#This Row],[Principal]],0),"")</f>
        <v>91797.34970724897</v>
      </c>
      <c r="K315" s="25">
        <f ca="1">IF(PaymentSchedule33[[#This Row],[Payment Number]]&lt;&gt;"",SUM(INDEX(PaymentSchedule33[Interest],1,1):PaymentSchedule33[[#This Row],[Interest]]),"")</f>
        <v>298346.78245488863</v>
      </c>
      <c r="L315" s="25">
        <f ca="1">IF(PaymentSchedule33[[#This Row],[Payment Number]]&lt;&gt;"",SUM(INDEX(PaymentSchedule33[Principal],1,1):PaymentSchedule33[[#This Row],[Principal]]),"")</f>
        <v>240702.6502927508</v>
      </c>
      <c r="M315" s="25">
        <f ca="1">PaymentSchedule3[[#This Row],[Total
Payment]]-PaymentSchedule33[[#This Row],[Total
Payment]]</f>
        <v>427.19889995542212</v>
      </c>
      <c r="N315" s="25">
        <f ca="1">PaymentSchedule3[[#This Row],[Interest]]-PaymentSchedule33[[#This Row],[Interest]]</f>
        <v>254.2717511537698</v>
      </c>
      <c r="O315" s="25">
        <f ca="1">PaymentSchedule3[[#This Row],[Cumulative
Interest]]-PaymentSchedule33[[#This Row],[Cumulative
Interest]]</f>
        <v>145803.73415514111</v>
      </c>
    </row>
    <row r="316" spans="2:15" x14ac:dyDescent="0.25">
      <c r="B316" s="23">
        <f ca="1">IF(LoanIsGood,IF(ROW()-ROW(PaymentSchedule33[[#Headers],[Payment Number]])&gt;ScheduledNumberOfPayments,"",ROW()-ROW(PaymentSchedule33[[#Headers],[Payment Number]])),"")</f>
        <v>303</v>
      </c>
      <c r="C316" s="24">
        <f ca="1">IF(PaymentSchedule33[[#This Row],[Payment Number]]&lt;&gt;"",EOMONTH(LoanStartDate,ROW(PaymentSchedule33[[#This Row],[Payment Number]])-ROW(PaymentSchedule33[[#Headers],[Payment Number]])-2)+DAY(LoanStartDate),"")</f>
        <v>54659</v>
      </c>
      <c r="D316" s="25">
        <f ca="1">IF(PaymentSchedule33[[#This Row],[Payment Number]]&lt;&gt;"",IF(ROW()-ROW(PaymentSchedule33[[#Headers],[Beginning
Balance]])=1,LoanAmount,INDEX(PaymentSchedule33[Ending
Balance],ROW()-ROW(PaymentSchedule33[[#Headers],[Beginning
Balance]])-1)),"")</f>
        <v>91797.34970724897</v>
      </c>
      <c r="E316" s="25">
        <f ca="1">IF(PaymentSchedule33[[#This Row],[Payment Number]]&lt;&gt;"",ScheduledPayment,"")</f>
        <v>1784.9318965153623</v>
      </c>
      <c r="F31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6" s="25">
        <f ca="1">IF(PaymentSchedule33[[#This Row],[Payment Number]]&lt;&gt;"",PaymentSchedule33[[#This Row],[Total
Payment]]-PaymentSchedule33[[#This Row],[Interest]],"")</f>
        <v>1402.4429394018248</v>
      </c>
      <c r="I316" s="25">
        <f ca="1">IF(PaymentSchedule33[[#This Row],[Payment Number]]&lt;&gt;"",PaymentSchedule33[[#This Row],[Beginning
Balance]]*(InterestRate/PaymentsPerYear),"")</f>
        <v>382.48895711353737</v>
      </c>
      <c r="J316" s="25">
        <f ca="1">IF(PaymentSchedule33[[#This Row],[Payment Number]]&lt;&gt;"",IF(PaymentSchedule33[[#This Row],[Scheduled Payment]]+PaymentSchedule33[[#This Row],[Extra
Payment]]&lt;=PaymentSchedule33[[#This Row],[Beginning
Balance]],PaymentSchedule33[[#This Row],[Beginning
Balance]]-PaymentSchedule33[[#This Row],[Principal]],0),"")</f>
        <v>90394.906767847147</v>
      </c>
      <c r="K316" s="25">
        <f ca="1">IF(PaymentSchedule33[[#This Row],[Payment Number]]&lt;&gt;"",SUM(INDEX(PaymentSchedule33[Interest],1,1):PaymentSchedule33[[#This Row],[Interest]]),"")</f>
        <v>298729.27141200216</v>
      </c>
      <c r="L316" s="25">
        <f ca="1">IF(PaymentSchedule33[[#This Row],[Payment Number]]&lt;&gt;"",SUM(INDEX(PaymentSchedule33[Principal],1,1):PaymentSchedule33[[#This Row],[Principal]]),"")</f>
        <v>242105.09323215263</v>
      </c>
      <c r="M316" s="25">
        <f ca="1">PaymentSchedule3[[#This Row],[Total
Payment]]-PaymentSchedule33[[#This Row],[Total
Payment]]</f>
        <v>427.19889995542212</v>
      </c>
      <c r="N316" s="25">
        <f ca="1">PaymentSchedule3[[#This Row],[Interest]]-PaymentSchedule33[[#This Row],[Interest]]</f>
        <v>250.9353033289384</v>
      </c>
      <c r="O316" s="25">
        <f ca="1">PaymentSchedule3[[#This Row],[Cumulative
Interest]]-PaymentSchedule33[[#This Row],[Cumulative
Interest]]</f>
        <v>146054.66945847007</v>
      </c>
    </row>
    <row r="317" spans="2:15" x14ac:dyDescent="0.25">
      <c r="B317" s="23">
        <f ca="1">IF(LoanIsGood,IF(ROW()-ROW(PaymentSchedule33[[#Headers],[Payment Number]])&gt;ScheduledNumberOfPayments,"",ROW()-ROW(PaymentSchedule33[[#Headers],[Payment Number]])),"")</f>
        <v>304</v>
      </c>
      <c r="C317" s="24">
        <f ca="1">IF(PaymentSchedule33[[#This Row],[Payment Number]]&lt;&gt;"",EOMONTH(LoanStartDate,ROW(PaymentSchedule33[[#This Row],[Payment Number]])-ROW(PaymentSchedule33[[#Headers],[Payment Number]])-2)+DAY(LoanStartDate),"")</f>
        <v>54690</v>
      </c>
      <c r="D317" s="25">
        <f ca="1">IF(PaymentSchedule33[[#This Row],[Payment Number]]&lt;&gt;"",IF(ROW()-ROW(PaymentSchedule33[[#Headers],[Beginning
Balance]])=1,LoanAmount,INDEX(PaymentSchedule33[Ending
Balance],ROW()-ROW(PaymentSchedule33[[#Headers],[Beginning
Balance]])-1)),"")</f>
        <v>90394.906767847147</v>
      </c>
      <c r="E317" s="25">
        <f ca="1">IF(PaymentSchedule33[[#This Row],[Payment Number]]&lt;&gt;"",ScheduledPayment,"")</f>
        <v>1784.9318965153623</v>
      </c>
      <c r="F31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7" s="25">
        <f ca="1">IF(PaymentSchedule33[[#This Row],[Payment Number]]&lt;&gt;"",PaymentSchedule33[[#This Row],[Total
Payment]]-PaymentSchedule33[[#This Row],[Interest]],"")</f>
        <v>1408.2864516493325</v>
      </c>
      <c r="I317" s="25">
        <f ca="1">IF(PaymentSchedule33[[#This Row],[Payment Number]]&lt;&gt;"",PaymentSchedule33[[#This Row],[Beginning
Balance]]*(InterestRate/PaymentsPerYear),"")</f>
        <v>376.64544486602978</v>
      </c>
      <c r="J317" s="25">
        <f ca="1">IF(PaymentSchedule33[[#This Row],[Payment Number]]&lt;&gt;"",IF(PaymentSchedule33[[#This Row],[Scheduled Payment]]+PaymentSchedule33[[#This Row],[Extra
Payment]]&lt;=PaymentSchedule33[[#This Row],[Beginning
Balance]],PaymentSchedule33[[#This Row],[Beginning
Balance]]-PaymentSchedule33[[#This Row],[Principal]],0),"")</f>
        <v>88986.620316197819</v>
      </c>
      <c r="K317" s="25">
        <f ca="1">IF(PaymentSchedule33[[#This Row],[Payment Number]]&lt;&gt;"",SUM(INDEX(PaymentSchedule33[Interest],1,1):PaymentSchedule33[[#This Row],[Interest]]),"")</f>
        <v>299105.91685686819</v>
      </c>
      <c r="L317" s="25">
        <f ca="1">IF(PaymentSchedule33[[#This Row],[Payment Number]]&lt;&gt;"",SUM(INDEX(PaymentSchedule33[Principal],1,1):PaymentSchedule33[[#This Row],[Principal]]),"")</f>
        <v>243513.37968380196</v>
      </c>
      <c r="M317" s="25">
        <f ca="1">PaymentSchedule3[[#This Row],[Total
Payment]]-PaymentSchedule33[[#This Row],[Total
Payment]]</f>
        <v>427.19889995542212</v>
      </c>
      <c r="N317" s="25">
        <f ca="1">PaymentSchedule3[[#This Row],[Interest]]-PaymentSchedule33[[#This Row],[Interest]]</f>
        <v>247.5696941162808</v>
      </c>
      <c r="O317" s="25">
        <f ca="1">PaymentSchedule3[[#This Row],[Cumulative
Interest]]-PaymentSchedule33[[#This Row],[Cumulative
Interest]]</f>
        <v>146302.23915258632</v>
      </c>
    </row>
    <row r="318" spans="2:15" x14ac:dyDescent="0.25">
      <c r="B318" s="23">
        <f ca="1">IF(LoanIsGood,IF(ROW()-ROW(PaymentSchedule33[[#Headers],[Payment Number]])&gt;ScheduledNumberOfPayments,"",ROW()-ROW(PaymentSchedule33[[#Headers],[Payment Number]])),"")</f>
        <v>305</v>
      </c>
      <c r="C318" s="24">
        <f ca="1">IF(PaymentSchedule33[[#This Row],[Payment Number]]&lt;&gt;"",EOMONTH(LoanStartDate,ROW(PaymentSchedule33[[#This Row],[Payment Number]])-ROW(PaymentSchedule33[[#Headers],[Payment Number]])-2)+DAY(LoanStartDate),"")</f>
        <v>54720</v>
      </c>
      <c r="D318" s="25">
        <f ca="1">IF(PaymentSchedule33[[#This Row],[Payment Number]]&lt;&gt;"",IF(ROW()-ROW(PaymentSchedule33[[#Headers],[Beginning
Balance]])=1,LoanAmount,INDEX(PaymentSchedule33[Ending
Balance],ROW()-ROW(PaymentSchedule33[[#Headers],[Beginning
Balance]])-1)),"")</f>
        <v>88986.620316197819</v>
      </c>
      <c r="E318" s="25">
        <f ca="1">IF(PaymentSchedule33[[#This Row],[Payment Number]]&lt;&gt;"",ScheduledPayment,"")</f>
        <v>1784.9318965153623</v>
      </c>
      <c r="F31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8" s="25">
        <f ca="1">IF(PaymentSchedule33[[#This Row],[Payment Number]]&lt;&gt;"",PaymentSchedule33[[#This Row],[Total
Payment]]-PaymentSchedule33[[#This Row],[Interest]],"")</f>
        <v>1414.1543118645382</v>
      </c>
      <c r="I318" s="25">
        <f ca="1">IF(PaymentSchedule33[[#This Row],[Payment Number]]&lt;&gt;"",PaymentSchedule33[[#This Row],[Beginning
Balance]]*(InterestRate/PaymentsPerYear),"")</f>
        <v>370.77758465082422</v>
      </c>
      <c r="J318" s="25">
        <f ca="1">IF(PaymentSchedule33[[#This Row],[Payment Number]]&lt;&gt;"",IF(PaymentSchedule33[[#This Row],[Scheduled Payment]]+PaymentSchedule33[[#This Row],[Extra
Payment]]&lt;=PaymentSchedule33[[#This Row],[Beginning
Balance]],PaymentSchedule33[[#This Row],[Beginning
Balance]]-PaymentSchedule33[[#This Row],[Principal]],0),"")</f>
        <v>87572.466004333284</v>
      </c>
      <c r="K318" s="25">
        <f ca="1">IF(PaymentSchedule33[[#This Row],[Payment Number]]&lt;&gt;"",SUM(INDEX(PaymentSchedule33[Interest],1,1):PaymentSchedule33[[#This Row],[Interest]]),"")</f>
        <v>299476.69444151904</v>
      </c>
      <c r="L318" s="25">
        <f ca="1">IF(PaymentSchedule33[[#This Row],[Payment Number]]&lt;&gt;"",SUM(INDEX(PaymentSchedule33[Principal],1,1):PaymentSchedule33[[#This Row],[Principal]]),"")</f>
        <v>244927.53399566651</v>
      </c>
      <c r="M318" s="25">
        <f ca="1">PaymentSchedule3[[#This Row],[Total
Payment]]-PaymentSchedule33[[#This Row],[Total
Payment]]</f>
        <v>427.19889995542212</v>
      </c>
      <c r="N318" s="25">
        <f ca="1">PaymentSchedule3[[#This Row],[Interest]]-PaymentSchedule33[[#This Row],[Interest]]</f>
        <v>244.17471299613692</v>
      </c>
      <c r="O318" s="25">
        <f ca="1">PaymentSchedule3[[#This Row],[Cumulative
Interest]]-PaymentSchedule33[[#This Row],[Cumulative
Interest]]</f>
        <v>146546.41386558244</v>
      </c>
    </row>
    <row r="319" spans="2:15" x14ac:dyDescent="0.25">
      <c r="B319" s="23">
        <f ca="1">IF(LoanIsGood,IF(ROW()-ROW(PaymentSchedule33[[#Headers],[Payment Number]])&gt;ScheduledNumberOfPayments,"",ROW()-ROW(PaymentSchedule33[[#Headers],[Payment Number]])),"")</f>
        <v>306</v>
      </c>
      <c r="C319" s="24">
        <f ca="1">IF(PaymentSchedule33[[#This Row],[Payment Number]]&lt;&gt;"",EOMONTH(LoanStartDate,ROW(PaymentSchedule33[[#This Row],[Payment Number]])-ROW(PaymentSchedule33[[#Headers],[Payment Number]])-2)+DAY(LoanStartDate),"")</f>
        <v>54751</v>
      </c>
      <c r="D319" s="25">
        <f ca="1">IF(PaymentSchedule33[[#This Row],[Payment Number]]&lt;&gt;"",IF(ROW()-ROW(PaymentSchedule33[[#Headers],[Beginning
Balance]])=1,LoanAmount,INDEX(PaymentSchedule33[Ending
Balance],ROW()-ROW(PaymentSchedule33[[#Headers],[Beginning
Balance]])-1)),"")</f>
        <v>87572.466004333284</v>
      </c>
      <c r="E319" s="25">
        <f ca="1">IF(PaymentSchedule33[[#This Row],[Payment Number]]&lt;&gt;"",ScheduledPayment,"")</f>
        <v>1784.9318965153623</v>
      </c>
      <c r="F31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1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19" s="25">
        <f ca="1">IF(PaymentSchedule33[[#This Row],[Payment Number]]&lt;&gt;"",PaymentSchedule33[[#This Row],[Total
Payment]]-PaymentSchedule33[[#This Row],[Interest]],"")</f>
        <v>1420.0466214973069</v>
      </c>
      <c r="I319" s="25">
        <f ca="1">IF(PaymentSchedule33[[#This Row],[Payment Number]]&lt;&gt;"",PaymentSchedule33[[#This Row],[Beginning
Balance]]*(InterestRate/PaymentsPerYear),"")</f>
        <v>364.88527501805532</v>
      </c>
      <c r="J319" s="25">
        <f ca="1">IF(PaymentSchedule33[[#This Row],[Payment Number]]&lt;&gt;"",IF(PaymentSchedule33[[#This Row],[Scheduled Payment]]+PaymentSchedule33[[#This Row],[Extra
Payment]]&lt;=PaymentSchedule33[[#This Row],[Beginning
Balance]],PaymentSchedule33[[#This Row],[Beginning
Balance]]-PaymentSchedule33[[#This Row],[Principal]],0),"")</f>
        <v>86152.419382835971</v>
      </c>
      <c r="K319" s="25">
        <f ca="1">IF(PaymentSchedule33[[#This Row],[Payment Number]]&lt;&gt;"",SUM(INDEX(PaymentSchedule33[Interest],1,1):PaymentSchedule33[[#This Row],[Interest]]),"")</f>
        <v>299841.57971653709</v>
      </c>
      <c r="L319" s="25">
        <f ca="1">IF(PaymentSchedule33[[#This Row],[Payment Number]]&lt;&gt;"",SUM(INDEX(PaymentSchedule33[Principal],1,1):PaymentSchedule33[[#This Row],[Principal]]),"")</f>
        <v>246347.58061716383</v>
      </c>
      <c r="M319" s="25">
        <f ca="1">PaymentSchedule3[[#This Row],[Total
Payment]]-PaymentSchedule33[[#This Row],[Total
Payment]]</f>
        <v>427.19889995542212</v>
      </c>
      <c r="N319" s="25">
        <f ca="1">PaymentSchedule3[[#This Row],[Interest]]-PaymentSchedule33[[#This Row],[Interest]]</f>
        <v>240.75014805243353</v>
      </c>
      <c r="O319" s="25">
        <f ca="1">PaymentSchedule3[[#This Row],[Cumulative
Interest]]-PaymentSchedule33[[#This Row],[Cumulative
Interest]]</f>
        <v>146787.16401363484</v>
      </c>
    </row>
    <row r="320" spans="2:15" x14ac:dyDescent="0.25">
      <c r="B320" s="23">
        <f ca="1">IF(LoanIsGood,IF(ROW()-ROW(PaymentSchedule33[[#Headers],[Payment Number]])&gt;ScheduledNumberOfPayments,"",ROW()-ROW(PaymentSchedule33[[#Headers],[Payment Number]])),"")</f>
        <v>307</v>
      </c>
      <c r="C320" s="24">
        <f ca="1">IF(PaymentSchedule33[[#This Row],[Payment Number]]&lt;&gt;"",EOMONTH(LoanStartDate,ROW(PaymentSchedule33[[#This Row],[Payment Number]])-ROW(PaymentSchedule33[[#Headers],[Payment Number]])-2)+DAY(LoanStartDate),"")</f>
        <v>54781</v>
      </c>
      <c r="D320" s="25">
        <f ca="1">IF(PaymentSchedule33[[#This Row],[Payment Number]]&lt;&gt;"",IF(ROW()-ROW(PaymentSchedule33[[#Headers],[Beginning
Balance]])=1,LoanAmount,INDEX(PaymentSchedule33[Ending
Balance],ROW()-ROW(PaymentSchedule33[[#Headers],[Beginning
Balance]])-1)),"")</f>
        <v>86152.419382835971</v>
      </c>
      <c r="E320" s="25">
        <f ca="1">IF(PaymentSchedule33[[#This Row],[Payment Number]]&lt;&gt;"",ScheduledPayment,"")</f>
        <v>1784.9318965153623</v>
      </c>
      <c r="F32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0" s="25">
        <f ca="1">IF(PaymentSchedule33[[#This Row],[Payment Number]]&lt;&gt;"",PaymentSchedule33[[#This Row],[Total
Payment]]-PaymentSchedule33[[#This Row],[Interest]],"")</f>
        <v>1425.9634824202124</v>
      </c>
      <c r="I320" s="25">
        <f ca="1">IF(PaymentSchedule33[[#This Row],[Payment Number]]&lt;&gt;"",PaymentSchedule33[[#This Row],[Beginning
Balance]]*(InterestRate/PaymentsPerYear),"")</f>
        <v>358.96841409514985</v>
      </c>
      <c r="J320" s="25">
        <f ca="1">IF(PaymentSchedule33[[#This Row],[Payment Number]]&lt;&gt;"",IF(PaymentSchedule33[[#This Row],[Scheduled Payment]]+PaymentSchedule33[[#This Row],[Extra
Payment]]&lt;=PaymentSchedule33[[#This Row],[Beginning
Balance]],PaymentSchedule33[[#This Row],[Beginning
Balance]]-PaymentSchedule33[[#This Row],[Principal]],0),"")</f>
        <v>84726.455900415764</v>
      </c>
      <c r="K320" s="25">
        <f ca="1">IF(PaymentSchedule33[[#This Row],[Payment Number]]&lt;&gt;"",SUM(INDEX(PaymentSchedule33[Interest],1,1):PaymentSchedule33[[#This Row],[Interest]]),"")</f>
        <v>300200.54813063226</v>
      </c>
      <c r="L320" s="25">
        <f ca="1">IF(PaymentSchedule33[[#This Row],[Payment Number]]&lt;&gt;"",SUM(INDEX(PaymentSchedule33[Principal],1,1):PaymentSchedule33[[#This Row],[Principal]]),"")</f>
        <v>247773.54409958405</v>
      </c>
      <c r="M320" s="25">
        <f ca="1">PaymentSchedule3[[#This Row],[Total
Payment]]-PaymentSchedule33[[#This Row],[Total
Payment]]</f>
        <v>427.19889995542212</v>
      </c>
      <c r="N320" s="25">
        <f ca="1">PaymentSchedule3[[#This Row],[Interest]]-PaymentSchedule33[[#This Row],[Interest]]</f>
        <v>237.29578596383732</v>
      </c>
      <c r="O320" s="25">
        <f ca="1">PaymentSchedule3[[#This Row],[Cumulative
Interest]]-PaymentSchedule33[[#This Row],[Cumulative
Interest]]</f>
        <v>147024.45979959867</v>
      </c>
    </row>
    <row r="321" spans="2:15" x14ac:dyDescent="0.25">
      <c r="B321" s="23">
        <f ca="1">IF(LoanIsGood,IF(ROW()-ROW(PaymentSchedule33[[#Headers],[Payment Number]])&gt;ScheduledNumberOfPayments,"",ROW()-ROW(PaymentSchedule33[[#Headers],[Payment Number]])),"")</f>
        <v>308</v>
      </c>
      <c r="C321" s="24">
        <f ca="1">IF(PaymentSchedule33[[#This Row],[Payment Number]]&lt;&gt;"",EOMONTH(LoanStartDate,ROW(PaymentSchedule33[[#This Row],[Payment Number]])-ROW(PaymentSchedule33[[#Headers],[Payment Number]])-2)+DAY(LoanStartDate),"")</f>
        <v>54812</v>
      </c>
      <c r="D321" s="25">
        <f ca="1">IF(PaymentSchedule33[[#This Row],[Payment Number]]&lt;&gt;"",IF(ROW()-ROW(PaymentSchedule33[[#Headers],[Beginning
Balance]])=1,LoanAmount,INDEX(PaymentSchedule33[Ending
Balance],ROW()-ROW(PaymentSchedule33[[#Headers],[Beginning
Balance]])-1)),"")</f>
        <v>84726.455900415764</v>
      </c>
      <c r="E321" s="25">
        <f ca="1">IF(PaymentSchedule33[[#This Row],[Payment Number]]&lt;&gt;"",ScheduledPayment,"")</f>
        <v>1784.9318965153623</v>
      </c>
      <c r="F32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1" s="25">
        <f ca="1">IF(PaymentSchedule33[[#This Row],[Payment Number]]&lt;&gt;"",PaymentSchedule33[[#This Row],[Total
Payment]]-PaymentSchedule33[[#This Row],[Interest]],"")</f>
        <v>1431.9049969302966</v>
      </c>
      <c r="I321" s="25">
        <f ca="1">IF(PaymentSchedule33[[#This Row],[Payment Number]]&lt;&gt;"",PaymentSchedule33[[#This Row],[Beginning
Balance]]*(InterestRate/PaymentsPerYear),"")</f>
        <v>353.02689958506568</v>
      </c>
      <c r="J321" s="25">
        <f ca="1">IF(PaymentSchedule33[[#This Row],[Payment Number]]&lt;&gt;"",IF(PaymentSchedule33[[#This Row],[Scheduled Payment]]+PaymentSchedule33[[#This Row],[Extra
Payment]]&lt;=PaymentSchedule33[[#This Row],[Beginning
Balance]],PaymentSchedule33[[#This Row],[Beginning
Balance]]-PaymentSchedule33[[#This Row],[Principal]],0),"")</f>
        <v>83294.550903485462</v>
      </c>
      <c r="K321" s="25">
        <f ca="1">IF(PaymentSchedule33[[#This Row],[Payment Number]]&lt;&gt;"",SUM(INDEX(PaymentSchedule33[Interest],1,1):PaymentSchedule33[[#This Row],[Interest]]),"")</f>
        <v>300553.57503021735</v>
      </c>
      <c r="L321" s="25">
        <f ca="1">IF(PaymentSchedule33[[#This Row],[Payment Number]]&lt;&gt;"",SUM(INDEX(PaymentSchedule33[Principal],1,1):PaymentSchedule33[[#This Row],[Principal]]),"")</f>
        <v>249205.44909651435</v>
      </c>
      <c r="M321" s="25">
        <f ca="1">PaymentSchedule3[[#This Row],[Total
Payment]]-PaymentSchedule33[[#This Row],[Total
Payment]]</f>
        <v>427.19889995542212</v>
      </c>
      <c r="N321" s="25">
        <f ca="1">PaymentSchedule3[[#This Row],[Interest]]-PaymentSchedule33[[#This Row],[Interest]]</f>
        <v>233.81141199485268</v>
      </c>
      <c r="O321" s="25">
        <f ca="1">PaymentSchedule3[[#This Row],[Cumulative
Interest]]-PaymentSchedule33[[#This Row],[Cumulative
Interest]]</f>
        <v>147258.27121159347</v>
      </c>
    </row>
    <row r="322" spans="2:15" x14ac:dyDescent="0.25">
      <c r="B322" s="23">
        <f ca="1">IF(LoanIsGood,IF(ROW()-ROW(PaymentSchedule33[[#Headers],[Payment Number]])&gt;ScheduledNumberOfPayments,"",ROW()-ROW(PaymentSchedule33[[#Headers],[Payment Number]])),"")</f>
        <v>309</v>
      </c>
      <c r="C322" s="24">
        <f ca="1">IF(PaymentSchedule33[[#This Row],[Payment Number]]&lt;&gt;"",EOMONTH(LoanStartDate,ROW(PaymentSchedule33[[#This Row],[Payment Number]])-ROW(PaymentSchedule33[[#Headers],[Payment Number]])-2)+DAY(LoanStartDate),"")</f>
        <v>54843</v>
      </c>
      <c r="D322" s="25">
        <f ca="1">IF(PaymentSchedule33[[#This Row],[Payment Number]]&lt;&gt;"",IF(ROW()-ROW(PaymentSchedule33[[#Headers],[Beginning
Balance]])=1,LoanAmount,INDEX(PaymentSchedule33[Ending
Balance],ROW()-ROW(PaymentSchedule33[[#Headers],[Beginning
Balance]])-1)),"")</f>
        <v>83294.550903485462</v>
      </c>
      <c r="E322" s="25">
        <f ca="1">IF(PaymentSchedule33[[#This Row],[Payment Number]]&lt;&gt;"",ScheduledPayment,"")</f>
        <v>1784.9318965153623</v>
      </c>
      <c r="F32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2" s="25">
        <f ca="1">IF(PaymentSchedule33[[#This Row],[Payment Number]]&lt;&gt;"",PaymentSchedule33[[#This Row],[Total
Payment]]-PaymentSchedule33[[#This Row],[Interest]],"")</f>
        <v>1437.8712677508395</v>
      </c>
      <c r="I322" s="25">
        <f ca="1">IF(PaymentSchedule33[[#This Row],[Payment Number]]&lt;&gt;"",PaymentSchedule33[[#This Row],[Beginning
Balance]]*(InterestRate/PaymentsPerYear),"")</f>
        <v>347.06062876452273</v>
      </c>
      <c r="J322" s="25">
        <f ca="1">IF(PaymentSchedule33[[#This Row],[Payment Number]]&lt;&gt;"",IF(PaymentSchedule33[[#This Row],[Scheduled Payment]]+PaymentSchedule33[[#This Row],[Extra
Payment]]&lt;=PaymentSchedule33[[#This Row],[Beginning
Balance]],PaymentSchedule33[[#This Row],[Beginning
Balance]]-PaymentSchedule33[[#This Row],[Principal]],0),"")</f>
        <v>81856.679635734617</v>
      </c>
      <c r="K322" s="25">
        <f ca="1">IF(PaymentSchedule33[[#This Row],[Payment Number]]&lt;&gt;"",SUM(INDEX(PaymentSchedule33[Interest],1,1):PaymentSchedule33[[#This Row],[Interest]]),"")</f>
        <v>300900.63565898186</v>
      </c>
      <c r="L322" s="25">
        <f ca="1">IF(PaymentSchedule33[[#This Row],[Payment Number]]&lt;&gt;"",SUM(INDEX(PaymentSchedule33[Principal],1,1):PaymentSchedule33[[#This Row],[Principal]]),"")</f>
        <v>250643.32036426518</v>
      </c>
      <c r="M322" s="25">
        <f ca="1">PaymentSchedule3[[#This Row],[Total
Payment]]-PaymentSchedule33[[#This Row],[Total
Payment]]</f>
        <v>427.19889995542212</v>
      </c>
      <c r="N322" s="25">
        <f ca="1">PaymentSchedule3[[#This Row],[Interest]]-PaymentSchedule33[[#This Row],[Interest]]</f>
        <v>230.29680998686564</v>
      </c>
      <c r="O322" s="25">
        <f ca="1">PaymentSchedule3[[#This Row],[Cumulative
Interest]]-PaymentSchedule33[[#This Row],[Cumulative
Interest]]</f>
        <v>147488.56802158034</v>
      </c>
    </row>
    <row r="323" spans="2:15" x14ac:dyDescent="0.25">
      <c r="B323" s="23">
        <f ca="1">IF(LoanIsGood,IF(ROW()-ROW(PaymentSchedule33[[#Headers],[Payment Number]])&gt;ScheduledNumberOfPayments,"",ROW()-ROW(PaymentSchedule33[[#Headers],[Payment Number]])),"")</f>
        <v>310</v>
      </c>
      <c r="C323" s="24">
        <f ca="1">IF(PaymentSchedule33[[#This Row],[Payment Number]]&lt;&gt;"",EOMONTH(LoanStartDate,ROW(PaymentSchedule33[[#This Row],[Payment Number]])-ROW(PaymentSchedule33[[#Headers],[Payment Number]])-2)+DAY(LoanStartDate),"")</f>
        <v>54871</v>
      </c>
      <c r="D323" s="25">
        <f ca="1">IF(PaymentSchedule33[[#This Row],[Payment Number]]&lt;&gt;"",IF(ROW()-ROW(PaymentSchedule33[[#Headers],[Beginning
Balance]])=1,LoanAmount,INDEX(PaymentSchedule33[Ending
Balance],ROW()-ROW(PaymentSchedule33[[#Headers],[Beginning
Balance]])-1)),"")</f>
        <v>81856.679635734617</v>
      </c>
      <c r="E323" s="25">
        <f ca="1">IF(PaymentSchedule33[[#This Row],[Payment Number]]&lt;&gt;"",ScheduledPayment,"")</f>
        <v>1784.9318965153623</v>
      </c>
      <c r="F32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3" s="25">
        <f ca="1">IF(PaymentSchedule33[[#This Row],[Payment Number]]&lt;&gt;"",PaymentSchedule33[[#This Row],[Total
Payment]]-PaymentSchedule33[[#This Row],[Interest]],"")</f>
        <v>1443.8623980331347</v>
      </c>
      <c r="I323" s="25">
        <f ca="1">IF(PaymentSchedule33[[#This Row],[Payment Number]]&lt;&gt;"",PaymentSchedule33[[#This Row],[Beginning
Balance]]*(InterestRate/PaymentsPerYear),"")</f>
        <v>341.06949848222757</v>
      </c>
      <c r="J323" s="25">
        <f ca="1">IF(PaymentSchedule33[[#This Row],[Payment Number]]&lt;&gt;"",IF(PaymentSchedule33[[#This Row],[Scheduled Payment]]+PaymentSchedule33[[#This Row],[Extra
Payment]]&lt;=PaymentSchedule33[[#This Row],[Beginning
Balance]],PaymentSchedule33[[#This Row],[Beginning
Balance]]-PaymentSchedule33[[#This Row],[Principal]],0),"")</f>
        <v>80412.817237701485</v>
      </c>
      <c r="K323" s="25">
        <f ca="1">IF(PaymentSchedule33[[#This Row],[Payment Number]]&lt;&gt;"",SUM(INDEX(PaymentSchedule33[Interest],1,1):PaymentSchedule33[[#This Row],[Interest]]),"")</f>
        <v>301241.70515746408</v>
      </c>
      <c r="L323" s="25">
        <f ca="1">IF(PaymentSchedule33[[#This Row],[Payment Number]]&lt;&gt;"",SUM(INDEX(PaymentSchedule33[Principal],1,1):PaymentSchedule33[[#This Row],[Principal]]),"")</f>
        <v>252087.18276229833</v>
      </c>
      <c r="M323" s="25">
        <f ca="1">PaymentSchedule3[[#This Row],[Total
Payment]]-PaymentSchedule33[[#This Row],[Total
Payment]]</f>
        <v>427.19889995542212</v>
      </c>
      <c r="N323" s="25">
        <f ca="1">PaymentSchedule3[[#This Row],[Interest]]-PaymentSchedule33[[#This Row],[Interest]]</f>
        <v>226.7517623491309</v>
      </c>
      <c r="O323" s="25">
        <f ca="1">PaymentSchedule3[[#This Row],[Cumulative
Interest]]-PaymentSchedule33[[#This Row],[Cumulative
Interest]]</f>
        <v>147715.3197839295</v>
      </c>
    </row>
    <row r="324" spans="2:15" x14ac:dyDescent="0.25">
      <c r="B324" s="23">
        <f ca="1">IF(LoanIsGood,IF(ROW()-ROW(PaymentSchedule33[[#Headers],[Payment Number]])&gt;ScheduledNumberOfPayments,"",ROW()-ROW(PaymentSchedule33[[#Headers],[Payment Number]])),"")</f>
        <v>311</v>
      </c>
      <c r="C324" s="24">
        <f ca="1">IF(PaymentSchedule33[[#This Row],[Payment Number]]&lt;&gt;"",EOMONTH(LoanStartDate,ROW(PaymentSchedule33[[#This Row],[Payment Number]])-ROW(PaymentSchedule33[[#Headers],[Payment Number]])-2)+DAY(LoanStartDate),"")</f>
        <v>54902</v>
      </c>
      <c r="D324" s="25">
        <f ca="1">IF(PaymentSchedule33[[#This Row],[Payment Number]]&lt;&gt;"",IF(ROW()-ROW(PaymentSchedule33[[#Headers],[Beginning
Balance]])=1,LoanAmount,INDEX(PaymentSchedule33[Ending
Balance],ROW()-ROW(PaymentSchedule33[[#Headers],[Beginning
Balance]])-1)),"")</f>
        <v>80412.817237701485</v>
      </c>
      <c r="E324" s="25">
        <f ca="1">IF(PaymentSchedule33[[#This Row],[Payment Number]]&lt;&gt;"",ScheduledPayment,"")</f>
        <v>1784.9318965153623</v>
      </c>
      <c r="F32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4" s="25">
        <f ca="1">IF(PaymentSchedule33[[#This Row],[Payment Number]]&lt;&gt;"",PaymentSchedule33[[#This Row],[Total
Payment]]-PaymentSchedule33[[#This Row],[Interest]],"")</f>
        <v>1449.8784913582726</v>
      </c>
      <c r="I324" s="25">
        <f ca="1">IF(PaymentSchedule33[[#This Row],[Payment Number]]&lt;&gt;"",PaymentSchedule33[[#This Row],[Beginning
Balance]]*(InterestRate/PaymentsPerYear),"")</f>
        <v>335.05340515708951</v>
      </c>
      <c r="J324" s="25">
        <f ca="1">IF(PaymentSchedule33[[#This Row],[Payment Number]]&lt;&gt;"",IF(PaymentSchedule33[[#This Row],[Scheduled Payment]]+PaymentSchedule33[[#This Row],[Extra
Payment]]&lt;=PaymentSchedule33[[#This Row],[Beginning
Balance]],PaymentSchedule33[[#This Row],[Beginning
Balance]]-PaymentSchedule33[[#This Row],[Principal]],0),"")</f>
        <v>78962.938746343207</v>
      </c>
      <c r="K324" s="25">
        <f ca="1">IF(PaymentSchedule33[[#This Row],[Payment Number]]&lt;&gt;"",SUM(INDEX(PaymentSchedule33[Interest],1,1):PaymentSchedule33[[#This Row],[Interest]]),"")</f>
        <v>301576.75856262119</v>
      </c>
      <c r="L324" s="25">
        <f ca="1">IF(PaymentSchedule33[[#This Row],[Payment Number]]&lt;&gt;"",SUM(INDEX(PaymentSchedule33[Principal],1,1):PaymentSchedule33[[#This Row],[Principal]]),"")</f>
        <v>253537.0612536566</v>
      </c>
      <c r="M324" s="25">
        <f ca="1">PaymentSchedule3[[#This Row],[Total
Payment]]-PaymentSchedule33[[#This Row],[Total
Payment]]</f>
        <v>427.19889995542212</v>
      </c>
      <c r="N324" s="25">
        <f ca="1">PaymentSchedule3[[#This Row],[Interest]]-PaymentSchedule33[[#This Row],[Interest]]</f>
        <v>223.17605004970562</v>
      </c>
      <c r="O324" s="25">
        <f ca="1">PaymentSchedule3[[#This Row],[Cumulative
Interest]]-PaymentSchedule33[[#This Row],[Cumulative
Interest]]</f>
        <v>147938.49583397916</v>
      </c>
    </row>
    <row r="325" spans="2:15" x14ac:dyDescent="0.25">
      <c r="B325" s="23">
        <f ca="1">IF(LoanIsGood,IF(ROW()-ROW(PaymentSchedule33[[#Headers],[Payment Number]])&gt;ScheduledNumberOfPayments,"",ROW()-ROW(PaymentSchedule33[[#Headers],[Payment Number]])),"")</f>
        <v>312</v>
      </c>
      <c r="C325" s="24">
        <f ca="1">IF(PaymentSchedule33[[#This Row],[Payment Number]]&lt;&gt;"",EOMONTH(LoanStartDate,ROW(PaymentSchedule33[[#This Row],[Payment Number]])-ROW(PaymentSchedule33[[#Headers],[Payment Number]])-2)+DAY(LoanStartDate),"")</f>
        <v>54932</v>
      </c>
      <c r="D325" s="25">
        <f ca="1">IF(PaymentSchedule33[[#This Row],[Payment Number]]&lt;&gt;"",IF(ROW()-ROW(PaymentSchedule33[[#Headers],[Beginning
Balance]])=1,LoanAmount,INDEX(PaymentSchedule33[Ending
Balance],ROW()-ROW(PaymentSchedule33[[#Headers],[Beginning
Balance]])-1)),"")</f>
        <v>78962.938746343207</v>
      </c>
      <c r="E325" s="25">
        <f ca="1">IF(PaymentSchedule33[[#This Row],[Payment Number]]&lt;&gt;"",ScheduledPayment,"")</f>
        <v>1784.9318965153623</v>
      </c>
      <c r="F32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5" s="25">
        <f ca="1">IF(PaymentSchedule33[[#This Row],[Payment Number]]&lt;&gt;"",PaymentSchedule33[[#This Row],[Total
Payment]]-PaymentSchedule33[[#This Row],[Interest]],"")</f>
        <v>1455.9196517389323</v>
      </c>
      <c r="I325" s="25">
        <f ca="1">IF(PaymentSchedule33[[#This Row],[Payment Number]]&lt;&gt;"",PaymentSchedule33[[#This Row],[Beginning
Balance]]*(InterestRate/PaymentsPerYear),"")</f>
        <v>329.01224477643001</v>
      </c>
      <c r="J325" s="25">
        <f ca="1">IF(PaymentSchedule33[[#This Row],[Payment Number]]&lt;&gt;"",IF(PaymentSchedule33[[#This Row],[Scheduled Payment]]+PaymentSchedule33[[#This Row],[Extra
Payment]]&lt;=PaymentSchedule33[[#This Row],[Beginning
Balance]],PaymentSchedule33[[#This Row],[Beginning
Balance]]-PaymentSchedule33[[#This Row],[Principal]],0),"")</f>
        <v>77507.019094604271</v>
      </c>
      <c r="K325" s="25">
        <f ca="1">IF(PaymentSchedule33[[#This Row],[Payment Number]]&lt;&gt;"",SUM(INDEX(PaymentSchedule33[Interest],1,1):PaymentSchedule33[[#This Row],[Interest]]),"")</f>
        <v>301905.77080739761</v>
      </c>
      <c r="L325" s="25">
        <f ca="1">IF(PaymentSchedule33[[#This Row],[Payment Number]]&lt;&gt;"",SUM(INDEX(PaymentSchedule33[Principal],1,1):PaymentSchedule33[[#This Row],[Principal]]),"")</f>
        <v>254992.98090539553</v>
      </c>
      <c r="M325" s="25">
        <f ca="1">PaymentSchedule3[[#This Row],[Total
Payment]]-PaymentSchedule33[[#This Row],[Total
Payment]]</f>
        <v>427.19889995542212</v>
      </c>
      <c r="N325" s="25">
        <f ca="1">PaymentSchedule3[[#This Row],[Interest]]-PaymentSchedule33[[#This Row],[Interest]]</f>
        <v>219.56945260632523</v>
      </c>
      <c r="O325" s="25">
        <f ca="1">PaymentSchedule3[[#This Row],[Cumulative
Interest]]-PaymentSchedule33[[#This Row],[Cumulative
Interest]]</f>
        <v>148158.06528658548</v>
      </c>
    </row>
    <row r="326" spans="2:15" x14ac:dyDescent="0.25">
      <c r="B326" s="23">
        <f ca="1">IF(LoanIsGood,IF(ROW()-ROW(PaymentSchedule33[[#Headers],[Payment Number]])&gt;ScheduledNumberOfPayments,"",ROW()-ROW(PaymentSchedule33[[#Headers],[Payment Number]])),"")</f>
        <v>313</v>
      </c>
      <c r="C326" s="24">
        <f ca="1">IF(PaymentSchedule33[[#This Row],[Payment Number]]&lt;&gt;"",EOMONTH(LoanStartDate,ROW(PaymentSchedule33[[#This Row],[Payment Number]])-ROW(PaymentSchedule33[[#Headers],[Payment Number]])-2)+DAY(LoanStartDate),"")</f>
        <v>54963</v>
      </c>
      <c r="D326" s="25">
        <f ca="1">IF(PaymentSchedule33[[#This Row],[Payment Number]]&lt;&gt;"",IF(ROW()-ROW(PaymentSchedule33[[#Headers],[Beginning
Balance]])=1,LoanAmount,INDEX(PaymentSchedule33[Ending
Balance],ROW()-ROW(PaymentSchedule33[[#Headers],[Beginning
Balance]])-1)),"")</f>
        <v>77507.019094604271</v>
      </c>
      <c r="E326" s="25">
        <f ca="1">IF(PaymentSchedule33[[#This Row],[Payment Number]]&lt;&gt;"",ScheduledPayment,"")</f>
        <v>1784.9318965153623</v>
      </c>
      <c r="F32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6" s="25">
        <f ca="1">IF(PaymentSchedule33[[#This Row],[Payment Number]]&lt;&gt;"",PaymentSchedule33[[#This Row],[Total
Payment]]-PaymentSchedule33[[#This Row],[Interest]],"")</f>
        <v>1461.9859836211779</v>
      </c>
      <c r="I326" s="25">
        <f ca="1">IF(PaymentSchedule33[[#This Row],[Payment Number]]&lt;&gt;"",PaymentSchedule33[[#This Row],[Beginning
Balance]]*(InterestRate/PaymentsPerYear),"")</f>
        <v>322.94591289418446</v>
      </c>
      <c r="J326" s="25">
        <f ca="1">IF(PaymentSchedule33[[#This Row],[Payment Number]]&lt;&gt;"",IF(PaymentSchedule33[[#This Row],[Scheduled Payment]]+PaymentSchedule33[[#This Row],[Extra
Payment]]&lt;=PaymentSchedule33[[#This Row],[Beginning
Balance]],PaymentSchedule33[[#This Row],[Beginning
Balance]]-PaymentSchedule33[[#This Row],[Principal]],0),"")</f>
        <v>76045.033110983088</v>
      </c>
      <c r="K326" s="25">
        <f ca="1">IF(PaymentSchedule33[[#This Row],[Payment Number]]&lt;&gt;"",SUM(INDEX(PaymentSchedule33[Interest],1,1):PaymentSchedule33[[#This Row],[Interest]]),"")</f>
        <v>302228.71672029182</v>
      </c>
      <c r="L326" s="25">
        <f ca="1">IF(PaymentSchedule33[[#This Row],[Payment Number]]&lt;&gt;"",SUM(INDEX(PaymentSchedule33[Principal],1,1):PaymentSchedule33[[#This Row],[Principal]]),"")</f>
        <v>256454.96688901671</v>
      </c>
      <c r="M326" s="25">
        <f ca="1">PaymentSchedule3[[#This Row],[Total
Payment]]-PaymentSchedule33[[#This Row],[Total
Payment]]</f>
        <v>427.19889995542212</v>
      </c>
      <c r="N326" s="25">
        <f ca="1">PaymentSchedule3[[#This Row],[Interest]]-PaymentSchedule33[[#This Row],[Interest]]</f>
        <v>215.93174807722386</v>
      </c>
      <c r="O326" s="25">
        <f ca="1">PaymentSchedule3[[#This Row],[Cumulative
Interest]]-PaymentSchedule33[[#This Row],[Cumulative
Interest]]</f>
        <v>148373.99703466269</v>
      </c>
    </row>
    <row r="327" spans="2:15" x14ac:dyDescent="0.25">
      <c r="B327" s="23">
        <f ca="1">IF(LoanIsGood,IF(ROW()-ROW(PaymentSchedule33[[#Headers],[Payment Number]])&gt;ScheduledNumberOfPayments,"",ROW()-ROW(PaymentSchedule33[[#Headers],[Payment Number]])),"")</f>
        <v>314</v>
      </c>
      <c r="C327" s="24">
        <f ca="1">IF(PaymentSchedule33[[#This Row],[Payment Number]]&lt;&gt;"",EOMONTH(LoanStartDate,ROW(PaymentSchedule33[[#This Row],[Payment Number]])-ROW(PaymentSchedule33[[#Headers],[Payment Number]])-2)+DAY(LoanStartDate),"")</f>
        <v>54993</v>
      </c>
      <c r="D327" s="25">
        <f ca="1">IF(PaymentSchedule33[[#This Row],[Payment Number]]&lt;&gt;"",IF(ROW()-ROW(PaymentSchedule33[[#Headers],[Beginning
Balance]])=1,LoanAmount,INDEX(PaymentSchedule33[Ending
Balance],ROW()-ROW(PaymentSchedule33[[#Headers],[Beginning
Balance]])-1)),"")</f>
        <v>76045.033110983088</v>
      </c>
      <c r="E327" s="25">
        <f ca="1">IF(PaymentSchedule33[[#This Row],[Payment Number]]&lt;&gt;"",ScheduledPayment,"")</f>
        <v>1784.9318965153623</v>
      </c>
      <c r="F32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7" s="25">
        <f ca="1">IF(PaymentSchedule33[[#This Row],[Payment Number]]&lt;&gt;"",PaymentSchedule33[[#This Row],[Total
Payment]]-PaymentSchedule33[[#This Row],[Interest]],"")</f>
        <v>1468.077591886266</v>
      </c>
      <c r="I327" s="25">
        <f ca="1">IF(PaymentSchedule33[[#This Row],[Payment Number]]&lt;&gt;"",PaymentSchedule33[[#This Row],[Beginning
Balance]]*(InterestRate/PaymentsPerYear),"")</f>
        <v>316.85430462909619</v>
      </c>
      <c r="J327" s="25">
        <f ca="1">IF(PaymentSchedule33[[#This Row],[Payment Number]]&lt;&gt;"",IF(PaymentSchedule33[[#This Row],[Scheduled Payment]]+PaymentSchedule33[[#This Row],[Extra
Payment]]&lt;=PaymentSchedule33[[#This Row],[Beginning
Balance]],PaymentSchedule33[[#This Row],[Beginning
Balance]]-PaymentSchedule33[[#This Row],[Principal]],0),"")</f>
        <v>74576.955519096824</v>
      </c>
      <c r="K327" s="25">
        <f ca="1">IF(PaymentSchedule33[[#This Row],[Payment Number]]&lt;&gt;"",SUM(INDEX(PaymentSchedule33[Interest],1,1):PaymentSchedule33[[#This Row],[Interest]]),"")</f>
        <v>302545.57102492091</v>
      </c>
      <c r="L327" s="25">
        <f ca="1">IF(PaymentSchedule33[[#This Row],[Payment Number]]&lt;&gt;"",SUM(INDEX(PaymentSchedule33[Principal],1,1):PaymentSchedule33[[#This Row],[Principal]]),"")</f>
        <v>257923.04448090299</v>
      </c>
      <c r="M327" s="25">
        <f ca="1">PaymentSchedule3[[#This Row],[Total
Payment]]-PaymentSchedule33[[#This Row],[Total
Payment]]</f>
        <v>427.19889995542212</v>
      </c>
      <c r="N327" s="25">
        <f ca="1">PaymentSchedule3[[#This Row],[Interest]]-PaymentSchedule33[[#This Row],[Interest]]</f>
        <v>212.26271305189914</v>
      </c>
      <c r="O327" s="25">
        <f ca="1">PaymentSchedule3[[#This Row],[Cumulative
Interest]]-PaymentSchedule33[[#This Row],[Cumulative
Interest]]</f>
        <v>148586.25974771462</v>
      </c>
    </row>
    <row r="328" spans="2:15" x14ac:dyDescent="0.25">
      <c r="B328" s="23">
        <f ca="1">IF(LoanIsGood,IF(ROW()-ROW(PaymentSchedule33[[#Headers],[Payment Number]])&gt;ScheduledNumberOfPayments,"",ROW()-ROW(PaymentSchedule33[[#Headers],[Payment Number]])),"")</f>
        <v>315</v>
      </c>
      <c r="C328" s="24">
        <f ca="1">IF(PaymentSchedule33[[#This Row],[Payment Number]]&lt;&gt;"",EOMONTH(LoanStartDate,ROW(PaymentSchedule33[[#This Row],[Payment Number]])-ROW(PaymentSchedule33[[#Headers],[Payment Number]])-2)+DAY(LoanStartDate),"")</f>
        <v>55024</v>
      </c>
      <c r="D328" s="25">
        <f ca="1">IF(PaymentSchedule33[[#This Row],[Payment Number]]&lt;&gt;"",IF(ROW()-ROW(PaymentSchedule33[[#Headers],[Beginning
Balance]])=1,LoanAmount,INDEX(PaymentSchedule33[Ending
Balance],ROW()-ROW(PaymentSchedule33[[#Headers],[Beginning
Balance]])-1)),"")</f>
        <v>74576.955519096824</v>
      </c>
      <c r="E328" s="25">
        <f ca="1">IF(PaymentSchedule33[[#This Row],[Payment Number]]&lt;&gt;"",ScheduledPayment,"")</f>
        <v>1784.9318965153623</v>
      </c>
      <c r="F32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8" s="25">
        <f ca="1">IF(PaymentSchedule33[[#This Row],[Payment Number]]&lt;&gt;"",PaymentSchedule33[[#This Row],[Total
Payment]]-PaymentSchedule33[[#This Row],[Interest]],"")</f>
        <v>1474.1945818524589</v>
      </c>
      <c r="I328" s="25">
        <f ca="1">IF(PaymentSchedule33[[#This Row],[Payment Number]]&lt;&gt;"",PaymentSchedule33[[#This Row],[Beginning
Balance]]*(InterestRate/PaymentsPerYear),"")</f>
        <v>310.73731466290343</v>
      </c>
      <c r="J328" s="25">
        <f ca="1">IF(PaymentSchedule33[[#This Row],[Payment Number]]&lt;&gt;"",IF(PaymentSchedule33[[#This Row],[Scheduled Payment]]+PaymentSchedule33[[#This Row],[Extra
Payment]]&lt;=PaymentSchedule33[[#This Row],[Beginning
Balance]],PaymentSchedule33[[#This Row],[Beginning
Balance]]-PaymentSchedule33[[#This Row],[Principal]],0),"")</f>
        <v>73102.760937244369</v>
      </c>
      <c r="K328" s="25">
        <f ca="1">IF(PaymentSchedule33[[#This Row],[Payment Number]]&lt;&gt;"",SUM(INDEX(PaymentSchedule33[Interest],1,1):PaymentSchedule33[[#This Row],[Interest]]),"")</f>
        <v>302856.3083395838</v>
      </c>
      <c r="L328" s="25">
        <f ca="1">IF(PaymentSchedule33[[#This Row],[Payment Number]]&lt;&gt;"",SUM(INDEX(PaymentSchedule33[Principal],1,1):PaymentSchedule33[[#This Row],[Principal]]),"")</f>
        <v>259397.23906275546</v>
      </c>
      <c r="M328" s="25">
        <f ca="1">PaymentSchedule3[[#This Row],[Total
Payment]]-PaymentSchedule33[[#This Row],[Total
Payment]]</f>
        <v>427.19889995542212</v>
      </c>
      <c r="N328" s="25">
        <f ca="1">PaymentSchedule3[[#This Row],[Interest]]-PaymentSchedule33[[#This Row],[Interest]]</f>
        <v>208.56212264181812</v>
      </c>
      <c r="O328" s="25">
        <f ca="1">PaymentSchedule3[[#This Row],[Cumulative
Interest]]-PaymentSchedule33[[#This Row],[Cumulative
Interest]]</f>
        <v>148794.82187035645</v>
      </c>
    </row>
    <row r="329" spans="2:15" x14ac:dyDescent="0.25">
      <c r="B329" s="23">
        <f ca="1">IF(LoanIsGood,IF(ROW()-ROW(PaymentSchedule33[[#Headers],[Payment Number]])&gt;ScheduledNumberOfPayments,"",ROW()-ROW(PaymentSchedule33[[#Headers],[Payment Number]])),"")</f>
        <v>316</v>
      </c>
      <c r="C329" s="24">
        <f ca="1">IF(PaymentSchedule33[[#This Row],[Payment Number]]&lt;&gt;"",EOMONTH(LoanStartDate,ROW(PaymentSchedule33[[#This Row],[Payment Number]])-ROW(PaymentSchedule33[[#Headers],[Payment Number]])-2)+DAY(LoanStartDate),"")</f>
        <v>55055</v>
      </c>
      <c r="D329" s="25">
        <f ca="1">IF(PaymentSchedule33[[#This Row],[Payment Number]]&lt;&gt;"",IF(ROW()-ROW(PaymentSchedule33[[#Headers],[Beginning
Balance]])=1,LoanAmount,INDEX(PaymentSchedule33[Ending
Balance],ROW()-ROW(PaymentSchedule33[[#Headers],[Beginning
Balance]])-1)),"")</f>
        <v>73102.760937244369</v>
      </c>
      <c r="E329" s="25">
        <f ca="1">IF(PaymentSchedule33[[#This Row],[Payment Number]]&lt;&gt;"",ScheduledPayment,"")</f>
        <v>1784.9318965153623</v>
      </c>
      <c r="F32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2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29" s="25">
        <f ca="1">IF(PaymentSchedule33[[#This Row],[Payment Number]]&lt;&gt;"",PaymentSchedule33[[#This Row],[Total
Payment]]-PaymentSchedule33[[#This Row],[Interest]],"")</f>
        <v>1480.337059276844</v>
      </c>
      <c r="I329" s="25">
        <f ca="1">IF(PaymentSchedule33[[#This Row],[Payment Number]]&lt;&gt;"",PaymentSchedule33[[#This Row],[Beginning
Balance]]*(InterestRate/PaymentsPerYear),"")</f>
        <v>304.59483723851821</v>
      </c>
      <c r="J329" s="25">
        <f ca="1">IF(PaymentSchedule33[[#This Row],[Payment Number]]&lt;&gt;"",IF(PaymentSchedule33[[#This Row],[Scheduled Payment]]+PaymentSchedule33[[#This Row],[Extra
Payment]]&lt;=PaymentSchedule33[[#This Row],[Beginning
Balance]],PaymentSchedule33[[#This Row],[Beginning
Balance]]-PaymentSchedule33[[#This Row],[Principal]],0),"")</f>
        <v>71622.423877967522</v>
      </c>
      <c r="K329" s="25">
        <f ca="1">IF(PaymentSchedule33[[#This Row],[Payment Number]]&lt;&gt;"",SUM(INDEX(PaymentSchedule33[Interest],1,1):PaymentSchedule33[[#This Row],[Interest]]),"")</f>
        <v>303160.90317682235</v>
      </c>
      <c r="L329" s="25">
        <f ca="1">IF(PaymentSchedule33[[#This Row],[Payment Number]]&lt;&gt;"",SUM(INDEX(PaymentSchedule33[Principal],1,1):PaymentSchedule33[[#This Row],[Principal]]),"")</f>
        <v>260877.5761220323</v>
      </c>
      <c r="M329" s="25">
        <f ca="1">PaymentSchedule3[[#This Row],[Total
Payment]]-PaymentSchedule33[[#This Row],[Total
Payment]]</f>
        <v>427.19889995542212</v>
      </c>
      <c r="N329" s="25">
        <f ca="1">PaymentSchedule3[[#This Row],[Interest]]-PaymentSchedule33[[#This Row],[Interest]]</f>
        <v>204.829750471068</v>
      </c>
      <c r="O329" s="25">
        <f ca="1">PaymentSchedule3[[#This Row],[Cumulative
Interest]]-PaymentSchedule33[[#This Row],[Cumulative
Interest]]</f>
        <v>148999.6516208275</v>
      </c>
    </row>
    <row r="330" spans="2:15" x14ac:dyDescent="0.25">
      <c r="B330" s="23">
        <f ca="1">IF(LoanIsGood,IF(ROW()-ROW(PaymentSchedule33[[#Headers],[Payment Number]])&gt;ScheduledNumberOfPayments,"",ROW()-ROW(PaymentSchedule33[[#Headers],[Payment Number]])),"")</f>
        <v>317</v>
      </c>
      <c r="C330" s="24">
        <f ca="1">IF(PaymentSchedule33[[#This Row],[Payment Number]]&lt;&gt;"",EOMONTH(LoanStartDate,ROW(PaymentSchedule33[[#This Row],[Payment Number]])-ROW(PaymentSchedule33[[#Headers],[Payment Number]])-2)+DAY(LoanStartDate),"")</f>
        <v>55085</v>
      </c>
      <c r="D330" s="25">
        <f ca="1">IF(PaymentSchedule33[[#This Row],[Payment Number]]&lt;&gt;"",IF(ROW()-ROW(PaymentSchedule33[[#Headers],[Beginning
Balance]])=1,LoanAmount,INDEX(PaymentSchedule33[Ending
Balance],ROW()-ROW(PaymentSchedule33[[#Headers],[Beginning
Balance]])-1)),"")</f>
        <v>71622.423877967522</v>
      </c>
      <c r="E330" s="25">
        <f ca="1">IF(PaymentSchedule33[[#This Row],[Payment Number]]&lt;&gt;"",ScheduledPayment,"")</f>
        <v>1784.9318965153623</v>
      </c>
      <c r="F33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0" s="25">
        <f ca="1">IF(PaymentSchedule33[[#This Row],[Payment Number]]&lt;&gt;"",PaymentSchedule33[[#This Row],[Total
Payment]]-PaymentSchedule33[[#This Row],[Interest]],"")</f>
        <v>1486.5051303571643</v>
      </c>
      <c r="I330" s="25">
        <f ca="1">IF(PaymentSchedule33[[#This Row],[Payment Number]]&lt;&gt;"",PaymentSchedule33[[#This Row],[Beginning
Balance]]*(InterestRate/PaymentsPerYear),"")</f>
        <v>298.42676615819801</v>
      </c>
      <c r="J330" s="25">
        <f ca="1">IF(PaymentSchedule33[[#This Row],[Payment Number]]&lt;&gt;"",IF(PaymentSchedule33[[#This Row],[Scheduled Payment]]+PaymentSchedule33[[#This Row],[Extra
Payment]]&lt;=PaymentSchedule33[[#This Row],[Beginning
Balance]],PaymentSchedule33[[#This Row],[Beginning
Balance]]-PaymentSchedule33[[#This Row],[Principal]],0),"")</f>
        <v>70135.918747610354</v>
      </c>
      <c r="K330" s="25">
        <f ca="1">IF(PaymentSchedule33[[#This Row],[Payment Number]]&lt;&gt;"",SUM(INDEX(PaymentSchedule33[Interest],1,1):PaymentSchedule33[[#This Row],[Interest]]),"")</f>
        <v>303459.32994298055</v>
      </c>
      <c r="L330" s="25">
        <f ca="1">IF(PaymentSchedule33[[#This Row],[Payment Number]]&lt;&gt;"",SUM(INDEX(PaymentSchedule33[Principal],1,1):PaymentSchedule33[[#This Row],[Principal]]),"")</f>
        <v>262364.08125238947</v>
      </c>
      <c r="M330" s="25">
        <f ca="1">PaymentSchedule3[[#This Row],[Total
Payment]]-PaymentSchedule33[[#This Row],[Total
Payment]]</f>
        <v>427.19889995542212</v>
      </c>
      <c r="N330" s="25">
        <f ca="1">PaymentSchedule3[[#This Row],[Interest]]-PaymentSchedule33[[#This Row],[Interest]]</f>
        <v>201.06536866694785</v>
      </c>
      <c r="O330" s="25">
        <f ca="1">PaymentSchedule3[[#This Row],[Cumulative
Interest]]-PaymentSchedule33[[#This Row],[Cumulative
Interest]]</f>
        <v>149200.71698949445</v>
      </c>
    </row>
    <row r="331" spans="2:15" x14ac:dyDescent="0.25">
      <c r="B331" s="23">
        <f ca="1">IF(LoanIsGood,IF(ROW()-ROW(PaymentSchedule33[[#Headers],[Payment Number]])&gt;ScheduledNumberOfPayments,"",ROW()-ROW(PaymentSchedule33[[#Headers],[Payment Number]])),"")</f>
        <v>318</v>
      </c>
      <c r="C331" s="24">
        <f ca="1">IF(PaymentSchedule33[[#This Row],[Payment Number]]&lt;&gt;"",EOMONTH(LoanStartDate,ROW(PaymentSchedule33[[#This Row],[Payment Number]])-ROW(PaymentSchedule33[[#Headers],[Payment Number]])-2)+DAY(LoanStartDate),"")</f>
        <v>55116</v>
      </c>
      <c r="D331" s="25">
        <f ca="1">IF(PaymentSchedule33[[#This Row],[Payment Number]]&lt;&gt;"",IF(ROW()-ROW(PaymentSchedule33[[#Headers],[Beginning
Balance]])=1,LoanAmount,INDEX(PaymentSchedule33[Ending
Balance],ROW()-ROW(PaymentSchedule33[[#Headers],[Beginning
Balance]])-1)),"")</f>
        <v>70135.918747610354</v>
      </c>
      <c r="E331" s="25">
        <f ca="1">IF(PaymentSchedule33[[#This Row],[Payment Number]]&lt;&gt;"",ScheduledPayment,"")</f>
        <v>1784.9318965153623</v>
      </c>
      <c r="F33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1" s="25">
        <f ca="1">IF(PaymentSchedule33[[#This Row],[Payment Number]]&lt;&gt;"",PaymentSchedule33[[#This Row],[Total
Payment]]-PaymentSchedule33[[#This Row],[Interest]],"")</f>
        <v>1492.6989017336525</v>
      </c>
      <c r="I331" s="25">
        <f ca="1">IF(PaymentSchedule33[[#This Row],[Payment Number]]&lt;&gt;"",PaymentSchedule33[[#This Row],[Beginning
Balance]]*(InterestRate/PaymentsPerYear),"")</f>
        <v>292.23299478170981</v>
      </c>
      <c r="J331" s="25">
        <f ca="1">IF(PaymentSchedule33[[#This Row],[Payment Number]]&lt;&gt;"",IF(PaymentSchedule33[[#This Row],[Scheduled Payment]]+PaymentSchedule33[[#This Row],[Extra
Payment]]&lt;=PaymentSchedule33[[#This Row],[Beginning
Balance]],PaymentSchedule33[[#This Row],[Beginning
Balance]]-PaymentSchedule33[[#This Row],[Principal]],0),"")</f>
        <v>68643.219845876709</v>
      </c>
      <c r="K331" s="25">
        <f ca="1">IF(PaymentSchedule33[[#This Row],[Payment Number]]&lt;&gt;"",SUM(INDEX(PaymentSchedule33[Interest],1,1):PaymentSchedule33[[#This Row],[Interest]]),"")</f>
        <v>303751.56293776224</v>
      </c>
      <c r="L331" s="25">
        <f ca="1">IF(PaymentSchedule33[[#This Row],[Payment Number]]&lt;&gt;"",SUM(INDEX(PaymentSchedule33[Principal],1,1):PaymentSchedule33[[#This Row],[Principal]]),"")</f>
        <v>263856.78015412315</v>
      </c>
      <c r="M331" s="25">
        <f ca="1">PaymentSchedule3[[#This Row],[Total
Payment]]-PaymentSchedule33[[#This Row],[Total
Payment]]</f>
        <v>427.19889995542212</v>
      </c>
      <c r="N331" s="25">
        <f ca="1">PaymentSchedule3[[#This Row],[Interest]]-PaymentSchedule33[[#This Row],[Interest]]</f>
        <v>197.26874785050313</v>
      </c>
      <c r="O331" s="25">
        <f ca="1">PaymentSchedule3[[#This Row],[Cumulative
Interest]]-PaymentSchedule33[[#This Row],[Cumulative
Interest]]</f>
        <v>149397.98573734495</v>
      </c>
    </row>
    <row r="332" spans="2:15" x14ac:dyDescent="0.25">
      <c r="B332" s="23">
        <f ca="1">IF(LoanIsGood,IF(ROW()-ROW(PaymentSchedule33[[#Headers],[Payment Number]])&gt;ScheduledNumberOfPayments,"",ROW()-ROW(PaymentSchedule33[[#Headers],[Payment Number]])),"")</f>
        <v>319</v>
      </c>
      <c r="C332" s="24">
        <f ca="1">IF(PaymentSchedule33[[#This Row],[Payment Number]]&lt;&gt;"",EOMONTH(LoanStartDate,ROW(PaymentSchedule33[[#This Row],[Payment Number]])-ROW(PaymentSchedule33[[#Headers],[Payment Number]])-2)+DAY(LoanStartDate),"")</f>
        <v>55146</v>
      </c>
      <c r="D332" s="25">
        <f ca="1">IF(PaymentSchedule33[[#This Row],[Payment Number]]&lt;&gt;"",IF(ROW()-ROW(PaymentSchedule33[[#Headers],[Beginning
Balance]])=1,LoanAmount,INDEX(PaymentSchedule33[Ending
Balance],ROW()-ROW(PaymentSchedule33[[#Headers],[Beginning
Balance]])-1)),"")</f>
        <v>68643.219845876709</v>
      </c>
      <c r="E332" s="25">
        <f ca="1">IF(PaymentSchedule33[[#This Row],[Payment Number]]&lt;&gt;"",ScheduledPayment,"")</f>
        <v>1784.9318965153623</v>
      </c>
      <c r="F33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2" s="25">
        <f ca="1">IF(PaymentSchedule33[[#This Row],[Payment Number]]&lt;&gt;"",PaymentSchedule33[[#This Row],[Total
Payment]]-PaymentSchedule33[[#This Row],[Interest]],"")</f>
        <v>1498.9184804908759</v>
      </c>
      <c r="I332" s="25">
        <f ca="1">IF(PaymentSchedule33[[#This Row],[Payment Number]]&lt;&gt;"",PaymentSchedule33[[#This Row],[Beginning
Balance]]*(InterestRate/PaymentsPerYear),"")</f>
        <v>286.01341602448628</v>
      </c>
      <c r="J332" s="25">
        <f ca="1">IF(PaymentSchedule33[[#This Row],[Payment Number]]&lt;&gt;"",IF(PaymentSchedule33[[#This Row],[Scheduled Payment]]+PaymentSchedule33[[#This Row],[Extra
Payment]]&lt;=PaymentSchedule33[[#This Row],[Beginning
Balance]],PaymentSchedule33[[#This Row],[Beginning
Balance]]-PaymentSchedule33[[#This Row],[Principal]],0),"")</f>
        <v>67144.301365385836</v>
      </c>
      <c r="K332" s="25">
        <f ca="1">IF(PaymentSchedule33[[#This Row],[Payment Number]]&lt;&gt;"",SUM(INDEX(PaymentSchedule33[Interest],1,1):PaymentSchedule33[[#This Row],[Interest]]),"")</f>
        <v>304037.57635378675</v>
      </c>
      <c r="L332" s="25">
        <f ca="1">IF(PaymentSchedule33[[#This Row],[Payment Number]]&lt;&gt;"",SUM(INDEX(PaymentSchedule33[Principal],1,1):PaymentSchedule33[[#This Row],[Principal]]),"")</f>
        <v>265355.698634614</v>
      </c>
      <c r="M332" s="25">
        <f ca="1">PaymentSchedule3[[#This Row],[Total
Payment]]-PaymentSchedule33[[#This Row],[Total
Payment]]</f>
        <v>427.19889995542212</v>
      </c>
      <c r="N332" s="25">
        <f ca="1">PaymentSchedule3[[#This Row],[Interest]]-PaymentSchedule33[[#This Row],[Interest]]</f>
        <v>193.43965712700168</v>
      </c>
      <c r="O332" s="25">
        <f ca="1">PaymentSchedule3[[#This Row],[Cumulative
Interest]]-PaymentSchedule33[[#This Row],[Cumulative
Interest]]</f>
        <v>149591.42539447191</v>
      </c>
    </row>
    <row r="333" spans="2:15" x14ac:dyDescent="0.25">
      <c r="B333" s="23">
        <f ca="1">IF(LoanIsGood,IF(ROW()-ROW(PaymentSchedule33[[#Headers],[Payment Number]])&gt;ScheduledNumberOfPayments,"",ROW()-ROW(PaymentSchedule33[[#Headers],[Payment Number]])),"")</f>
        <v>320</v>
      </c>
      <c r="C333" s="24">
        <f ca="1">IF(PaymentSchedule33[[#This Row],[Payment Number]]&lt;&gt;"",EOMONTH(LoanStartDate,ROW(PaymentSchedule33[[#This Row],[Payment Number]])-ROW(PaymentSchedule33[[#Headers],[Payment Number]])-2)+DAY(LoanStartDate),"")</f>
        <v>55177</v>
      </c>
      <c r="D333" s="25">
        <f ca="1">IF(PaymentSchedule33[[#This Row],[Payment Number]]&lt;&gt;"",IF(ROW()-ROW(PaymentSchedule33[[#Headers],[Beginning
Balance]])=1,LoanAmount,INDEX(PaymentSchedule33[Ending
Balance],ROW()-ROW(PaymentSchedule33[[#Headers],[Beginning
Balance]])-1)),"")</f>
        <v>67144.301365385836</v>
      </c>
      <c r="E333" s="25">
        <f ca="1">IF(PaymentSchedule33[[#This Row],[Payment Number]]&lt;&gt;"",ScheduledPayment,"")</f>
        <v>1784.9318965153623</v>
      </c>
      <c r="F33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3" s="25">
        <f ca="1">IF(PaymentSchedule33[[#This Row],[Payment Number]]&lt;&gt;"",PaymentSchedule33[[#This Row],[Total
Payment]]-PaymentSchedule33[[#This Row],[Interest]],"")</f>
        <v>1505.163974159588</v>
      </c>
      <c r="I333" s="25">
        <f ca="1">IF(PaymentSchedule33[[#This Row],[Payment Number]]&lt;&gt;"",PaymentSchedule33[[#This Row],[Beginning
Balance]]*(InterestRate/PaymentsPerYear),"")</f>
        <v>279.76792235577432</v>
      </c>
      <c r="J333" s="25">
        <f ca="1">IF(PaymentSchedule33[[#This Row],[Payment Number]]&lt;&gt;"",IF(PaymentSchedule33[[#This Row],[Scheduled Payment]]+PaymentSchedule33[[#This Row],[Extra
Payment]]&lt;=PaymentSchedule33[[#This Row],[Beginning
Balance]],PaymentSchedule33[[#This Row],[Beginning
Balance]]-PaymentSchedule33[[#This Row],[Principal]],0),"")</f>
        <v>65639.13739122625</v>
      </c>
      <c r="K333" s="25">
        <f ca="1">IF(PaymentSchedule33[[#This Row],[Payment Number]]&lt;&gt;"",SUM(INDEX(PaymentSchedule33[Interest],1,1):PaymentSchedule33[[#This Row],[Interest]]),"")</f>
        <v>304317.34427614254</v>
      </c>
      <c r="L333" s="25">
        <f ca="1">IF(PaymentSchedule33[[#This Row],[Payment Number]]&lt;&gt;"",SUM(INDEX(PaymentSchedule33[Principal],1,1):PaymentSchedule33[[#This Row],[Principal]]),"")</f>
        <v>266860.86260877358</v>
      </c>
      <c r="M333" s="25">
        <f ca="1">PaymentSchedule3[[#This Row],[Total
Payment]]-PaymentSchedule33[[#This Row],[Total
Payment]]</f>
        <v>427.19889995542212</v>
      </c>
      <c r="N333" s="25">
        <f ca="1">PaymentSchedule3[[#This Row],[Interest]]-PaymentSchedule33[[#This Row],[Interest]]</f>
        <v>189.57786407635109</v>
      </c>
      <c r="O333" s="25">
        <f ca="1">PaymentSchedule3[[#This Row],[Cumulative
Interest]]-PaymentSchedule33[[#This Row],[Cumulative
Interest]]</f>
        <v>149781.00325854827</v>
      </c>
    </row>
    <row r="334" spans="2:15" x14ac:dyDescent="0.25">
      <c r="B334" s="23">
        <f ca="1">IF(LoanIsGood,IF(ROW()-ROW(PaymentSchedule33[[#Headers],[Payment Number]])&gt;ScheduledNumberOfPayments,"",ROW()-ROW(PaymentSchedule33[[#Headers],[Payment Number]])),"")</f>
        <v>321</v>
      </c>
      <c r="C334" s="24">
        <f ca="1">IF(PaymentSchedule33[[#This Row],[Payment Number]]&lt;&gt;"",EOMONTH(LoanStartDate,ROW(PaymentSchedule33[[#This Row],[Payment Number]])-ROW(PaymentSchedule33[[#Headers],[Payment Number]])-2)+DAY(LoanStartDate),"")</f>
        <v>55208</v>
      </c>
      <c r="D334" s="25">
        <f ca="1">IF(PaymentSchedule33[[#This Row],[Payment Number]]&lt;&gt;"",IF(ROW()-ROW(PaymentSchedule33[[#Headers],[Beginning
Balance]])=1,LoanAmount,INDEX(PaymentSchedule33[Ending
Balance],ROW()-ROW(PaymentSchedule33[[#Headers],[Beginning
Balance]])-1)),"")</f>
        <v>65639.13739122625</v>
      </c>
      <c r="E334" s="25">
        <f ca="1">IF(PaymentSchedule33[[#This Row],[Payment Number]]&lt;&gt;"",ScheduledPayment,"")</f>
        <v>1784.9318965153623</v>
      </c>
      <c r="F33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4" s="25">
        <f ca="1">IF(PaymentSchedule33[[#This Row],[Payment Number]]&lt;&gt;"",PaymentSchedule33[[#This Row],[Total
Payment]]-PaymentSchedule33[[#This Row],[Interest]],"")</f>
        <v>1511.4354907185862</v>
      </c>
      <c r="I334" s="25">
        <f ca="1">IF(PaymentSchedule33[[#This Row],[Payment Number]]&lt;&gt;"",PaymentSchedule33[[#This Row],[Beginning
Balance]]*(InterestRate/PaymentsPerYear),"")</f>
        <v>273.49640579677606</v>
      </c>
      <c r="J334" s="25">
        <f ca="1">IF(PaymentSchedule33[[#This Row],[Payment Number]]&lt;&gt;"",IF(PaymentSchedule33[[#This Row],[Scheduled Payment]]+PaymentSchedule33[[#This Row],[Extra
Payment]]&lt;=PaymentSchedule33[[#This Row],[Beginning
Balance]],PaymentSchedule33[[#This Row],[Beginning
Balance]]-PaymentSchedule33[[#This Row],[Principal]],0),"")</f>
        <v>64127.701900507665</v>
      </c>
      <c r="K334" s="25">
        <f ca="1">IF(PaymentSchedule33[[#This Row],[Payment Number]]&lt;&gt;"",SUM(INDEX(PaymentSchedule33[Interest],1,1):PaymentSchedule33[[#This Row],[Interest]]),"")</f>
        <v>304590.84068193933</v>
      </c>
      <c r="L334" s="25">
        <f ca="1">IF(PaymentSchedule33[[#This Row],[Payment Number]]&lt;&gt;"",SUM(INDEX(PaymentSchedule33[Principal],1,1):PaymentSchedule33[[#This Row],[Principal]]),"")</f>
        <v>268372.29809949215</v>
      </c>
      <c r="M334" s="25">
        <f ca="1">PaymentSchedule3[[#This Row],[Total
Payment]]-PaymentSchedule33[[#This Row],[Total
Payment]]</f>
        <v>427.19889995542212</v>
      </c>
      <c r="N334" s="25">
        <f ca="1">PaymentSchedule3[[#This Row],[Interest]]-PaymentSchedule33[[#This Row],[Interest]]</f>
        <v>185.68313474345717</v>
      </c>
      <c r="O334" s="25">
        <f ca="1">PaymentSchedule3[[#This Row],[Cumulative
Interest]]-PaymentSchedule33[[#This Row],[Cumulative
Interest]]</f>
        <v>149966.68639329169</v>
      </c>
    </row>
    <row r="335" spans="2:15" x14ac:dyDescent="0.25">
      <c r="B335" s="23">
        <f ca="1">IF(LoanIsGood,IF(ROW()-ROW(PaymentSchedule33[[#Headers],[Payment Number]])&gt;ScheduledNumberOfPayments,"",ROW()-ROW(PaymentSchedule33[[#Headers],[Payment Number]])),"")</f>
        <v>322</v>
      </c>
      <c r="C335" s="24">
        <f ca="1">IF(PaymentSchedule33[[#This Row],[Payment Number]]&lt;&gt;"",EOMONTH(LoanStartDate,ROW(PaymentSchedule33[[#This Row],[Payment Number]])-ROW(PaymentSchedule33[[#Headers],[Payment Number]])-2)+DAY(LoanStartDate),"")</f>
        <v>55236</v>
      </c>
      <c r="D335" s="25">
        <f ca="1">IF(PaymentSchedule33[[#This Row],[Payment Number]]&lt;&gt;"",IF(ROW()-ROW(PaymentSchedule33[[#Headers],[Beginning
Balance]])=1,LoanAmount,INDEX(PaymentSchedule33[Ending
Balance],ROW()-ROW(PaymentSchedule33[[#Headers],[Beginning
Balance]])-1)),"")</f>
        <v>64127.701900507665</v>
      </c>
      <c r="E335" s="25">
        <f ca="1">IF(PaymentSchedule33[[#This Row],[Payment Number]]&lt;&gt;"",ScheduledPayment,"")</f>
        <v>1784.9318965153623</v>
      </c>
      <c r="F33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5" s="25">
        <f ca="1">IF(PaymentSchedule33[[#This Row],[Payment Number]]&lt;&gt;"",PaymentSchedule33[[#This Row],[Total
Payment]]-PaymentSchedule33[[#This Row],[Interest]],"")</f>
        <v>1517.7331385965804</v>
      </c>
      <c r="I335" s="25">
        <f ca="1">IF(PaymentSchedule33[[#This Row],[Payment Number]]&lt;&gt;"",PaymentSchedule33[[#This Row],[Beginning
Balance]]*(InterestRate/PaymentsPerYear),"")</f>
        <v>267.19875791878195</v>
      </c>
      <c r="J335" s="25">
        <f ca="1">IF(PaymentSchedule33[[#This Row],[Payment Number]]&lt;&gt;"",IF(PaymentSchedule33[[#This Row],[Scheduled Payment]]+PaymentSchedule33[[#This Row],[Extra
Payment]]&lt;=PaymentSchedule33[[#This Row],[Beginning
Balance]],PaymentSchedule33[[#This Row],[Beginning
Balance]]-PaymentSchedule33[[#This Row],[Principal]],0),"")</f>
        <v>62609.968761911085</v>
      </c>
      <c r="K335" s="25">
        <f ca="1">IF(PaymentSchedule33[[#This Row],[Payment Number]]&lt;&gt;"",SUM(INDEX(PaymentSchedule33[Interest],1,1):PaymentSchedule33[[#This Row],[Interest]]),"")</f>
        <v>304858.03943985811</v>
      </c>
      <c r="L335" s="25">
        <f ca="1">IF(PaymentSchedule33[[#This Row],[Payment Number]]&lt;&gt;"",SUM(INDEX(PaymentSchedule33[Principal],1,1):PaymentSchedule33[[#This Row],[Principal]]),"")</f>
        <v>269890.03123808873</v>
      </c>
      <c r="M335" s="25">
        <f ca="1">PaymentSchedule3[[#This Row],[Total
Payment]]-PaymentSchedule33[[#This Row],[Total
Payment]]</f>
        <v>427.19889995542212</v>
      </c>
      <c r="N335" s="25">
        <f ca="1">PaymentSchedule3[[#This Row],[Interest]]-PaymentSchedule33[[#This Row],[Interest]]</f>
        <v>181.755233628523</v>
      </c>
      <c r="O335" s="25">
        <f ca="1">PaymentSchedule3[[#This Row],[Cumulative
Interest]]-PaymentSchedule33[[#This Row],[Cumulative
Interest]]</f>
        <v>150148.44162692019</v>
      </c>
    </row>
    <row r="336" spans="2:15" x14ac:dyDescent="0.25">
      <c r="B336" s="23">
        <f ca="1">IF(LoanIsGood,IF(ROW()-ROW(PaymentSchedule33[[#Headers],[Payment Number]])&gt;ScheduledNumberOfPayments,"",ROW()-ROW(PaymentSchedule33[[#Headers],[Payment Number]])),"")</f>
        <v>323</v>
      </c>
      <c r="C336" s="24">
        <f ca="1">IF(PaymentSchedule33[[#This Row],[Payment Number]]&lt;&gt;"",EOMONTH(LoanStartDate,ROW(PaymentSchedule33[[#This Row],[Payment Number]])-ROW(PaymentSchedule33[[#Headers],[Payment Number]])-2)+DAY(LoanStartDate),"")</f>
        <v>55267</v>
      </c>
      <c r="D336" s="25">
        <f ca="1">IF(PaymentSchedule33[[#This Row],[Payment Number]]&lt;&gt;"",IF(ROW()-ROW(PaymentSchedule33[[#Headers],[Beginning
Balance]])=1,LoanAmount,INDEX(PaymentSchedule33[Ending
Balance],ROW()-ROW(PaymentSchedule33[[#Headers],[Beginning
Balance]])-1)),"")</f>
        <v>62609.968761911085</v>
      </c>
      <c r="E336" s="25">
        <f ca="1">IF(PaymentSchedule33[[#This Row],[Payment Number]]&lt;&gt;"",ScheduledPayment,"")</f>
        <v>1784.9318965153623</v>
      </c>
      <c r="F33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6" s="25">
        <f ca="1">IF(PaymentSchedule33[[#This Row],[Payment Number]]&lt;&gt;"",PaymentSchedule33[[#This Row],[Total
Payment]]-PaymentSchedule33[[#This Row],[Interest]],"")</f>
        <v>1524.057026674066</v>
      </c>
      <c r="I336" s="25">
        <f ca="1">IF(PaymentSchedule33[[#This Row],[Payment Number]]&lt;&gt;"",PaymentSchedule33[[#This Row],[Beginning
Balance]]*(InterestRate/PaymentsPerYear),"")</f>
        <v>260.87486984129617</v>
      </c>
      <c r="J336" s="25">
        <f ca="1">IF(PaymentSchedule33[[#This Row],[Payment Number]]&lt;&gt;"",IF(PaymentSchedule33[[#This Row],[Scheduled Payment]]+PaymentSchedule33[[#This Row],[Extra
Payment]]&lt;=PaymentSchedule33[[#This Row],[Beginning
Balance]],PaymentSchedule33[[#This Row],[Beginning
Balance]]-PaymentSchedule33[[#This Row],[Principal]],0),"")</f>
        <v>61085.911735237016</v>
      </c>
      <c r="K336" s="25">
        <f ca="1">IF(PaymentSchedule33[[#This Row],[Payment Number]]&lt;&gt;"",SUM(INDEX(PaymentSchedule33[Interest],1,1):PaymentSchedule33[[#This Row],[Interest]]),"")</f>
        <v>305118.91430969938</v>
      </c>
      <c r="L336" s="25">
        <f ca="1">IF(PaymentSchedule33[[#This Row],[Payment Number]]&lt;&gt;"",SUM(INDEX(PaymentSchedule33[Principal],1,1):PaymentSchedule33[[#This Row],[Principal]]),"")</f>
        <v>271414.08826476277</v>
      </c>
      <c r="M336" s="25">
        <f ca="1">PaymentSchedule3[[#This Row],[Total
Payment]]-PaymentSchedule33[[#This Row],[Total
Payment]]</f>
        <v>427.19889995542212</v>
      </c>
      <c r="N336" s="25">
        <f ca="1">PaymentSchedule3[[#This Row],[Interest]]-PaymentSchedule33[[#This Row],[Interest]]</f>
        <v>177.79392367728849</v>
      </c>
      <c r="O336" s="25">
        <f ca="1">PaymentSchedule3[[#This Row],[Cumulative
Interest]]-PaymentSchedule33[[#This Row],[Cumulative
Interest]]</f>
        <v>150326.23555059748</v>
      </c>
    </row>
    <row r="337" spans="2:15" x14ac:dyDescent="0.25">
      <c r="B337" s="23">
        <f ca="1">IF(LoanIsGood,IF(ROW()-ROW(PaymentSchedule33[[#Headers],[Payment Number]])&gt;ScheduledNumberOfPayments,"",ROW()-ROW(PaymentSchedule33[[#Headers],[Payment Number]])),"")</f>
        <v>324</v>
      </c>
      <c r="C337" s="24">
        <f ca="1">IF(PaymentSchedule33[[#This Row],[Payment Number]]&lt;&gt;"",EOMONTH(LoanStartDate,ROW(PaymentSchedule33[[#This Row],[Payment Number]])-ROW(PaymentSchedule33[[#Headers],[Payment Number]])-2)+DAY(LoanStartDate),"")</f>
        <v>55297</v>
      </c>
      <c r="D337" s="25">
        <f ca="1">IF(PaymentSchedule33[[#This Row],[Payment Number]]&lt;&gt;"",IF(ROW()-ROW(PaymentSchedule33[[#Headers],[Beginning
Balance]])=1,LoanAmount,INDEX(PaymentSchedule33[Ending
Balance],ROW()-ROW(PaymentSchedule33[[#Headers],[Beginning
Balance]])-1)),"")</f>
        <v>61085.911735237016</v>
      </c>
      <c r="E337" s="25">
        <f ca="1">IF(PaymentSchedule33[[#This Row],[Payment Number]]&lt;&gt;"",ScheduledPayment,"")</f>
        <v>1784.9318965153623</v>
      </c>
      <c r="F33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7" s="25">
        <f ca="1">IF(PaymentSchedule33[[#This Row],[Payment Number]]&lt;&gt;"",PaymentSchedule33[[#This Row],[Total
Payment]]-PaymentSchedule33[[#This Row],[Interest]],"")</f>
        <v>1530.4072642852079</v>
      </c>
      <c r="I337" s="25">
        <f ca="1">IF(PaymentSchedule33[[#This Row],[Payment Number]]&lt;&gt;"",PaymentSchedule33[[#This Row],[Beginning
Balance]]*(InterestRate/PaymentsPerYear),"")</f>
        <v>254.52463223015422</v>
      </c>
      <c r="J337" s="25">
        <f ca="1">IF(PaymentSchedule33[[#This Row],[Payment Number]]&lt;&gt;"",IF(PaymentSchedule33[[#This Row],[Scheduled Payment]]+PaymentSchedule33[[#This Row],[Extra
Payment]]&lt;=PaymentSchedule33[[#This Row],[Beginning
Balance]],PaymentSchedule33[[#This Row],[Beginning
Balance]]-PaymentSchedule33[[#This Row],[Principal]],0),"")</f>
        <v>59555.504470951812</v>
      </c>
      <c r="K337" s="25">
        <f ca="1">IF(PaymentSchedule33[[#This Row],[Payment Number]]&lt;&gt;"",SUM(INDEX(PaymentSchedule33[Interest],1,1):PaymentSchedule33[[#This Row],[Interest]]),"")</f>
        <v>305373.43894192955</v>
      </c>
      <c r="L337" s="25">
        <f ca="1">IF(PaymentSchedule33[[#This Row],[Payment Number]]&lt;&gt;"",SUM(INDEX(PaymentSchedule33[Principal],1,1):PaymentSchedule33[[#This Row],[Principal]]),"")</f>
        <v>272944.49552904797</v>
      </c>
      <c r="M337" s="25">
        <f ca="1">PaymentSchedule3[[#This Row],[Total
Payment]]-PaymentSchedule33[[#This Row],[Total
Payment]]</f>
        <v>427.19889995542212</v>
      </c>
      <c r="N337" s="25">
        <f ca="1">PaymentSchedule3[[#This Row],[Interest]]-PaymentSchedule33[[#This Row],[Interest]]</f>
        <v>173.79896627120922</v>
      </c>
      <c r="O337" s="25">
        <f ca="1">PaymentSchedule3[[#This Row],[Cumulative
Interest]]-PaymentSchedule33[[#This Row],[Cumulative
Interest]]</f>
        <v>150500.03451686871</v>
      </c>
    </row>
    <row r="338" spans="2:15" x14ac:dyDescent="0.25">
      <c r="B338" s="23">
        <f ca="1">IF(LoanIsGood,IF(ROW()-ROW(PaymentSchedule33[[#Headers],[Payment Number]])&gt;ScheduledNumberOfPayments,"",ROW()-ROW(PaymentSchedule33[[#Headers],[Payment Number]])),"")</f>
        <v>325</v>
      </c>
      <c r="C338" s="24">
        <f ca="1">IF(PaymentSchedule33[[#This Row],[Payment Number]]&lt;&gt;"",EOMONTH(LoanStartDate,ROW(PaymentSchedule33[[#This Row],[Payment Number]])-ROW(PaymentSchedule33[[#Headers],[Payment Number]])-2)+DAY(LoanStartDate),"")</f>
        <v>55328</v>
      </c>
      <c r="D338" s="25">
        <f ca="1">IF(PaymentSchedule33[[#This Row],[Payment Number]]&lt;&gt;"",IF(ROW()-ROW(PaymentSchedule33[[#Headers],[Beginning
Balance]])=1,LoanAmount,INDEX(PaymentSchedule33[Ending
Balance],ROW()-ROW(PaymentSchedule33[[#Headers],[Beginning
Balance]])-1)),"")</f>
        <v>59555.504470951812</v>
      </c>
      <c r="E338" s="25">
        <f ca="1">IF(PaymentSchedule33[[#This Row],[Payment Number]]&lt;&gt;"",ScheduledPayment,"")</f>
        <v>1784.9318965153623</v>
      </c>
      <c r="F33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8" s="25">
        <f ca="1">IF(PaymentSchedule33[[#This Row],[Payment Number]]&lt;&gt;"",PaymentSchedule33[[#This Row],[Total
Payment]]-PaymentSchedule33[[#This Row],[Interest]],"")</f>
        <v>1536.7839612197297</v>
      </c>
      <c r="I338" s="25">
        <f ca="1">IF(PaymentSchedule33[[#This Row],[Payment Number]]&lt;&gt;"",PaymentSchedule33[[#This Row],[Beginning
Balance]]*(InterestRate/PaymentsPerYear),"")</f>
        <v>248.14793529563255</v>
      </c>
      <c r="J338" s="25">
        <f ca="1">IF(PaymentSchedule33[[#This Row],[Payment Number]]&lt;&gt;"",IF(PaymentSchedule33[[#This Row],[Scheduled Payment]]+PaymentSchedule33[[#This Row],[Extra
Payment]]&lt;=PaymentSchedule33[[#This Row],[Beginning
Balance]],PaymentSchedule33[[#This Row],[Beginning
Balance]]-PaymentSchedule33[[#This Row],[Principal]],0),"")</f>
        <v>58018.720509732084</v>
      </c>
      <c r="K338" s="25">
        <f ca="1">IF(PaymentSchedule33[[#This Row],[Payment Number]]&lt;&gt;"",SUM(INDEX(PaymentSchedule33[Interest],1,1):PaymentSchedule33[[#This Row],[Interest]]),"")</f>
        <v>305621.5868772252</v>
      </c>
      <c r="L338" s="25">
        <f ca="1">IF(PaymentSchedule33[[#This Row],[Payment Number]]&lt;&gt;"",SUM(INDEX(PaymentSchedule33[Principal],1,1):PaymentSchedule33[[#This Row],[Principal]]),"")</f>
        <v>274481.27949026768</v>
      </c>
      <c r="M338" s="25">
        <f ca="1">PaymentSchedule3[[#This Row],[Total
Payment]]-PaymentSchedule33[[#This Row],[Total
Payment]]</f>
        <v>427.19889995542212</v>
      </c>
      <c r="N338" s="25">
        <f ca="1">PaymentSchedule3[[#This Row],[Interest]]-PaymentSchedule33[[#This Row],[Interest]]</f>
        <v>169.77012121757596</v>
      </c>
      <c r="O338" s="25">
        <f ca="1">PaymentSchedule3[[#This Row],[Cumulative
Interest]]-PaymentSchedule33[[#This Row],[Cumulative
Interest]]</f>
        <v>150669.80463808624</v>
      </c>
    </row>
    <row r="339" spans="2:15" x14ac:dyDescent="0.25">
      <c r="B339" s="23">
        <f ca="1">IF(LoanIsGood,IF(ROW()-ROW(PaymentSchedule33[[#Headers],[Payment Number]])&gt;ScheduledNumberOfPayments,"",ROW()-ROW(PaymentSchedule33[[#Headers],[Payment Number]])),"")</f>
        <v>326</v>
      </c>
      <c r="C339" s="24">
        <f ca="1">IF(PaymentSchedule33[[#This Row],[Payment Number]]&lt;&gt;"",EOMONTH(LoanStartDate,ROW(PaymentSchedule33[[#This Row],[Payment Number]])-ROW(PaymentSchedule33[[#Headers],[Payment Number]])-2)+DAY(LoanStartDate),"")</f>
        <v>55358</v>
      </c>
      <c r="D339" s="25">
        <f ca="1">IF(PaymentSchedule33[[#This Row],[Payment Number]]&lt;&gt;"",IF(ROW()-ROW(PaymentSchedule33[[#Headers],[Beginning
Balance]])=1,LoanAmount,INDEX(PaymentSchedule33[Ending
Balance],ROW()-ROW(PaymentSchedule33[[#Headers],[Beginning
Balance]])-1)),"")</f>
        <v>58018.720509732084</v>
      </c>
      <c r="E339" s="25">
        <f ca="1">IF(PaymentSchedule33[[#This Row],[Payment Number]]&lt;&gt;"",ScheduledPayment,"")</f>
        <v>1784.9318965153623</v>
      </c>
      <c r="F33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3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39" s="25">
        <f ca="1">IF(PaymentSchedule33[[#This Row],[Payment Number]]&lt;&gt;"",PaymentSchedule33[[#This Row],[Total
Payment]]-PaymentSchedule33[[#This Row],[Interest]],"")</f>
        <v>1543.1872277248119</v>
      </c>
      <c r="I339" s="25">
        <f ca="1">IF(PaymentSchedule33[[#This Row],[Payment Number]]&lt;&gt;"",PaymentSchedule33[[#This Row],[Beginning
Balance]]*(InterestRate/PaymentsPerYear),"")</f>
        <v>241.74466879055035</v>
      </c>
      <c r="J339" s="25">
        <f ca="1">IF(PaymentSchedule33[[#This Row],[Payment Number]]&lt;&gt;"",IF(PaymentSchedule33[[#This Row],[Scheduled Payment]]+PaymentSchedule33[[#This Row],[Extra
Payment]]&lt;=PaymentSchedule33[[#This Row],[Beginning
Balance]],PaymentSchedule33[[#This Row],[Beginning
Balance]]-PaymentSchedule33[[#This Row],[Principal]],0),"")</f>
        <v>56475.533282007273</v>
      </c>
      <c r="K339" s="25">
        <f ca="1">IF(PaymentSchedule33[[#This Row],[Payment Number]]&lt;&gt;"",SUM(INDEX(PaymentSchedule33[Interest],1,1):PaymentSchedule33[[#This Row],[Interest]]),"")</f>
        <v>305863.33154601575</v>
      </c>
      <c r="L339" s="25">
        <f ca="1">IF(PaymentSchedule33[[#This Row],[Payment Number]]&lt;&gt;"",SUM(INDEX(PaymentSchedule33[Principal],1,1):PaymentSchedule33[[#This Row],[Principal]]),"")</f>
        <v>276024.4667179925</v>
      </c>
      <c r="M339" s="25">
        <f ca="1">PaymentSchedule3[[#This Row],[Total
Payment]]-PaymentSchedule33[[#This Row],[Total
Payment]]</f>
        <v>427.19889995542212</v>
      </c>
      <c r="N339" s="25">
        <f ca="1">PaymentSchedule3[[#This Row],[Interest]]-PaymentSchedule33[[#This Row],[Interest]]</f>
        <v>165.70714673957235</v>
      </c>
      <c r="O339" s="25">
        <f ca="1">PaymentSchedule3[[#This Row],[Cumulative
Interest]]-PaymentSchedule33[[#This Row],[Cumulative
Interest]]</f>
        <v>150835.51178482582</v>
      </c>
    </row>
    <row r="340" spans="2:15" x14ac:dyDescent="0.25">
      <c r="B340" s="23">
        <f ca="1">IF(LoanIsGood,IF(ROW()-ROW(PaymentSchedule33[[#Headers],[Payment Number]])&gt;ScheduledNumberOfPayments,"",ROW()-ROW(PaymentSchedule33[[#Headers],[Payment Number]])),"")</f>
        <v>327</v>
      </c>
      <c r="C340" s="24">
        <f ca="1">IF(PaymentSchedule33[[#This Row],[Payment Number]]&lt;&gt;"",EOMONTH(LoanStartDate,ROW(PaymentSchedule33[[#This Row],[Payment Number]])-ROW(PaymentSchedule33[[#Headers],[Payment Number]])-2)+DAY(LoanStartDate),"")</f>
        <v>55389</v>
      </c>
      <c r="D340" s="25">
        <f ca="1">IF(PaymentSchedule33[[#This Row],[Payment Number]]&lt;&gt;"",IF(ROW()-ROW(PaymentSchedule33[[#Headers],[Beginning
Balance]])=1,LoanAmount,INDEX(PaymentSchedule33[Ending
Balance],ROW()-ROW(PaymentSchedule33[[#Headers],[Beginning
Balance]])-1)),"")</f>
        <v>56475.533282007273</v>
      </c>
      <c r="E340" s="25">
        <f ca="1">IF(PaymentSchedule33[[#This Row],[Payment Number]]&lt;&gt;"",ScheduledPayment,"")</f>
        <v>1784.9318965153623</v>
      </c>
      <c r="F34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0" s="25">
        <f ca="1">IF(PaymentSchedule33[[#This Row],[Payment Number]]&lt;&gt;"",PaymentSchedule33[[#This Row],[Total
Payment]]-PaymentSchedule33[[#This Row],[Interest]],"")</f>
        <v>1549.6171745069987</v>
      </c>
      <c r="I340" s="25">
        <f ca="1">IF(PaymentSchedule33[[#This Row],[Payment Number]]&lt;&gt;"",PaymentSchedule33[[#This Row],[Beginning
Balance]]*(InterestRate/PaymentsPerYear),"")</f>
        <v>235.31472200836365</v>
      </c>
      <c r="J340" s="25">
        <f ca="1">IF(PaymentSchedule33[[#This Row],[Payment Number]]&lt;&gt;"",IF(PaymentSchedule33[[#This Row],[Scheduled Payment]]+PaymentSchedule33[[#This Row],[Extra
Payment]]&lt;=PaymentSchedule33[[#This Row],[Beginning
Balance]],PaymentSchedule33[[#This Row],[Beginning
Balance]]-PaymentSchedule33[[#This Row],[Principal]],0),"")</f>
        <v>54925.916107500278</v>
      </c>
      <c r="K340" s="25">
        <f ca="1">IF(PaymentSchedule33[[#This Row],[Payment Number]]&lt;&gt;"",SUM(INDEX(PaymentSchedule33[Interest],1,1):PaymentSchedule33[[#This Row],[Interest]]),"")</f>
        <v>306098.64626802411</v>
      </c>
      <c r="L340" s="25">
        <f ca="1">IF(PaymentSchedule33[[#This Row],[Payment Number]]&lt;&gt;"",SUM(INDEX(PaymentSchedule33[Principal],1,1):PaymentSchedule33[[#This Row],[Principal]]),"")</f>
        <v>277574.0838924995</v>
      </c>
      <c r="M340" s="25">
        <f ca="1">PaymentSchedule3[[#This Row],[Total
Payment]]-PaymentSchedule33[[#This Row],[Total
Payment]]</f>
        <v>427.19889995542212</v>
      </c>
      <c r="N340" s="25">
        <f ca="1">PaymentSchedule3[[#This Row],[Interest]]-PaymentSchedule33[[#This Row],[Interest]]</f>
        <v>161.60979946627182</v>
      </c>
      <c r="O340" s="25">
        <f ca="1">PaymentSchedule3[[#This Row],[Cumulative
Interest]]-PaymentSchedule33[[#This Row],[Cumulative
Interest]]</f>
        <v>150997.12158429209</v>
      </c>
    </row>
    <row r="341" spans="2:15" x14ac:dyDescent="0.25">
      <c r="B341" s="23">
        <f ca="1">IF(LoanIsGood,IF(ROW()-ROW(PaymentSchedule33[[#Headers],[Payment Number]])&gt;ScheduledNumberOfPayments,"",ROW()-ROW(PaymentSchedule33[[#Headers],[Payment Number]])),"")</f>
        <v>328</v>
      </c>
      <c r="C341" s="24">
        <f ca="1">IF(PaymentSchedule33[[#This Row],[Payment Number]]&lt;&gt;"",EOMONTH(LoanStartDate,ROW(PaymentSchedule33[[#This Row],[Payment Number]])-ROW(PaymentSchedule33[[#Headers],[Payment Number]])-2)+DAY(LoanStartDate),"")</f>
        <v>55420</v>
      </c>
      <c r="D341" s="25">
        <f ca="1">IF(PaymentSchedule33[[#This Row],[Payment Number]]&lt;&gt;"",IF(ROW()-ROW(PaymentSchedule33[[#Headers],[Beginning
Balance]])=1,LoanAmount,INDEX(PaymentSchedule33[Ending
Balance],ROW()-ROW(PaymentSchedule33[[#Headers],[Beginning
Balance]])-1)),"")</f>
        <v>54925.916107500278</v>
      </c>
      <c r="E341" s="25">
        <f ca="1">IF(PaymentSchedule33[[#This Row],[Payment Number]]&lt;&gt;"",ScheduledPayment,"")</f>
        <v>1784.9318965153623</v>
      </c>
      <c r="F34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1" s="25">
        <f ca="1">IF(PaymentSchedule33[[#This Row],[Payment Number]]&lt;&gt;"",PaymentSchedule33[[#This Row],[Total
Payment]]-PaymentSchedule33[[#This Row],[Interest]],"")</f>
        <v>1556.0739127341112</v>
      </c>
      <c r="I341" s="25">
        <f ca="1">IF(PaymentSchedule33[[#This Row],[Payment Number]]&lt;&gt;"",PaymentSchedule33[[#This Row],[Beginning
Balance]]*(InterestRate/PaymentsPerYear),"")</f>
        <v>228.85798378125116</v>
      </c>
      <c r="J341" s="25">
        <f ca="1">IF(PaymentSchedule33[[#This Row],[Payment Number]]&lt;&gt;"",IF(PaymentSchedule33[[#This Row],[Scheduled Payment]]+PaymentSchedule33[[#This Row],[Extra
Payment]]&lt;=PaymentSchedule33[[#This Row],[Beginning
Balance]],PaymentSchedule33[[#This Row],[Beginning
Balance]]-PaymentSchedule33[[#This Row],[Principal]],0),"")</f>
        <v>53369.84219476617</v>
      </c>
      <c r="K341" s="25">
        <f ca="1">IF(PaymentSchedule33[[#This Row],[Payment Number]]&lt;&gt;"",SUM(INDEX(PaymentSchedule33[Interest],1,1):PaymentSchedule33[[#This Row],[Interest]]),"")</f>
        <v>306327.50425180537</v>
      </c>
      <c r="L341" s="25">
        <f ca="1">IF(PaymentSchedule33[[#This Row],[Payment Number]]&lt;&gt;"",SUM(INDEX(PaymentSchedule33[Principal],1,1):PaymentSchedule33[[#This Row],[Principal]]),"")</f>
        <v>279130.15780523361</v>
      </c>
      <c r="M341" s="25">
        <f ca="1">PaymentSchedule3[[#This Row],[Total
Payment]]-PaymentSchedule33[[#This Row],[Total
Payment]]</f>
        <v>427.19889995542212</v>
      </c>
      <c r="N341" s="25">
        <f ca="1">PaymentSchedule3[[#This Row],[Interest]]-PaymentSchedule33[[#This Row],[Interest]]</f>
        <v>157.47783442257349</v>
      </c>
      <c r="O341" s="25">
        <f ca="1">PaymentSchedule3[[#This Row],[Cumulative
Interest]]-PaymentSchedule33[[#This Row],[Cumulative
Interest]]</f>
        <v>151154.59941871464</v>
      </c>
    </row>
    <row r="342" spans="2:15" x14ac:dyDescent="0.25">
      <c r="B342" s="23">
        <f ca="1">IF(LoanIsGood,IF(ROW()-ROW(PaymentSchedule33[[#Headers],[Payment Number]])&gt;ScheduledNumberOfPayments,"",ROW()-ROW(PaymentSchedule33[[#Headers],[Payment Number]])),"")</f>
        <v>329</v>
      </c>
      <c r="C342" s="24">
        <f ca="1">IF(PaymentSchedule33[[#This Row],[Payment Number]]&lt;&gt;"",EOMONTH(LoanStartDate,ROW(PaymentSchedule33[[#This Row],[Payment Number]])-ROW(PaymentSchedule33[[#Headers],[Payment Number]])-2)+DAY(LoanStartDate),"")</f>
        <v>55450</v>
      </c>
      <c r="D342" s="25">
        <f ca="1">IF(PaymentSchedule33[[#This Row],[Payment Number]]&lt;&gt;"",IF(ROW()-ROW(PaymentSchedule33[[#Headers],[Beginning
Balance]])=1,LoanAmount,INDEX(PaymentSchedule33[Ending
Balance],ROW()-ROW(PaymentSchedule33[[#Headers],[Beginning
Balance]])-1)),"")</f>
        <v>53369.84219476617</v>
      </c>
      <c r="E342" s="25">
        <f ca="1">IF(PaymentSchedule33[[#This Row],[Payment Number]]&lt;&gt;"",ScheduledPayment,"")</f>
        <v>1784.9318965153623</v>
      </c>
      <c r="F34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2" s="25">
        <f ca="1">IF(PaymentSchedule33[[#This Row],[Payment Number]]&lt;&gt;"",PaymentSchedule33[[#This Row],[Total
Payment]]-PaymentSchedule33[[#This Row],[Interest]],"")</f>
        <v>1562.5575540371699</v>
      </c>
      <c r="I342" s="25">
        <f ca="1">IF(PaymentSchedule33[[#This Row],[Payment Number]]&lt;&gt;"",PaymentSchedule33[[#This Row],[Beginning
Balance]]*(InterestRate/PaymentsPerYear),"")</f>
        <v>222.37434247819237</v>
      </c>
      <c r="J342" s="25">
        <f ca="1">IF(PaymentSchedule33[[#This Row],[Payment Number]]&lt;&gt;"",IF(PaymentSchedule33[[#This Row],[Scheduled Payment]]+PaymentSchedule33[[#This Row],[Extra
Payment]]&lt;=PaymentSchedule33[[#This Row],[Beginning
Balance]],PaymentSchedule33[[#This Row],[Beginning
Balance]]-PaymentSchedule33[[#This Row],[Principal]],0),"")</f>
        <v>51807.284640728998</v>
      </c>
      <c r="K342" s="25">
        <f ca="1">IF(PaymentSchedule33[[#This Row],[Payment Number]]&lt;&gt;"",SUM(INDEX(PaymentSchedule33[Interest],1,1):PaymentSchedule33[[#This Row],[Interest]]),"")</f>
        <v>306549.87859428354</v>
      </c>
      <c r="L342" s="25">
        <f ca="1">IF(PaymentSchedule33[[#This Row],[Payment Number]]&lt;&gt;"",SUM(INDEX(PaymentSchedule33[Principal],1,1):PaymentSchedule33[[#This Row],[Principal]]),"")</f>
        <v>280692.71535927081</v>
      </c>
      <c r="M342" s="25">
        <f ca="1">PaymentSchedule3[[#This Row],[Total
Payment]]-PaymentSchedule33[[#This Row],[Total
Payment]]</f>
        <v>427.19889995542212</v>
      </c>
      <c r="N342" s="25">
        <f ca="1">PaymentSchedule3[[#This Row],[Interest]]-PaymentSchedule33[[#This Row],[Interest]]</f>
        <v>153.31100501907497</v>
      </c>
      <c r="O342" s="25">
        <f ca="1">PaymentSchedule3[[#This Row],[Cumulative
Interest]]-PaymentSchedule33[[#This Row],[Cumulative
Interest]]</f>
        <v>151307.91042373376</v>
      </c>
    </row>
    <row r="343" spans="2:15" x14ac:dyDescent="0.25">
      <c r="B343" s="23">
        <f ca="1">IF(LoanIsGood,IF(ROW()-ROW(PaymentSchedule33[[#Headers],[Payment Number]])&gt;ScheduledNumberOfPayments,"",ROW()-ROW(PaymentSchedule33[[#Headers],[Payment Number]])),"")</f>
        <v>330</v>
      </c>
      <c r="C343" s="24">
        <f ca="1">IF(PaymentSchedule33[[#This Row],[Payment Number]]&lt;&gt;"",EOMONTH(LoanStartDate,ROW(PaymentSchedule33[[#This Row],[Payment Number]])-ROW(PaymentSchedule33[[#Headers],[Payment Number]])-2)+DAY(LoanStartDate),"")</f>
        <v>55481</v>
      </c>
      <c r="D343" s="25">
        <f ca="1">IF(PaymentSchedule33[[#This Row],[Payment Number]]&lt;&gt;"",IF(ROW()-ROW(PaymentSchedule33[[#Headers],[Beginning
Balance]])=1,LoanAmount,INDEX(PaymentSchedule33[Ending
Balance],ROW()-ROW(PaymentSchedule33[[#Headers],[Beginning
Balance]])-1)),"")</f>
        <v>51807.284640728998</v>
      </c>
      <c r="E343" s="25">
        <f ca="1">IF(PaymentSchedule33[[#This Row],[Payment Number]]&lt;&gt;"",ScheduledPayment,"")</f>
        <v>1784.9318965153623</v>
      </c>
      <c r="F34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3" s="25">
        <f ca="1">IF(PaymentSchedule33[[#This Row],[Payment Number]]&lt;&gt;"",PaymentSchedule33[[#This Row],[Total
Payment]]-PaymentSchedule33[[#This Row],[Interest]],"")</f>
        <v>1569.0682105123249</v>
      </c>
      <c r="I343" s="25">
        <f ca="1">IF(PaymentSchedule33[[#This Row],[Payment Number]]&lt;&gt;"",PaymentSchedule33[[#This Row],[Beginning
Balance]]*(InterestRate/PaymentsPerYear),"")</f>
        <v>215.86368600303749</v>
      </c>
      <c r="J343" s="25">
        <f ca="1">IF(PaymentSchedule33[[#This Row],[Payment Number]]&lt;&gt;"",IF(PaymentSchedule33[[#This Row],[Scheduled Payment]]+PaymentSchedule33[[#This Row],[Extra
Payment]]&lt;=PaymentSchedule33[[#This Row],[Beginning
Balance]],PaymentSchedule33[[#This Row],[Beginning
Balance]]-PaymentSchedule33[[#This Row],[Principal]],0),"")</f>
        <v>50238.216430216671</v>
      </c>
      <c r="K343" s="25">
        <f ca="1">IF(PaymentSchedule33[[#This Row],[Payment Number]]&lt;&gt;"",SUM(INDEX(PaymentSchedule33[Interest],1,1):PaymentSchedule33[[#This Row],[Interest]]),"")</f>
        <v>306765.74228028656</v>
      </c>
      <c r="L343" s="25">
        <f ca="1">IF(PaymentSchedule33[[#This Row],[Payment Number]]&lt;&gt;"",SUM(INDEX(PaymentSchedule33[Principal],1,1):PaymentSchedule33[[#This Row],[Principal]]),"")</f>
        <v>282261.78356978315</v>
      </c>
      <c r="M343" s="25">
        <f ca="1">PaymentSchedule3[[#This Row],[Total
Payment]]-PaymentSchedule33[[#This Row],[Total
Payment]]</f>
        <v>427.19889995542212</v>
      </c>
      <c r="N343" s="25">
        <f ca="1">PaymentSchedule3[[#This Row],[Interest]]-PaymentSchedule33[[#This Row],[Interest]]</f>
        <v>149.10906304188435</v>
      </c>
      <c r="O343" s="25">
        <f ca="1">PaymentSchedule3[[#This Row],[Cumulative
Interest]]-PaymentSchedule33[[#This Row],[Cumulative
Interest]]</f>
        <v>151457.01948677568</v>
      </c>
    </row>
    <row r="344" spans="2:15" x14ac:dyDescent="0.25">
      <c r="B344" s="23">
        <f ca="1">IF(LoanIsGood,IF(ROW()-ROW(PaymentSchedule33[[#Headers],[Payment Number]])&gt;ScheduledNumberOfPayments,"",ROW()-ROW(PaymentSchedule33[[#Headers],[Payment Number]])),"")</f>
        <v>331</v>
      </c>
      <c r="C344" s="24">
        <f ca="1">IF(PaymentSchedule33[[#This Row],[Payment Number]]&lt;&gt;"",EOMONTH(LoanStartDate,ROW(PaymentSchedule33[[#This Row],[Payment Number]])-ROW(PaymentSchedule33[[#Headers],[Payment Number]])-2)+DAY(LoanStartDate),"")</f>
        <v>55511</v>
      </c>
      <c r="D344" s="25">
        <f ca="1">IF(PaymentSchedule33[[#This Row],[Payment Number]]&lt;&gt;"",IF(ROW()-ROW(PaymentSchedule33[[#Headers],[Beginning
Balance]])=1,LoanAmount,INDEX(PaymentSchedule33[Ending
Balance],ROW()-ROW(PaymentSchedule33[[#Headers],[Beginning
Balance]])-1)),"")</f>
        <v>50238.216430216671</v>
      </c>
      <c r="E344" s="25">
        <f ca="1">IF(PaymentSchedule33[[#This Row],[Payment Number]]&lt;&gt;"",ScheduledPayment,"")</f>
        <v>1784.9318965153623</v>
      </c>
      <c r="F34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4" s="25">
        <f ca="1">IF(PaymentSchedule33[[#This Row],[Payment Number]]&lt;&gt;"",PaymentSchedule33[[#This Row],[Total
Payment]]-PaymentSchedule33[[#This Row],[Interest]],"")</f>
        <v>1575.6059947227927</v>
      </c>
      <c r="I344" s="25">
        <f ca="1">IF(PaymentSchedule33[[#This Row],[Payment Number]]&lt;&gt;"",PaymentSchedule33[[#This Row],[Beginning
Balance]]*(InterestRate/PaymentsPerYear),"")</f>
        <v>209.32590179256945</v>
      </c>
      <c r="J344" s="25">
        <f ca="1">IF(PaymentSchedule33[[#This Row],[Payment Number]]&lt;&gt;"",IF(PaymentSchedule33[[#This Row],[Scheduled Payment]]+PaymentSchedule33[[#This Row],[Extra
Payment]]&lt;=PaymentSchedule33[[#This Row],[Beginning
Balance]],PaymentSchedule33[[#This Row],[Beginning
Balance]]-PaymentSchedule33[[#This Row],[Principal]],0),"")</f>
        <v>48662.61043549388</v>
      </c>
      <c r="K344" s="25">
        <f ca="1">IF(PaymentSchedule33[[#This Row],[Payment Number]]&lt;&gt;"",SUM(INDEX(PaymentSchedule33[Interest],1,1):PaymentSchedule33[[#This Row],[Interest]]),"")</f>
        <v>306975.06818207912</v>
      </c>
      <c r="L344" s="25">
        <f ca="1">IF(PaymentSchedule33[[#This Row],[Payment Number]]&lt;&gt;"",SUM(INDEX(PaymentSchedule33[Principal],1,1):PaymentSchedule33[[#This Row],[Principal]]),"")</f>
        <v>283837.38956450595</v>
      </c>
      <c r="M344" s="25">
        <f ca="1">PaymentSchedule3[[#This Row],[Total
Payment]]-PaymentSchedule33[[#This Row],[Total
Payment]]</f>
        <v>427.19889995542212</v>
      </c>
      <c r="N344" s="25">
        <f ca="1">PaymentSchedule3[[#This Row],[Interest]]-PaymentSchedule33[[#This Row],[Interest]]</f>
        <v>144.87175864236823</v>
      </c>
      <c r="O344" s="25">
        <f ca="1">PaymentSchedule3[[#This Row],[Cumulative
Interest]]-PaymentSchedule33[[#This Row],[Cumulative
Interest]]</f>
        <v>151601.89124541805</v>
      </c>
    </row>
    <row r="345" spans="2:15" x14ac:dyDescent="0.25">
      <c r="B345" s="23">
        <f ca="1">IF(LoanIsGood,IF(ROW()-ROW(PaymentSchedule33[[#Headers],[Payment Number]])&gt;ScheduledNumberOfPayments,"",ROW()-ROW(PaymentSchedule33[[#Headers],[Payment Number]])),"")</f>
        <v>332</v>
      </c>
      <c r="C345" s="24">
        <f ca="1">IF(PaymentSchedule33[[#This Row],[Payment Number]]&lt;&gt;"",EOMONTH(LoanStartDate,ROW(PaymentSchedule33[[#This Row],[Payment Number]])-ROW(PaymentSchedule33[[#Headers],[Payment Number]])-2)+DAY(LoanStartDate),"")</f>
        <v>55542</v>
      </c>
      <c r="D345" s="25">
        <f ca="1">IF(PaymentSchedule33[[#This Row],[Payment Number]]&lt;&gt;"",IF(ROW()-ROW(PaymentSchedule33[[#Headers],[Beginning
Balance]])=1,LoanAmount,INDEX(PaymentSchedule33[Ending
Balance],ROW()-ROW(PaymentSchedule33[[#Headers],[Beginning
Balance]])-1)),"")</f>
        <v>48662.61043549388</v>
      </c>
      <c r="E345" s="25">
        <f ca="1">IF(PaymentSchedule33[[#This Row],[Payment Number]]&lt;&gt;"",ScheduledPayment,"")</f>
        <v>1784.9318965153623</v>
      </c>
      <c r="F34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5" s="25">
        <f ca="1">IF(PaymentSchedule33[[#This Row],[Payment Number]]&lt;&gt;"",PaymentSchedule33[[#This Row],[Total
Payment]]-PaymentSchedule33[[#This Row],[Interest]],"")</f>
        <v>1582.1710197008044</v>
      </c>
      <c r="I345" s="25">
        <f ca="1">IF(PaymentSchedule33[[#This Row],[Payment Number]]&lt;&gt;"",PaymentSchedule33[[#This Row],[Beginning
Balance]]*(InterestRate/PaymentsPerYear),"")</f>
        <v>202.76087681455783</v>
      </c>
      <c r="J345" s="25">
        <f ca="1">IF(PaymentSchedule33[[#This Row],[Payment Number]]&lt;&gt;"",IF(PaymentSchedule33[[#This Row],[Scheduled Payment]]+PaymentSchedule33[[#This Row],[Extra
Payment]]&lt;=PaymentSchedule33[[#This Row],[Beginning
Balance]],PaymentSchedule33[[#This Row],[Beginning
Balance]]-PaymentSchedule33[[#This Row],[Principal]],0),"")</f>
        <v>47080.439415793073</v>
      </c>
      <c r="K345" s="25">
        <f ca="1">IF(PaymentSchedule33[[#This Row],[Payment Number]]&lt;&gt;"",SUM(INDEX(PaymentSchedule33[Interest],1,1):PaymentSchedule33[[#This Row],[Interest]]),"")</f>
        <v>307177.82905889367</v>
      </c>
      <c r="L345" s="25">
        <f ca="1">IF(PaymentSchedule33[[#This Row],[Payment Number]]&lt;&gt;"",SUM(INDEX(PaymentSchedule33[Principal],1,1):PaymentSchedule33[[#This Row],[Principal]]),"")</f>
        <v>285419.56058420677</v>
      </c>
      <c r="M345" s="25">
        <f ca="1">PaymentSchedule3[[#This Row],[Total
Payment]]-PaymentSchedule33[[#This Row],[Total
Payment]]</f>
        <v>427.19889995542212</v>
      </c>
      <c r="N345" s="25">
        <f ca="1">PaymentSchedule3[[#This Row],[Interest]]-PaymentSchedule33[[#This Row],[Interest]]</f>
        <v>140.59884032683738</v>
      </c>
      <c r="O345" s="25">
        <f ca="1">PaymentSchedule3[[#This Row],[Cumulative
Interest]]-PaymentSchedule33[[#This Row],[Cumulative
Interest]]</f>
        <v>151742.49008574488</v>
      </c>
    </row>
    <row r="346" spans="2:15" x14ac:dyDescent="0.25">
      <c r="B346" s="23">
        <f ca="1">IF(LoanIsGood,IF(ROW()-ROW(PaymentSchedule33[[#Headers],[Payment Number]])&gt;ScheduledNumberOfPayments,"",ROW()-ROW(PaymentSchedule33[[#Headers],[Payment Number]])),"")</f>
        <v>333</v>
      </c>
      <c r="C346" s="24">
        <f ca="1">IF(PaymentSchedule33[[#This Row],[Payment Number]]&lt;&gt;"",EOMONTH(LoanStartDate,ROW(PaymentSchedule33[[#This Row],[Payment Number]])-ROW(PaymentSchedule33[[#Headers],[Payment Number]])-2)+DAY(LoanStartDate),"")</f>
        <v>55573</v>
      </c>
      <c r="D346" s="25">
        <f ca="1">IF(PaymentSchedule33[[#This Row],[Payment Number]]&lt;&gt;"",IF(ROW()-ROW(PaymentSchedule33[[#Headers],[Beginning
Balance]])=1,LoanAmount,INDEX(PaymentSchedule33[Ending
Balance],ROW()-ROW(PaymentSchedule33[[#Headers],[Beginning
Balance]])-1)),"")</f>
        <v>47080.439415793073</v>
      </c>
      <c r="E346" s="25">
        <f ca="1">IF(PaymentSchedule33[[#This Row],[Payment Number]]&lt;&gt;"",ScheduledPayment,"")</f>
        <v>1784.9318965153623</v>
      </c>
      <c r="F34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6" s="25">
        <f ca="1">IF(PaymentSchedule33[[#This Row],[Payment Number]]&lt;&gt;"",PaymentSchedule33[[#This Row],[Total
Payment]]-PaymentSchedule33[[#This Row],[Interest]],"")</f>
        <v>1588.7633989495578</v>
      </c>
      <c r="I346" s="25">
        <f ca="1">IF(PaymentSchedule33[[#This Row],[Payment Number]]&lt;&gt;"",PaymentSchedule33[[#This Row],[Beginning
Balance]]*(InterestRate/PaymentsPerYear),"")</f>
        <v>196.16849756580447</v>
      </c>
      <c r="J346" s="25">
        <f ca="1">IF(PaymentSchedule33[[#This Row],[Payment Number]]&lt;&gt;"",IF(PaymentSchedule33[[#This Row],[Scheduled Payment]]+PaymentSchedule33[[#This Row],[Extra
Payment]]&lt;=PaymentSchedule33[[#This Row],[Beginning
Balance]],PaymentSchedule33[[#This Row],[Beginning
Balance]]-PaymentSchedule33[[#This Row],[Principal]],0),"")</f>
        <v>45491.676016843514</v>
      </c>
      <c r="K346" s="25">
        <f ca="1">IF(PaymentSchedule33[[#This Row],[Payment Number]]&lt;&gt;"",SUM(INDEX(PaymentSchedule33[Interest],1,1):PaymentSchedule33[[#This Row],[Interest]]),"")</f>
        <v>307373.99755645945</v>
      </c>
      <c r="L346" s="25">
        <f ca="1">IF(PaymentSchedule33[[#This Row],[Payment Number]]&lt;&gt;"",SUM(INDEX(PaymentSchedule33[Principal],1,1):PaymentSchedule33[[#This Row],[Principal]]),"")</f>
        <v>287008.32398315636</v>
      </c>
      <c r="M346" s="25">
        <f ca="1">PaymentSchedule3[[#This Row],[Total
Payment]]-PaymentSchedule33[[#This Row],[Total
Payment]]</f>
        <v>427.19889995542212</v>
      </c>
      <c r="N346" s="25">
        <f ca="1">PaymentSchedule3[[#This Row],[Interest]]-PaymentSchedule33[[#This Row],[Interest]]</f>
        <v>136.29005494616931</v>
      </c>
      <c r="O346" s="25">
        <f ca="1">PaymentSchedule3[[#This Row],[Cumulative
Interest]]-PaymentSchedule33[[#This Row],[Cumulative
Interest]]</f>
        <v>151878.78014069109</v>
      </c>
    </row>
    <row r="347" spans="2:15" x14ac:dyDescent="0.25">
      <c r="B347" s="23">
        <f ca="1">IF(LoanIsGood,IF(ROW()-ROW(PaymentSchedule33[[#Headers],[Payment Number]])&gt;ScheduledNumberOfPayments,"",ROW()-ROW(PaymentSchedule33[[#Headers],[Payment Number]])),"")</f>
        <v>334</v>
      </c>
      <c r="C347" s="24">
        <f ca="1">IF(PaymentSchedule33[[#This Row],[Payment Number]]&lt;&gt;"",EOMONTH(LoanStartDate,ROW(PaymentSchedule33[[#This Row],[Payment Number]])-ROW(PaymentSchedule33[[#Headers],[Payment Number]])-2)+DAY(LoanStartDate),"")</f>
        <v>55602</v>
      </c>
      <c r="D347" s="25">
        <f ca="1">IF(PaymentSchedule33[[#This Row],[Payment Number]]&lt;&gt;"",IF(ROW()-ROW(PaymentSchedule33[[#Headers],[Beginning
Balance]])=1,LoanAmount,INDEX(PaymentSchedule33[Ending
Balance],ROW()-ROW(PaymentSchedule33[[#Headers],[Beginning
Balance]])-1)),"")</f>
        <v>45491.676016843514</v>
      </c>
      <c r="E347" s="25">
        <f ca="1">IF(PaymentSchedule33[[#This Row],[Payment Number]]&lt;&gt;"",ScheduledPayment,"")</f>
        <v>1784.9318965153623</v>
      </c>
      <c r="F34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7" s="25">
        <f ca="1">IF(PaymentSchedule33[[#This Row],[Payment Number]]&lt;&gt;"",PaymentSchedule33[[#This Row],[Total
Payment]]-PaymentSchedule33[[#This Row],[Interest]],"")</f>
        <v>1595.3832464451809</v>
      </c>
      <c r="I347" s="25">
        <f ca="1">IF(PaymentSchedule33[[#This Row],[Payment Number]]&lt;&gt;"",PaymentSchedule33[[#This Row],[Beginning
Balance]]*(InterestRate/PaymentsPerYear),"")</f>
        <v>189.54865007018131</v>
      </c>
      <c r="J347" s="25">
        <f ca="1">IF(PaymentSchedule33[[#This Row],[Payment Number]]&lt;&gt;"",IF(PaymentSchedule33[[#This Row],[Scheduled Payment]]+PaymentSchedule33[[#This Row],[Extra
Payment]]&lt;=PaymentSchedule33[[#This Row],[Beginning
Balance]],PaymentSchedule33[[#This Row],[Beginning
Balance]]-PaymentSchedule33[[#This Row],[Principal]],0),"")</f>
        <v>43896.29277039833</v>
      </c>
      <c r="K347" s="25">
        <f ca="1">IF(PaymentSchedule33[[#This Row],[Payment Number]]&lt;&gt;"",SUM(INDEX(PaymentSchedule33[Interest],1,1):PaymentSchedule33[[#This Row],[Interest]]),"")</f>
        <v>307563.54620652966</v>
      </c>
      <c r="L347" s="25">
        <f ca="1">IF(PaymentSchedule33[[#This Row],[Payment Number]]&lt;&gt;"",SUM(INDEX(PaymentSchedule33[Principal],1,1):PaymentSchedule33[[#This Row],[Principal]]),"")</f>
        <v>288603.70722960151</v>
      </c>
      <c r="M347" s="25">
        <f ca="1">PaymentSchedule3[[#This Row],[Total
Payment]]-PaymentSchedule33[[#This Row],[Total
Payment]]</f>
        <v>427.19889995542212</v>
      </c>
      <c r="N347" s="25">
        <f ca="1">PaymentSchedule3[[#This Row],[Interest]]-PaymentSchedule33[[#This Row],[Interest]]</f>
        <v>131.94514768536609</v>
      </c>
      <c r="O347" s="25">
        <f ca="1">PaymentSchedule3[[#This Row],[Cumulative
Interest]]-PaymentSchedule33[[#This Row],[Cumulative
Interest]]</f>
        <v>152010.72528837644</v>
      </c>
    </row>
    <row r="348" spans="2:15" x14ac:dyDescent="0.25">
      <c r="B348" s="23">
        <f ca="1">IF(LoanIsGood,IF(ROW()-ROW(PaymentSchedule33[[#Headers],[Payment Number]])&gt;ScheduledNumberOfPayments,"",ROW()-ROW(PaymentSchedule33[[#Headers],[Payment Number]])),"")</f>
        <v>335</v>
      </c>
      <c r="C348" s="24">
        <f ca="1">IF(PaymentSchedule33[[#This Row],[Payment Number]]&lt;&gt;"",EOMONTH(LoanStartDate,ROW(PaymentSchedule33[[#This Row],[Payment Number]])-ROW(PaymentSchedule33[[#Headers],[Payment Number]])-2)+DAY(LoanStartDate),"")</f>
        <v>55633</v>
      </c>
      <c r="D348" s="25">
        <f ca="1">IF(PaymentSchedule33[[#This Row],[Payment Number]]&lt;&gt;"",IF(ROW()-ROW(PaymentSchedule33[[#Headers],[Beginning
Balance]])=1,LoanAmount,INDEX(PaymentSchedule33[Ending
Balance],ROW()-ROW(PaymentSchedule33[[#Headers],[Beginning
Balance]])-1)),"")</f>
        <v>43896.29277039833</v>
      </c>
      <c r="E348" s="25">
        <f ca="1">IF(PaymentSchedule33[[#This Row],[Payment Number]]&lt;&gt;"",ScheduledPayment,"")</f>
        <v>1784.9318965153623</v>
      </c>
      <c r="F34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8" s="25">
        <f ca="1">IF(PaymentSchedule33[[#This Row],[Payment Number]]&lt;&gt;"",PaymentSchedule33[[#This Row],[Total
Payment]]-PaymentSchedule33[[#This Row],[Interest]],"")</f>
        <v>1602.0306766387025</v>
      </c>
      <c r="I348" s="25">
        <f ca="1">IF(PaymentSchedule33[[#This Row],[Payment Number]]&lt;&gt;"",PaymentSchedule33[[#This Row],[Beginning
Balance]]*(InterestRate/PaymentsPerYear),"")</f>
        <v>182.9012198766597</v>
      </c>
      <c r="J348" s="25">
        <f ca="1">IF(PaymentSchedule33[[#This Row],[Payment Number]]&lt;&gt;"",IF(PaymentSchedule33[[#This Row],[Scheduled Payment]]+PaymentSchedule33[[#This Row],[Extra
Payment]]&lt;=PaymentSchedule33[[#This Row],[Beginning
Balance]],PaymentSchedule33[[#This Row],[Beginning
Balance]]-PaymentSchedule33[[#This Row],[Principal]],0),"")</f>
        <v>42294.262093759629</v>
      </c>
      <c r="K348" s="25">
        <f ca="1">IF(PaymentSchedule33[[#This Row],[Payment Number]]&lt;&gt;"",SUM(INDEX(PaymentSchedule33[Interest],1,1):PaymentSchedule33[[#This Row],[Interest]]),"")</f>
        <v>307746.44742640632</v>
      </c>
      <c r="L348" s="25">
        <f ca="1">IF(PaymentSchedule33[[#This Row],[Payment Number]]&lt;&gt;"",SUM(INDEX(PaymentSchedule33[Principal],1,1):PaymentSchedule33[[#This Row],[Principal]]),"")</f>
        <v>290205.73790624022</v>
      </c>
      <c r="M348" s="25">
        <f ca="1">PaymentSchedule3[[#This Row],[Total
Payment]]-PaymentSchedule33[[#This Row],[Total
Payment]]</f>
        <v>427.19889995542212</v>
      </c>
      <c r="N348" s="25">
        <f ca="1">PaymentSchedule3[[#This Row],[Interest]]-PaymentSchedule33[[#This Row],[Interest]]</f>
        <v>127.56386205304881</v>
      </c>
      <c r="O348" s="25">
        <f ca="1">PaymentSchedule3[[#This Row],[Cumulative
Interest]]-PaymentSchedule33[[#This Row],[Cumulative
Interest]]</f>
        <v>152138.28915042948</v>
      </c>
    </row>
    <row r="349" spans="2:15" x14ac:dyDescent="0.25">
      <c r="B349" s="23">
        <f ca="1">IF(LoanIsGood,IF(ROW()-ROW(PaymentSchedule33[[#Headers],[Payment Number]])&gt;ScheduledNumberOfPayments,"",ROW()-ROW(PaymentSchedule33[[#Headers],[Payment Number]])),"")</f>
        <v>336</v>
      </c>
      <c r="C349" s="24">
        <f ca="1">IF(PaymentSchedule33[[#This Row],[Payment Number]]&lt;&gt;"",EOMONTH(LoanStartDate,ROW(PaymentSchedule33[[#This Row],[Payment Number]])-ROW(PaymentSchedule33[[#Headers],[Payment Number]])-2)+DAY(LoanStartDate),"")</f>
        <v>55663</v>
      </c>
      <c r="D349" s="25">
        <f ca="1">IF(PaymentSchedule33[[#This Row],[Payment Number]]&lt;&gt;"",IF(ROW()-ROW(PaymentSchedule33[[#Headers],[Beginning
Balance]])=1,LoanAmount,INDEX(PaymentSchedule33[Ending
Balance],ROW()-ROW(PaymentSchedule33[[#Headers],[Beginning
Balance]])-1)),"")</f>
        <v>42294.262093759629</v>
      </c>
      <c r="E349" s="25">
        <f ca="1">IF(PaymentSchedule33[[#This Row],[Payment Number]]&lt;&gt;"",ScheduledPayment,"")</f>
        <v>1784.9318965153623</v>
      </c>
      <c r="F34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4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49" s="25">
        <f ca="1">IF(PaymentSchedule33[[#This Row],[Payment Number]]&lt;&gt;"",PaymentSchedule33[[#This Row],[Total
Payment]]-PaymentSchedule33[[#This Row],[Interest]],"")</f>
        <v>1608.7058044580306</v>
      </c>
      <c r="I349" s="25">
        <f ca="1">IF(PaymentSchedule33[[#This Row],[Payment Number]]&lt;&gt;"",PaymentSchedule33[[#This Row],[Beginning
Balance]]*(InterestRate/PaymentsPerYear),"")</f>
        <v>176.22609205733178</v>
      </c>
      <c r="J349" s="25">
        <f ca="1">IF(PaymentSchedule33[[#This Row],[Payment Number]]&lt;&gt;"",IF(PaymentSchedule33[[#This Row],[Scheduled Payment]]+PaymentSchedule33[[#This Row],[Extra
Payment]]&lt;=PaymentSchedule33[[#This Row],[Beginning
Balance]],PaymentSchedule33[[#This Row],[Beginning
Balance]]-PaymentSchedule33[[#This Row],[Principal]],0),"")</f>
        <v>40685.556289301596</v>
      </c>
      <c r="K349" s="25">
        <f ca="1">IF(PaymentSchedule33[[#This Row],[Payment Number]]&lt;&gt;"",SUM(INDEX(PaymentSchedule33[Interest],1,1):PaymentSchedule33[[#This Row],[Interest]]),"")</f>
        <v>307922.67351846368</v>
      </c>
      <c r="L349" s="25">
        <f ca="1">IF(PaymentSchedule33[[#This Row],[Payment Number]]&lt;&gt;"",SUM(INDEX(PaymentSchedule33[Principal],1,1):PaymentSchedule33[[#This Row],[Principal]]),"")</f>
        <v>291814.44371069822</v>
      </c>
      <c r="M349" s="25">
        <f ca="1">PaymentSchedule3[[#This Row],[Total
Payment]]-PaymentSchedule33[[#This Row],[Total
Payment]]</f>
        <v>427.19889995542212</v>
      </c>
      <c r="N349" s="25">
        <f ca="1">PaymentSchedule3[[#This Row],[Interest]]-PaymentSchedule33[[#This Row],[Interest]]</f>
        <v>123.14593987088713</v>
      </c>
      <c r="O349" s="25">
        <f ca="1">PaymentSchedule3[[#This Row],[Cumulative
Interest]]-PaymentSchedule33[[#This Row],[Cumulative
Interest]]</f>
        <v>152261.43509030034</v>
      </c>
    </row>
    <row r="350" spans="2:15" x14ac:dyDescent="0.25">
      <c r="B350" s="23">
        <f ca="1">IF(LoanIsGood,IF(ROW()-ROW(PaymentSchedule33[[#Headers],[Payment Number]])&gt;ScheduledNumberOfPayments,"",ROW()-ROW(PaymentSchedule33[[#Headers],[Payment Number]])),"")</f>
        <v>337</v>
      </c>
      <c r="C350" s="24">
        <f ca="1">IF(PaymentSchedule33[[#This Row],[Payment Number]]&lt;&gt;"",EOMONTH(LoanStartDate,ROW(PaymentSchedule33[[#This Row],[Payment Number]])-ROW(PaymentSchedule33[[#Headers],[Payment Number]])-2)+DAY(LoanStartDate),"")</f>
        <v>55694</v>
      </c>
      <c r="D350" s="25">
        <f ca="1">IF(PaymentSchedule33[[#This Row],[Payment Number]]&lt;&gt;"",IF(ROW()-ROW(PaymentSchedule33[[#Headers],[Beginning
Balance]])=1,LoanAmount,INDEX(PaymentSchedule33[Ending
Balance],ROW()-ROW(PaymentSchedule33[[#Headers],[Beginning
Balance]])-1)),"")</f>
        <v>40685.556289301596</v>
      </c>
      <c r="E350" s="25">
        <f ca="1">IF(PaymentSchedule33[[#This Row],[Payment Number]]&lt;&gt;"",ScheduledPayment,"")</f>
        <v>1784.9318965153623</v>
      </c>
      <c r="F35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0" s="25">
        <f ca="1">IF(PaymentSchedule33[[#This Row],[Payment Number]]&lt;&gt;"",PaymentSchedule33[[#This Row],[Total
Payment]]-PaymentSchedule33[[#This Row],[Interest]],"")</f>
        <v>1615.4087453099389</v>
      </c>
      <c r="I350" s="25">
        <f ca="1">IF(PaymentSchedule33[[#This Row],[Payment Number]]&lt;&gt;"",PaymentSchedule33[[#This Row],[Beginning
Balance]]*(InterestRate/PaymentsPerYear),"")</f>
        <v>169.52315120542332</v>
      </c>
      <c r="J350" s="25">
        <f ca="1">IF(PaymentSchedule33[[#This Row],[Payment Number]]&lt;&gt;"",IF(PaymentSchedule33[[#This Row],[Scheduled Payment]]+PaymentSchedule33[[#This Row],[Extra
Payment]]&lt;=PaymentSchedule33[[#This Row],[Beginning
Balance]],PaymentSchedule33[[#This Row],[Beginning
Balance]]-PaymentSchedule33[[#This Row],[Principal]],0),"")</f>
        <v>39070.147543991654</v>
      </c>
      <c r="K350" s="25">
        <f ca="1">IF(PaymentSchedule33[[#This Row],[Payment Number]]&lt;&gt;"",SUM(INDEX(PaymentSchedule33[Interest],1,1):PaymentSchedule33[[#This Row],[Interest]]),"")</f>
        <v>308092.19666966912</v>
      </c>
      <c r="L350" s="25">
        <f ca="1">IF(PaymentSchedule33[[#This Row],[Payment Number]]&lt;&gt;"",SUM(INDEX(PaymentSchedule33[Principal],1,1):PaymentSchedule33[[#This Row],[Principal]]),"")</f>
        <v>293429.85245600814</v>
      </c>
      <c r="M350" s="25">
        <f ca="1">PaymentSchedule3[[#This Row],[Total
Payment]]-PaymentSchedule33[[#This Row],[Total
Payment]]</f>
        <v>427.19889995542212</v>
      </c>
      <c r="N350" s="25">
        <f ca="1">PaymentSchedule3[[#This Row],[Interest]]-PaymentSchedule33[[#This Row],[Interest]]</f>
        <v>118.69112126296395</v>
      </c>
      <c r="O350" s="25">
        <f ca="1">PaymentSchedule3[[#This Row],[Cumulative
Interest]]-PaymentSchedule33[[#This Row],[Cumulative
Interest]]</f>
        <v>152380.1262115633</v>
      </c>
    </row>
    <row r="351" spans="2:15" x14ac:dyDescent="0.25">
      <c r="B351" s="23">
        <f ca="1">IF(LoanIsGood,IF(ROW()-ROW(PaymentSchedule33[[#Headers],[Payment Number]])&gt;ScheduledNumberOfPayments,"",ROW()-ROW(PaymentSchedule33[[#Headers],[Payment Number]])),"")</f>
        <v>338</v>
      </c>
      <c r="C351" s="24">
        <f ca="1">IF(PaymentSchedule33[[#This Row],[Payment Number]]&lt;&gt;"",EOMONTH(LoanStartDate,ROW(PaymentSchedule33[[#This Row],[Payment Number]])-ROW(PaymentSchedule33[[#Headers],[Payment Number]])-2)+DAY(LoanStartDate),"")</f>
        <v>55724</v>
      </c>
      <c r="D351" s="25">
        <f ca="1">IF(PaymentSchedule33[[#This Row],[Payment Number]]&lt;&gt;"",IF(ROW()-ROW(PaymentSchedule33[[#Headers],[Beginning
Balance]])=1,LoanAmount,INDEX(PaymentSchedule33[Ending
Balance],ROW()-ROW(PaymentSchedule33[[#Headers],[Beginning
Balance]])-1)),"")</f>
        <v>39070.147543991654</v>
      </c>
      <c r="E351" s="25">
        <f ca="1">IF(PaymentSchedule33[[#This Row],[Payment Number]]&lt;&gt;"",ScheduledPayment,"")</f>
        <v>1784.9318965153623</v>
      </c>
      <c r="F35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1" s="25">
        <f ca="1">IF(PaymentSchedule33[[#This Row],[Payment Number]]&lt;&gt;"",PaymentSchedule33[[#This Row],[Total
Payment]]-PaymentSchedule33[[#This Row],[Interest]],"")</f>
        <v>1622.1396150820638</v>
      </c>
      <c r="I351" s="25">
        <f ca="1">IF(PaymentSchedule33[[#This Row],[Payment Number]]&lt;&gt;"",PaymentSchedule33[[#This Row],[Beginning
Balance]]*(InterestRate/PaymentsPerYear),"")</f>
        <v>162.79228143329857</v>
      </c>
      <c r="J351" s="25">
        <f ca="1">IF(PaymentSchedule33[[#This Row],[Payment Number]]&lt;&gt;"",IF(PaymentSchedule33[[#This Row],[Scheduled Payment]]+PaymentSchedule33[[#This Row],[Extra
Payment]]&lt;=PaymentSchedule33[[#This Row],[Beginning
Balance]],PaymentSchedule33[[#This Row],[Beginning
Balance]]-PaymentSchedule33[[#This Row],[Principal]],0),"")</f>
        <v>37448.007928909588</v>
      </c>
      <c r="K351" s="25">
        <f ca="1">IF(PaymentSchedule33[[#This Row],[Payment Number]]&lt;&gt;"",SUM(INDEX(PaymentSchedule33[Interest],1,1):PaymentSchedule33[[#This Row],[Interest]]),"")</f>
        <v>308254.98895110242</v>
      </c>
      <c r="L351" s="25">
        <f ca="1">IF(PaymentSchedule33[[#This Row],[Payment Number]]&lt;&gt;"",SUM(INDEX(PaymentSchedule33[Principal],1,1):PaymentSchedule33[[#This Row],[Principal]]),"")</f>
        <v>295051.99207109021</v>
      </c>
      <c r="M351" s="25">
        <f ca="1">PaymentSchedule3[[#This Row],[Total
Payment]]-PaymentSchedule33[[#This Row],[Total
Payment]]</f>
        <v>427.19889995542212</v>
      </c>
      <c r="N351" s="25">
        <f ca="1">PaymentSchedule3[[#This Row],[Interest]]-PaymentSchedule33[[#This Row],[Interest]]</f>
        <v>114.19914464507474</v>
      </c>
      <c r="O351" s="25">
        <f ca="1">PaymentSchedule3[[#This Row],[Cumulative
Interest]]-PaymentSchedule33[[#This Row],[Cumulative
Interest]]</f>
        <v>152494.32535620837</v>
      </c>
    </row>
    <row r="352" spans="2:15" x14ac:dyDescent="0.25">
      <c r="B352" s="23">
        <f ca="1">IF(LoanIsGood,IF(ROW()-ROW(PaymentSchedule33[[#Headers],[Payment Number]])&gt;ScheduledNumberOfPayments,"",ROW()-ROW(PaymentSchedule33[[#Headers],[Payment Number]])),"")</f>
        <v>339</v>
      </c>
      <c r="C352" s="24">
        <f ca="1">IF(PaymentSchedule33[[#This Row],[Payment Number]]&lt;&gt;"",EOMONTH(LoanStartDate,ROW(PaymentSchedule33[[#This Row],[Payment Number]])-ROW(PaymentSchedule33[[#Headers],[Payment Number]])-2)+DAY(LoanStartDate),"")</f>
        <v>55755</v>
      </c>
      <c r="D352" s="25">
        <f ca="1">IF(PaymentSchedule33[[#This Row],[Payment Number]]&lt;&gt;"",IF(ROW()-ROW(PaymentSchedule33[[#Headers],[Beginning
Balance]])=1,LoanAmount,INDEX(PaymentSchedule33[Ending
Balance],ROW()-ROW(PaymentSchedule33[[#Headers],[Beginning
Balance]])-1)),"")</f>
        <v>37448.007928909588</v>
      </c>
      <c r="E352" s="25">
        <f ca="1">IF(PaymentSchedule33[[#This Row],[Payment Number]]&lt;&gt;"",ScheduledPayment,"")</f>
        <v>1784.9318965153623</v>
      </c>
      <c r="F35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2" s="25">
        <f ca="1">IF(PaymentSchedule33[[#This Row],[Payment Number]]&lt;&gt;"",PaymentSchedule33[[#This Row],[Total
Payment]]-PaymentSchedule33[[#This Row],[Interest]],"")</f>
        <v>1628.8985301449056</v>
      </c>
      <c r="I352" s="25">
        <f ca="1">IF(PaymentSchedule33[[#This Row],[Payment Number]]&lt;&gt;"",PaymentSchedule33[[#This Row],[Beginning
Balance]]*(InterestRate/PaymentsPerYear),"")</f>
        <v>156.0333663704566</v>
      </c>
      <c r="J352" s="25">
        <f ca="1">IF(PaymentSchedule33[[#This Row],[Payment Number]]&lt;&gt;"",IF(PaymentSchedule33[[#This Row],[Scheduled Payment]]+PaymentSchedule33[[#This Row],[Extra
Payment]]&lt;=PaymentSchedule33[[#This Row],[Beginning
Balance]],PaymentSchedule33[[#This Row],[Beginning
Balance]]-PaymentSchedule33[[#This Row],[Principal]],0),"")</f>
        <v>35819.109398764682</v>
      </c>
      <c r="K352" s="25">
        <f ca="1">IF(PaymentSchedule33[[#This Row],[Payment Number]]&lt;&gt;"",SUM(INDEX(PaymentSchedule33[Interest],1,1):PaymentSchedule33[[#This Row],[Interest]]),"")</f>
        <v>308411.0223174729</v>
      </c>
      <c r="L352" s="25">
        <f ca="1">IF(PaymentSchedule33[[#This Row],[Payment Number]]&lt;&gt;"",SUM(INDEX(PaymentSchedule33[Principal],1,1):PaymentSchedule33[[#This Row],[Principal]]),"")</f>
        <v>296680.89060123509</v>
      </c>
      <c r="M352" s="25">
        <f ca="1">PaymentSchedule3[[#This Row],[Total
Payment]]-PaymentSchedule33[[#This Row],[Total
Payment]]</f>
        <v>427.19889995542212</v>
      </c>
      <c r="N352" s="25">
        <f ca="1">PaymentSchedule3[[#This Row],[Interest]]-PaymentSchedule33[[#This Row],[Interest]]</f>
        <v>109.66974671396096</v>
      </c>
      <c r="O352" s="25">
        <f ca="1">PaymentSchedule3[[#This Row],[Cumulative
Interest]]-PaymentSchedule33[[#This Row],[Cumulative
Interest]]</f>
        <v>152603.99510292232</v>
      </c>
    </row>
    <row r="353" spans="2:15" x14ac:dyDescent="0.25">
      <c r="B353" s="23">
        <f ca="1">IF(LoanIsGood,IF(ROW()-ROW(PaymentSchedule33[[#Headers],[Payment Number]])&gt;ScheduledNumberOfPayments,"",ROW()-ROW(PaymentSchedule33[[#Headers],[Payment Number]])),"")</f>
        <v>340</v>
      </c>
      <c r="C353" s="24">
        <f ca="1">IF(PaymentSchedule33[[#This Row],[Payment Number]]&lt;&gt;"",EOMONTH(LoanStartDate,ROW(PaymentSchedule33[[#This Row],[Payment Number]])-ROW(PaymentSchedule33[[#Headers],[Payment Number]])-2)+DAY(LoanStartDate),"")</f>
        <v>55786</v>
      </c>
      <c r="D353" s="25">
        <f ca="1">IF(PaymentSchedule33[[#This Row],[Payment Number]]&lt;&gt;"",IF(ROW()-ROW(PaymentSchedule33[[#Headers],[Beginning
Balance]])=1,LoanAmount,INDEX(PaymentSchedule33[Ending
Balance],ROW()-ROW(PaymentSchedule33[[#Headers],[Beginning
Balance]])-1)),"")</f>
        <v>35819.109398764682</v>
      </c>
      <c r="E353" s="25">
        <f ca="1">IF(PaymentSchedule33[[#This Row],[Payment Number]]&lt;&gt;"",ScheduledPayment,"")</f>
        <v>1784.9318965153623</v>
      </c>
      <c r="F35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3" s="25">
        <f ca="1">IF(PaymentSchedule33[[#This Row],[Payment Number]]&lt;&gt;"",PaymentSchedule33[[#This Row],[Total
Payment]]-PaymentSchedule33[[#This Row],[Interest]],"")</f>
        <v>1635.6856073538427</v>
      </c>
      <c r="I353" s="25">
        <f ca="1">IF(PaymentSchedule33[[#This Row],[Payment Number]]&lt;&gt;"",PaymentSchedule33[[#This Row],[Beginning
Balance]]*(InterestRate/PaymentsPerYear),"")</f>
        <v>149.24628916151951</v>
      </c>
      <c r="J353" s="25">
        <f ca="1">IF(PaymentSchedule33[[#This Row],[Payment Number]]&lt;&gt;"",IF(PaymentSchedule33[[#This Row],[Scheduled Payment]]+PaymentSchedule33[[#This Row],[Extra
Payment]]&lt;=PaymentSchedule33[[#This Row],[Beginning
Balance]],PaymentSchedule33[[#This Row],[Beginning
Balance]]-PaymentSchedule33[[#This Row],[Principal]],0),"")</f>
        <v>34183.423791410838</v>
      </c>
      <c r="K353" s="25">
        <f ca="1">IF(PaymentSchedule33[[#This Row],[Payment Number]]&lt;&gt;"",SUM(INDEX(PaymentSchedule33[Interest],1,1):PaymentSchedule33[[#This Row],[Interest]]),"")</f>
        <v>308560.2686066344</v>
      </c>
      <c r="L353" s="25">
        <f ca="1">IF(PaymentSchedule33[[#This Row],[Payment Number]]&lt;&gt;"",SUM(INDEX(PaymentSchedule33[Principal],1,1):PaymentSchedule33[[#This Row],[Principal]]),"")</f>
        <v>298316.57620858896</v>
      </c>
      <c r="M353" s="25">
        <f ca="1">PaymentSchedule3[[#This Row],[Total
Payment]]-PaymentSchedule33[[#This Row],[Total
Payment]]</f>
        <v>427.19889995542212</v>
      </c>
      <c r="N353" s="25">
        <f ca="1">PaymentSchedule3[[#This Row],[Interest]]-PaymentSchedule33[[#This Row],[Interest]]</f>
        <v>105.10266243647754</v>
      </c>
      <c r="O353" s="25">
        <f ca="1">PaymentSchedule3[[#This Row],[Cumulative
Interest]]-PaymentSchedule33[[#This Row],[Cumulative
Interest]]</f>
        <v>152709.09776535881</v>
      </c>
    </row>
    <row r="354" spans="2:15" x14ac:dyDescent="0.25">
      <c r="B354" s="23">
        <f ca="1">IF(LoanIsGood,IF(ROW()-ROW(PaymentSchedule33[[#Headers],[Payment Number]])&gt;ScheduledNumberOfPayments,"",ROW()-ROW(PaymentSchedule33[[#Headers],[Payment Number]])),"")</f>
        <v>341</v>
      </c>
      <c r="C354" s="24">
        <f ca="1">IF(PaymentSchedule33[[#This Row],[Payment Number]]&lt;&gt;"",EOMONTH(LoanStartDate,ROW(PaymentSchedule33[[#This Row],[Payment Number]])-ROW(PaymentSchedule33[[#Headers],[Payment Number]])-2)+DAY(LoanStartDate),"")</f>
        <v>55816</v>
      </c>
      <c r="D354" s="25">
        <f ca="1">IF(PaymentSchedule33[[#This Row],[Payment Number]]&lt;&gt;"",IF(ROW()-ROW(PaymentSchedule33[[#Headers],[Beginning
Balance]])=1,LoanAmount,INDEX(PaymentSchedule33[Ending
Balance],ROW()-ROW(PaymentSchedule33[[#Headers],[Beginning
Balance]])-1)),"")</f>
        <v>34183.423791410838</v>
      </c>
      <c r="E354" s="25">
        <f ca="1">IF(PaymentSchedule33[[#This Row],[Payment Number]]&lt;&gt;"",ScheduledPayment,"")</f>
        <v>1784.9318965153623</v>
      </c>
      <c r="F35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4" s="25">
        <f ca="1">IF(PaymentSchedule33[[#This Row],[Payment Number]]&lt;&gt;"",PaymentSchedule33[[#This Row],[Total
Payment]]-PaymentSchedule33[[#This Row],[Interest]],"")</f>
        <v>1642.5009640511505</v>
      </c>
      <c r="I354" s="25">
        <f ca="1">IF(PaymentSchedule33[[#This Row],[Payment Number]]&lt;&gt;"",PaymentSchedule33[[#This Row],[Beginning
Balance]]*(InterestRate/PaymentsPerYear),"")</f>
        <v>142.43093246421182</v>
      </c>
      <c r="J354" s="25">
        <f ca="1">IF(PaymentSchedule33[[#This Row],[Payment Number]]&lt;&gt;"",IF(PaymentSchedule33[[#This Row],[Scheduled Payment]]+PaymentSchedule33[[#This Row],[Extra
Payment]]&lt;=PaymentSchedule33[[#This Row],[Beginning
Balance]],PaymentSchedule33[[#This Row],[Beginning
Balance]]-PaymentSchedule33[[#This Row],[Principal]],0),"")</f>
        <v>32540.922827359689</v>
      </c>
      <c r="K354" s="25">
        <f ca="1">IF(PaymentSchedule33[[#This Row],[Payment Number]]&lt;&gt;"",SUM(INDEX(PaymentSchedule33[Interest],1,1):PaymentSchedule33[[#This Row],[Interest]]),"")</f>
        <v>308702.6995390986</v>
      </c>
      <c r="L354" s="25">
        <f ca="1">IF(PaymentSchedule33[[#This Row],[Payment Number]]&lt;&gt;"",SUM(INDEX(PaymentSchedule33[Principal],1,1):PaymentSchedule33[[#This Row],[Principal]]),"")</f>
        <v>299959.07717264013</v>
      </c>
      <c r="M354" s="25">
        <f ca="1">PaymentSchedule3[[#This Row],[Total
Payment]]-PaymentSchedule33[[#This Row],[Total
Payment]]</f>
        <v>427.19889995542212</v>
      </c>
      <c r="N354" s="25">
        <f ca="1">PaymentSchedule3[[#This Row],[Interest]]-PaymentSchedule33[[#This Row],[Interest]]</f>
        <v>100.497625038694</v>
      </c>
      <c r="O354" s="25">
        <f ca="1">PaymentSchedule3[[#This Row],[Cumulative
Interest]]-PaymentSchedule33[[#This Row],[Cumulative
Interest]]</f>
        <v>152809.59539039753</v>
      </c>
    </row>
    <row r="355" spans="2:15" x14ac:dyDescent="0.25">
      <c r="B355" s="23">
        <f ca="1">IF(LoanIsGood,IF(ROW()-ROW(PaymentSchedule33[[#Headers],[Payment Number]])&gt;ScheduledNumberOfPayments,"",ROW()-ROW(PaymentSchedule33[[#Headers],[Payment Number]])),"")</f>
        <v>342</v>
      </c>
      <c r="C355" s="24">
        <f ca="1">IF(PaymentSchedule33[[#This Row],[Payment Number]]&lt;&gt;"",EOMONTH(LoanStartDate,ROW(PaymentSchedule33[[#This Row],[Payment Number]])-ROW(PaymentSchedule33[[#Headers],[Payment Number]])-2)+DAY(LoanStartDate),"")</f>
        <v>55847</v>
      </c>
      <c r="D355" s="25">
        <f ca="1">IF(PaymentSchedule33[[#This Row],[Payment Number]]&lt;&gt;"",IF(ROW()-ROW(PaymentSchedule33[[#Headers],[Beginning
Balance]])=1,LoanAmount,INDEX(PaymentSchedule33[Ending
Balance],ROW()-ROW(PaymentSchedule33[[#Headers],[Beginning
Balance]])-1)),"")</f>
        <v>32540.922827359689</v>
      </c>
      <c r="E355" s="25">
        <f ca="1">IF(PaymentSchedule33[[#This Row],[Payment Number]]&lt;&gt;"",ScheduledPayment,"")</f>
        <v>1784.9318965153623</v>
      </c>
      <c r="F35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5" s="25">
        <f ca="1">IF(PaymentSchedule33[[#This Row],[Payment Number]]&lt;&gt;"",PaymentSchedule33[[#This Row],[Total
Payment]]-PaymentSchedule33[[#This Row],[Interest]],"")</f>
        <v>1649.3447180680303</v>
      </c>
      <c r="I355" s="25">
        <f ca="1">IF(PaymentSchedule33[[#This Row],[Payment Number]]&lt;&gt;"",PaymentSchedule33[[#This Row],[Beginning
Balance]]*(InterestRate/PaymentsPerYear),"")</f>
        <v>135.58717844733204</v>
      </c>
      <c r="J355" s="25">
        <f ca="1">IF(PaymentSchedule33[[#This Row],[Payment Number]]&lt;&gt;"",IF(PaymentSchedule33[[#This Row],[Scheduled Payment]]+PaymentSchedule33[[#This Row],[Extra
Payment]]&lt;=PaymentSchedule33[[#This Row],[Beginning
Balance]],PaymentSchedule33[[#This Row],[Beginning
Balance]]-PaymentSchedule33[[#This Row],[Principal]],0),"")</f>
        <v>30891.578109291659</v>
      </c>
      <c r="K355" s="25">
        <f ca="1">IF(PaymentSchedule33[[#This Row],[Payment Number]]&lt;&gt;"",SUM(INDEX(PaymentSchedule33[Interest],1,1):PaymentSchedule33[[#This Row],[Interest]]),"")</f>
        <v>308838.28671754594</v>
      </c>
      <c r="L355" s="25">
        <f ca="1">IF(PaymentSchedule33[[#This Row],[Payment Number]]&lt;&gt;"",SUM(INDEX(PaymentSchedule33[Principal],1,1):PaymentSchedule33[[#This Row],[Principal]]),"")</f>
        <v>301608.42189070815</v>
      </c>
      <c r="M355" s="25">
        <f ca="1">PaymentSchedule3[[#This Row],[Total
Payment]]-PaymentSchedule33[[#This Row],[Total
Payment]]</f>
        <v>427.19889995542212</v>
      </c>
      <c r="N355" s="25">
        <f ca="1">PaymentSchedule3[[#This Row],[Interest]]-PaymentSchedule33[[#This Row],[Interest]]</f>
        <v>95.854365994927861</v>
      </c>
      <c r="O355" s="25">
        <f ca="1">PaymentSchedule3[[#This Row],[Cumulative
Interest]]-PaymentSchedule33[[#This Row],[Cumulative
Interest]]</f>
        <v>152905.44975639245</v>
      </c>
    </row>
    <row r="356" spans="2:15" x14ac:dyDescent="0.25">
      <c r="B356" s="23">
        <f ca="1">IF(LoanIsGood,IF(ROW()-ROW(PaymentSchedule33[[#Headers],[Payment Number]])&gt;ScheduledNumberOfPayments,"",ROW()-ROW(PaymentSchedule33[[#Headers],[Payment Number]])),"")</f>
        <v>343</v>
      </c>
      <c r="C356" s="24">
        <f ca="1">IF(PaymentSchedule33[[#This Row],[Payment Number]]&lt;&gt;"",EOMONTH(LoanStartDate,ROW(PaymentSchedule33[[#This Row],[Payment Number]])-ROW(PaymentSchedule33[[#Headers],[Payment Number]])-2)+DAY(LoanStartDate),"")</f>
        <v>55877</v>
      </c>
      <c r="D356" s="25">
        <f ca="1">IF(PaymentSchedule33[[#This Row],[Payment Number]]&lt;&gt;"",IF(ROW()-ROW(PaymentSchedule33[[#Headers],[Beginning
Balance]])=1,LoanAmount,INDEX(PaymentSchedule33[Ending
Balance],ROW()-ROW(PaymentSchedule33[[#Headers],[Beginning
Balance]])-1)),"")</f>
        <v>30891.578109291659</v>
      </c>
      <c r="E356" s="25">
        <f ca="1">IF(PaymentSchedule33[[#This Row],[Payment Number]]&lt;&gt;"",ScheduledPayment,"")</f>
        <v>1784.9318965153623</v>
      </c>
      <c r="F35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6" s="25">
        <f ca="1">IF(PaymentSchedule33[[#This Row],[Payment Number]]&lt;&gt;"",PaymentSchedule33[[#This Row],[Total
Payment]]-PaymentSchedule33[[#This Row],[Interest]],"")</f>
        <v>1656.2169877266469</v>
      </c>
      <c r="I356" s="25">
        <f ca="1">IF(PaymentSchedule33[[#This Row],[Payment Number]]&lt;&gt;"",PaymentSchedule33[[#This Row],[Beginning
Balance]]*(InterestRate/PaymentsPerYear),"")</f>
        <v>128.71490878871523</v>
      </c>
      <c r="J356" s="25">
        <f ca="1">IF(PaymentSchedule33[[#This Row],[Payment Number]]&lt;&gt;"",IF(PaymentSchedule33[[#This Row],[Scheduled Payment]]+PaymentSchedule33[[#This Row],[Extra
Payment]]&lt;=PaymentSchedule33[[#This Row],[Beginning
Balance]],PaymentSchedule33[[#This Row],[Beginning
Balance]]-PaymentSchedule33[[#This Row],[Principal]],0),"")</f>
        <v>29235.361121565013</v>
      </c>
      <c r="K356" s="25">
        <f ca="1">IF(PaymentSchedule33[[#This Row],[Payment Number]]&lt;&gt;"",SUM(INDEX(PaymentSchedule33[Interest],1,1):PaymentSchedule33[[#This Row],[Interest]]),"")</f>
        <v>308967.00162633468</v>
      </c>
      <c r="L356" s="25">
        <f ca="1">IF(PaymentSchedule33[[#This Row],[Payment Number]]&lt;&gt;"",SUM(INDEX(PaymentSchedule33[Principal],1,1):PaymentSchedule33[[#This Row],[Principal]]),"")</f>
        <v>303264.63887843478</v>
      </c>
      <c r="M356" s="25">
        <f ca="1">PaymentSchedule3[[#This Row],[Total
Payment]]-PaymentSchedule33[[#This Row],[Total
Payment]]</f>
        <v>427.19889995542212</v>
      </c>
      <c r="N356" s="25">
        <f ca="1">PaymentSchedule3[[#This Row],[Interest]]-PaymentSchedule33[[#This Row],[Interest]]</f>
        <v>91.172615016711575</v>
      </c>
      <c r="O356" s="25">
        <f ca="1">PaymentSchedule3[[#This Row],[Cumulative
Interest]]-PaymentSchedule33[[#This Row],[Cumulative
Interest]]</f>
        <v>152996.62237140915</v>
      </c>
    </row>
    <row r="357" spans="2:15" x14ac:dyDescent="0.25">
      <c r="B357" s="23">
        <f ca="1">IF(LoanIsGood,IF(ROW()-ROW(PaymentSchedule33[[#Headers],[Payment Number]])&gt;ScheduledNumberOfPayments,"",ROW()-ROW(PaymentSchedule33[[#Headers],[Payment Number]])),"")</f>
        <v>344</v>
      </c>
      <c r="C357" s="24">
        <f ca="1">IF(PaymentSchedule33[[#This Row],[Payment Number]]&lt;&gt;"",EOMONTH(LoanStartDate,ROW(PaymentSchedule33[[#This Row],[Payment Number]])-ROW(PaymentSchedule33[[#Headers],[Payment Number]])-2)+DAY(LoanStartDate),"")</f>
        <v>55908</v>
      </c>
      <c r="D357" s="25">
        <f ca="1">IF(PaymentSchedule33[[#This Row],[Payment Number]]&lt;&gt;"",IF(ROW()-ROW(PaymentSchedule33[[#Headers],[Beginning
Balance]])=1,LoanAmount,INDEX(PaymentSchedule33[Ending
Balance],ROW()-ROW(PaymentSchedule33[[#Headers],[Beginning
Balance]])-1)),"")</f>
        <v>29235.361121565013</v>
      </c>
      <c r="E357" s="25">
        <f ca="1">IF(PaymentSchedule33[[#This Row],[Payment Number]]&lt;&gt;"",ScheduledPayment,"")</f>
        <v>1784.9318965153623</v>
      </c>
      <c r="F35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7" s="25">
        <f ca="1">IF(PaymentSchedule33[[#This Row],[Payment Number]]&lt;&gt;"",PaymentSchedule33[[#This Row],[Total
Payment]]-PaymentSchedule33[[#This Row],[Interest]],"")</f>
        <v>1663.1178918421747</v>
      </c>
      <c r="I357" s="25">
        <f ca="1">IF(PaymentSchedule33[[#This Row],[Payment Number]]&lt;&gt;"",PaymentSchedule33[[#This Row],[Beginning
Balance]]*(InterestRate/PaymentsPerYear),"")</f>
        <v>121.81400467318755</v>
      </c>
      <c r="J357" s="25">
        <f ca="1">IF(PaymentSchedule33[[#This Row],[Payment Number]]&lt;&gt;"",IF(PaymentSchedule33[[#This Row],[Scheduled Payment]]+PaymentSchedule33[[#This Row],[Extra
Payment]]&lt;=PaymentSchedule33[[#This Row],[Beginning
Balance]],PaymentSchedule33[[#This Row],[Beginning
Balance]]-PaymentSchedule33[[#This Row],[Principal]],0),"")</f>
        <v>27572.243229722837</v>
      </c>
      <c r="K357" s="25">
        <f ca="1">IF(PaymentSchedule33[[#This Row],[Payment Number]]&lt;&gt;"",SUM(INDEX(PaymentSchedule33[Interest],1,1):PaymentSchedule33[[#This Row],[Interest]]),"")</f>
        <v>309088.81563100789</v>
      </c>
      <c r="L357" s="25">
        <f ca="1">IF(PaymentSchedule33[[#This Row],[Payment Number]]&lt;&gt;"",SUM(INDEX(PaymentSchedule33[Principal],1,1):PaymentSchedule33[[#This Row],[Principal]]),"")</f>
        <v>304927.75677027693</v>
      </c>
      <c r="M357" s="25">
        <f ca="1">PaymentSchedule3[[#This Row],[Total
Payment]]-PaymentSchedule33[[#This Row],[Total
Payment]]</f>
        <v>427.19889995542212</v>
      </c>
      <c r="N357" s="25">
        <f ca="1">PaymentSchedule3[[#This Row],[Interest]]-PaymentSchedule33[[#This Row],[Interest]]</f>
        <v>86.452100041691352</v>
      </c>
      <c r="O357" s="25">
        <f ca="1">PaymentSchedule3[[#This Row],[Cumulative
Interest]]-PaymentSchedule33[[#This Row],[Cumulative
Interest]]</f>
        <v>153083.07447145082</v>
      </c>
    </row>
    <row r="358" spans="2:15" x14ac:dyDescent="0.25">
      <c r="B358" s="23">
        <f ca="1">IF(LoanIsGood,IF(ROW()-ROW(PaymentSchedule33[[#Headers],[Payment Number]])&gt;ScheduledNumberOfPayments,"",ROW()-ROW(PaymentSchedule33[[#Headers],[Payment Number]])),"")</f>
        <v>345</v>
      </c>
      <c r="C358" s="24">
        <f ca="1">IF(PaymentSchedule33[[#This Row],[Payment Number]]&lt;&gt;"",EOMONTH(LoanStartDate,ROW(PaymentSchedule33[[#This Row],[Payment Number]])-ROW(PaymentSchedule33[[#Headers],[Payment Number]])-2)+DAY(LoanStartDate),"")</f>
        <v>55939</v>
      </c>
      <c r="D358" s="25">
        <f ca="1">IF(PaymentSchedule33[[#This Row],[Payment Number]]&lt;&gt;"",IF(ROW()-ROW(PaymentSchedule33[[#Headers],[Beginning
Balance]])=1,LoanAmount,INDEX(PaymentSchedule33[Ending
Balance],ROW()-ROW(PaymentSchedule33[[#Headers],[Beginning
Balance]])-1)),"")</f>
        <v>27572.243229722837</v>
      </c>
      <c r="E358" s="25">
        <f ca="1">IF(PaymentSchedule33[[#This Row],[Payment Number]]&lt;&gt;"",ScheduledPayment,"")</f>
        <v>1784.9318965153623</v>
      </c>
      <c r="F35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8" s="25">
        <f ca="1">IF(PaymentSchedule33[[#This Row],[Payment Number]]&lt;&gt;"",PaymentSchedule33[[#This Row],[Total
Payment]]-PaymentSchedule33[[#This Row],[Interest]],"")</f>
        <v>1670.0475497248503</v>
      </c>
      <c r="I358" s="25">
        <f ca="1">IF(PaymentSchedule33[[#This Row],[Payment Number]]&lt;&gt;"",PaymentSchedule33[[#This Row],[Beginning
Balance]]*(InterestRate/PaymentsPerYear),"")</f>
        <v>114.88434679051181</v>
      </c>
      <c r="J358" s="25">
        <f ca="1">IF(PaymentSchedule33[[#This Row],[Payment Number]]&lt;&gt;"",IF(PaymentSchedule33[[#This Row],[Scheduled Payment]]+PaymentSchedule33[[#This Row],[Extra
Payment]]&lt;=PaymentSchedule33[[#This Row],[Beginning
Balance]],PaymentSchedule33[[#This Row],[Beginning
Balance]]-PaymentSchedule33[[#This Row],[Principal]],0),"")</f>
        <v>25902.195679997985</v>
      </c>
      <c r="K358" s="25">
        <f ca="1">IF(PaymentSchedule33[[#This Row],[Payment Number]]&lt;&gt;"",SUM(INDEX(PaymentSchedule33[Interest],1,1):PaymentSchedule33[[#This Row],[Interest]]),"")</f>
        <v>309203.69997779839</v>
      </c>
      <c r="L358" s="25">
        <f ca="1">IF(PaymentSchedule33[[#This Row],[Payment Number]]&lt;&gt;"",SUM(INDEX(PaymentSchedule33[Principal],1,1):PaymentSchedule33[[#This Row],[Principal]]),"")</f>
        <v>306597.8043200018</v>
      </c>
      <c r="M358" s="25">
        <f ca="1">PaymentSchedule3[[#This Row],[Total
Payment]]-PaymentSchedule33[[#This Row],[Total
Payment]]</f>
        <v>427.19889995542212</v>
      </c>
      <c r="N358" s="25">
        <f ca="1">PaymentSchedule3[[#This Row],[Interest]]-PaymentSchedule33[[#This Row],[Interest]]</f>
        <v>81.69254722245762</v>
      </c>
      <c r="O358" s="25">
        <f ca="1">PaymentSchedule3[[#This Row],[Cumulative
Interest]]-PaymentSchedule33[[#This Row],[Cumulative
Interest]]</f>
        <v>153164.7670186733</v>
      </c>
    </row>
    <row r="359" spans="2:15" x14ac:dyDescent="0.25">
      <c r="B359" s="23">
        <f ca="1">IF(LoanIsGood,IF(ROW()-ROW(PaymentSchedule33[[#Headers],[Payment Number]])&gt;ScheduledNumberOfPayments,"",ROW()-ROW(PaymentSchedule33[[#Headers],[Payment Number]])),"")</f>
        <v>346</v>
      </c>
      <c r="C359" s="24">
        <f ca="1">IF(PaymentSchedule33[[#This Row],[Payment Number]]&lt;&gt;"",EOMONTH(LoanStartDate,ROW(PaymentSchedule33[[#This Row],[Payment Number]])-ROW(PaymentSchedule33[[#Headers],[Payment Number]])-2)+DAY(LoanStartDate),"")</f>
        <v>55967</v>
      </c>
      <c r="D359" s="25">
        <f ca="1">IF(PaymentSchedule33[[#This Row],[Payment Number]]&lt;&gt;"",IF(ROW()-ROW(PaymentSchedule33[[#Headers],[Beginning
Balance]])=1,LoanAmount,INDEX(PaymentSchedule33[Ending
Balance],ROW()-ROW(PaymentSchedule33[[#Headers],[Beginning
Balance]])-1)),"")</f>
        <v>25902.195679997985</v>
      </c>
      <c r="E359" s="25">
        <f ca="1">IF(PaymentSchedule33[[#This Row],[Payment Number]]&lt;&gt;"",ScheduledPayment,"")</f>
        <v>1784.9318965153623</v>
      </c>
      <c r="F35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5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59" s="25">
        <f ca="1">IF(PaymentSchedule33[[#This Row],[Payment Number]]&lt;&gt;"",PaymentSchedule33[[#This Row],[Total
Payment]]-PaymentSchedule33[[#This Row],[Interest]],"")</f>
        <v>1677.0060811820374</v>
      </c>
      <c r="I359" s="25">
        <f ca="1">IF(PaymentSchedule33[[#This Row],[Payment Number]]&lt;&gt;"",PaymentSchedule33[[#This Row],[Beginning
Balance]]*(InterestRate/PaymentsPerYear),"")</f>
        <v>107.92581533332493</v>
      </c>
      <c r="J359" s="25">
        <f ca="1">IF(PaymentSchedule33[[#This Row],[Payment Number]]&lt;&gt;"",IF(PaymentSchedule33[[#This Row],[Scheduled Payment]]+PaymentSchedule33[[#This Row],[Extra
Payment]]&lt;=PaymentSchedule33[[#This Row],[Beginning
Balance]],PaymentSchedule33[[#This Row],[Beginning
Balance]]-PaymentSchedule33[[#This Row],[Principal]],0),"")</f>
        <v>24225.189598815949</v>
      </c>
      <c r="K359" s="25">
        <f ca="1">IF(PaymentSchedule33[[#This Row],[Payment Number]]&lt;&gt;"",SUM(INDEX(PaymentSchedule33[Interest],1,1):PaymentSchedule33[[#This Row],[Interest]]),"")</f>
        <v>309311.62579313171</v>
      </c>
      <c r="L359" s="25">
        <f ca="1">IF(PaymentSchedule33[[#This Row],[Payment Number]]&lt;&gt;"",SUM(INDEX(PaymentSchedule33[Principal],1,1):PaymentSchedule33[[#This Row],[Principal]]),"")</f>
        <v>308274.81040118384</v>
      </c>
      <c r="M359" s="25">
        <f ca="1">PaymentSchedule3[[#This Row],[Total
Payment]]-PaymentSchedule33[[#This Row],[Total
Payment]]</f>
        <v>427.19889995542212</v>
      </c>
      <c r="N359" s="25">
        <f ca="1">PaymentSchedule3[[#This Row],[Interest]]-PaymentSchedule33[[#This Row],[Interest]]</f>
        <v>76.893680915307257</v>
      </c>
      <c r="O359" s="25">
        <f ca="1">PaymentSchedule3[[#This Row],[Cumulative
Interest]]-PaymentSchedule33[[#This Row],[Cumulative
Interest]]</f>
        <v>153241.6606995886</v>
      </c>
    </row>
    <row r="360" spans="2:15" x14ac:dyDescent="0.25">
      <c r="B360" s="23">
        <f ca="1">IF(LoanIsGood,IF(ROW()-ROW(PaymentSchedule33[[#Headers],[Payment Number]])&gt;ScheduledNumberOfPayments,"",ROW()-ROW(PaymentSchedule33[[#Headers],[Payment Number]])),"")</f>
        <v>347</v>
      </c>
      <c r="C360" s="24">
        <f ca="1">IF(PaymentSchedule33[[#This Row],[Payment Number]]&lt;&gt;"",EOMONTH(LoanStartDate,ROW(PaymentSchedule33[[#This Row],[Payment Number]])-ROW(PaymentSchedule33[[#Headers],[Payment Number]])-2)+DAY(LoanStartDate),"")</f>
        <v>55998</v>
      </c>
      <c r="D360" s="25">
        <f ca="1">IF(PaymentSchedule33[[#This Row],[Payment Number]]&lt;&gt;"",IF(ROW()-ROW(PaymentSchedule33[[#Headers],[Beginning
Balance]])=1,LoanAmount,INDEX(PaymentSchedule33[Ending
Balance],ROW()-ROW(PaymentSchedule33[[#Headers],[Beginning
Balance]])-1)),"")</f>
        <v>24225.189598815949</v>
      </c>
      <c r="E360" s="25">
        <f ca="1">IF(PaymentSchedule33[[#This Row],[Payment Number]]&lt;&gt;"",ScheduledPayment,"")</f>
        <v>1784.9318965153623</v>
      </c>
      <c r="F36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0" s="25">
        <f ca="1">IF(PaymentSchedule33[[#This Row],[Payment Number]]&lt;&gt;"",PaymentSchedule33[[#This Row],[Total
Payment]]-PaymentSchedule33[[#This Row],[Interest]],"")</f>
        <v>1683.9936065202958</v>
      </c>
      <c r="I360" s="25">
        <f ca="1">IF(PaymentSchedule33[[#This Row],[Payment Number]]&lt;&gt;"",PaymentSchedule33[[#This Row],[Beginning
Balance]]*(InterestRate/PaymentsPerYear),"")</f>
        <v>100.93828999506646</v>
      </c>
      <c r="J360" s="25">
        <f ca="1">IF(PaymentSchedule33[[#This Row],[Payment Number]]&lt;&gt;"",IF(PaymentSchedule33[[#This Row],[Scheduled Payment]]+PaymentSchedule33[[#This Row],[Extra
Payment]]&lt;=PaymentSchedule33[[#This Row],[Beginning
Balance]],PaymentSchedule33[[#This Row],[Beginning
Balance]]-PaymentSchedule33[[#This Row],[Principal]],0),"")</f>
        <v>22541.195992295652</v>
      </c>
      <c r="K360" s="25">
        <f ca="1">IF(PaymentSchedule33[[#This Row],[Payment Number]]&lt;&gt;"",SUM(INDEX(PaymentSchedule33[Interest],1,1):PaymentSchedule33[[#This Row],[Interest]]),"")</f>
        <v>309412.56408312678</v>
      </c>
      <c r="L360" s="25">
        <f ca="1">IF(PaymentSchedule33[[#This Row],[Payment Number]]&lt;&gt;"",SUM(INDEX(PaymentSchedule33[Principal],1,1):PaymentSchedule33[[#This Row],[Principal]]),"")</f>
        <v>309958.80400770414</v>
      </c>
      <c r="M360" s="25">
        <f ca="1">PaymentSchedule3[[#This Row],[Total
Payment]]-PaymentSchedule33[[#This Row],[Total
Payment]]</f>
        <v>427.19889995542212</v>
      </c>
      <c r="N360" s="25">
        <f ca="1">PaymentSchedule3[[#This Row],[Interest]]-PaymentSchedule33[[#This Row],[Interest]]</f>
        <v>72.055223668936506</v>
      </c>
      <c r="O360" s="25">
        <f ca="1">PaymentSchedule3[[#This Row],[Cumulative
Interest]]-PaymentSchedule33[[#This Row],[Cumulative
Interest]]</f>
        <v>153313.71592325752</v>
      </c>
    </row>
    <row r="361" spans="2:15" x14ac:dyDescent="0.25">
      <c r="B361" s="23">
        <f ca="1">IF(LoanIsGood,IF(ROW()-ROW(PaymentSchedule33[[#Headers],[Payment Number]])&gt;ScheduledNumberOfPayments,"",ROW()-ROW(PaymentSchedule33[[#Headers],[Payment Number]])),"")</f>
        <v>348</v>
      </c>
      <c r="C361" s="24">
        <f ca="1">IF(PaymentSchedule33[[#This Row],[Payment Number]]&lt;&gt;"",EOMONTH(LoanStartDate,ROW(PaymentSchedule33[[#This Row],[Payment Number]])-ROW(PaymentSchedule33[[#Headers],[Payment Number]])-2)+DAY(LoanStartDate),"")</f>
        <v>56028</v>
      </c>
      <c r="D361" s="25">
        <f ca="1">IF(PaymentSchedule33[[#This Row],[Payment Number]]&lt;&gt;"",IF(ROW()-ROW(PaymentSchedule33[[#Headers],[Beginning
Balance]])=1,LoanAmount,INDEX(PaymentSchedule33[Ending
Balance],ROW()-ROW(PaymentSchedule33[[#Headers],[Beginning
Balance]])-1)),"")</f>
        <v>22541.195992295652</v>
      </c>
      <c r="E361" s="25">
        <f ca="1">IF(PaymentSchedule33[[#This Row],[Payment Number]]&lt;&gt;"",ScheduledPayment,"")</f>
        <v>1784.9318965153623</v>
      </c>
      <c r="F36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1" s="25">
        <f ca="1">IF(PaymentSchedule33[[#This Row],[Payment Number]]&lt;&gt;"",PaymentSchedule33[[#This Row],[Total
Payment]]-PaymentSchedule33[[#This Row],[Interest]],"")</f>
        <v>1691.0102465474638</v>
      </c>
      <c r="I361" s="25">
        <f ca="1">IF(PaymentSchedule33[[#This Row],[Payment Number]]&lt;&gt;"",PaymentSchedule33[[#This Row],[Beginning
Balance]]*(InterestRate/PaymentsPerYear),"")</f>
        <v>93.921649967898546</v>
      </c>
      <c r="J361" s="25">
        <f ca="1">IF(PaymentSchedule33[[#This Row],[Payment Number]]&lt;&gt;"",IF(PaymentSchedule33[[#This Row],[Scheduled Payment]]+PaymentSchedule33[[#This Row],[Extra
Payment]]&lt;=PaymentSchedule33[[#This Row],[Beginning
Balance]],PaymentSchedule33[[#This Row],[Beginning
Balance]]-PaymentSchedule33[[#This Row],[Principal]],0),"")</f>
        <v>20850.185745748189</v>
      </c>
      <c r="K361" s="25">
        <f ca="1">IF(PaymentSchedule33[[#This Row],[Payment Number]]&lt;&gt;"",SUM(INDEX(PaymentSchedule33[Interest],1,1):PaymentSchedule33[[#This Row],[Interest]]),"")</f>
        <v>309506.48573309468</v>
      </c>
      <c r="L361" s="25">
        <f ca="1">IF(PaymentSchedule33[[#This Row],[Payment Number]]&lt;&gt;"",SUM(INDEX(PaymentSchedule33[Principal],1,1):PaymentSchedule33[[#This Row],[Principal]]),"")</f>
        <v>311649.8142542516</v>
      </c>
      <c r="M361" s="25">
        <f ca="1">PaymentSchedule3[[#This Row],[Total
Payment]]-PaymentSchedule33[[#This Row],[Total
Payment]]</f>
        <v>427.19889995542212</v>
      </c>
      <c r="N361" s="25">
        <f ca="1">PaymentSchedule3[[#This Row],[Interest]]-PaymentSchedule33[[#This Row],[Interest]]</f>
        <v>67.176896213064865</v>
      </c>
      <c r="O361" s="25">
        <f ca="1">PaymentSchedule3[[#This Row],[Cumulative
Interest]]-PaymentSchedule33[[#This Row],[Cumulative
Interest]]</f>
        <v>153380.89281947061</v>
      </c>
    </row>
    <row r="362" spans="2:15" x14ac:dyDescent="0.25">
      <c r="B362" s="23">
        <f ca="1">IF(LoanIsGood,IF(ROW()-ROW(PaymentSchedule33[[#Headers],[Payment Number]])&gt;ScheduledNumberOfPayments,"",ROW()-ROW(PaymentSchedule33[[#Headers],[Payment Number]])),"")</f>
        <v>349</v>
      </c>
      <c r="C362" s="24">
        <f ca="1">IF(PaymentSchedule33[[#This Row],[Payment Number]]&lt;&gt;"",EOMONTH(LoanStartDate,ROW(PaymentSchedule33[[#This Row],[Payment Number]])-ROW(PaymentSchedule33[[#Headers],[Payment Number]])-2)+DAY(LoanStartDate),"")</f>
        <v>56059</v>
      </c>
      <c r="D362" s="25">
        <f ca="1">IF(PaymentSchedule33[[#This Row],[Payment Number]]&lt;&gt;"",IF(ROW()-ROW(PaymentSchedule33[[#Headers],[Beginning
Balance]])=1,LoanAmount,INDEX(PaymentSchedule33[Ending
Balance],ROW()-ROW(PaymentSchedule33[[#Headers],[Beginning
Balance]])-1)),"")</f>
        <v>20850.185745748189</v>
      </c>
      <c r="E362" s="25">
        <f ca="1">IF(PaymentSchedule33[[#This Row],[Payment Number]]&lt;&gt;"",ScheduledPayment,"")</f>
        <v>1784.9318965153623</v>
      </c>
      <c r="F36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2" s="25">
        <f ca="1">IF(PaymentSchedule33[[#This Row],[Payment Number]]&lt;&gt;"",PaymentSchedule33[[#This Row],[Total
Payment]]-PaymentSchedule33[[#This Row],[Interest]],"")</f>
        <v>1698.0561225747449</v>
      </c>
      <c r="I362" s="25">
        <f ca="1">IF(PaymentSchedule33[[#This Row],[Payment Number]]&lt;&gt;"",PaymentSchedule33[[#This Row],[Beginning
Balance]]*(InterestRate/PaymentsPerYear),"")</f>
        <v>86.875773940617449</v>
      </c>
      <c r="J362" s="25">
        <f ca="1">IF(PaymentSchedule33[[#This Row],[Payment Number]]&lt;&gt;"",IF(PaymentSchedule33[[#This Row],[Scheduled Payment]]+PaymentSchedule33[[#This Row],[Extra
Payment]]&lt;=PaymentSchedule33[[#This Row],[Beginning
Balance]],PaymentSchedule33[[#This Row],[Beginning
Balance]]-PaymentSchedule33[[#This Row],[Principal]],0),"")</f>
        <v>19152.129623173445</v>
      </c>
      <c r="K362" s="25">
        <f ca="1">IF(PaymentSchedule33[[#This Row],[Payment Number]]&lt;&gt;"",SUM(INDEX(PaymentSchedule33[Interest],1,1):PaymentSchedule33[[#This Row],[Interest]]),"")</f>
        <v>309593.36150703533</v>
      </c>
      <c r="L362" s="25">
        <f ca="1">IF(PaymentSchedule33[[#This Row],[Payment Number]]&lt;&gt;"",SUM(INDEX(PaymentSchedule33[Principal],1,1):PaymentSchedule33[[#This Row],[Principal]]),"")</f>
        <v>313347.87037682632</v>
      </c>
      <c r="M362" s="25">
        <f ca="1">PaymentSchedule3[[#This Row],[Total
Payment]]-PaymentSchedule33[[#This Row],[Total
Payment]]</f>
        <v>427.19889995542212</v>
      </c>
      <c r="N362" s="25">
        <f ca="1">PaymentSchedule3[[#This Row],[Interest]]-PaymentSchedule33[[#This Row],[Interest]]</f>
        <v>62.258417446988688</v>
      </c>
      <c r="O362" s="25">
        <f ca="1">PaymentSchedule3[[#This Row],[Cumulative
Interest]]-PaymentSchedule33[[#This Row],[Cumulative
Interest]]</f>
        <v>153443.15123691759</v>
      </c>
    </row>
    <row r="363" spans="2:15" x14ac:dyDescent="0.25">
      <c r="B363" s="23">
        <f ca="1">IF(LoanIsGood,IF(ROW()-ROW(PaymentSchedule33[[#Headers],[Payment Number]])&gt;ScheduledNumberOfPayments,"",ROW()-ROW(PaymentSchedule33[[#Headers],[Payment Number]])),"")</f>
        <v>350</v>
      </c>
      <c r="C363" s="24">
        <f ca="1">IF(PaymentSchedule33[[#This Row],[Payment Number]]&lt;&gt;"",EOMONTH(LoanStartDate,ROW(PaymentSchedule33[[#This Row],[Payment Number]])-ROW(PaymentSchedule33[[#Headers],[Payment Number]])-2)+DAY(LoanStartDate),"")</f>
        <v>56089</v>
      </c>
      <c r="D363" s="25">
        <f ca="1">IF(PaymentSchedule33[[#This Row],[Payment Number]]&lt;&gt;"",IF(ROW()-ROW(PaymentSchedule33[[#Headers],[Beginning
Balance]])=1,LoanAmount,INDEX(PaymentSchedule33[Ending
Balance],ROW()-ROW(PaymentSchedule33[[#Headers],[Beginning
Balance]])-1)),"")</f>
        <v>19152.129623173445</v>
      </c>
      <c r="E363" s="25">
        <f ca="1">IF(PaymentSchedule33[[#This Row],[Payment Number]]&lt;&gt;"",ScheduledPayment,"")</f>
        <v>1784.9318965153623</v>
      </c>
      <c r="F36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3" s="25">
        <f ca="1">IF(PaymentSchedule33[[#This Row],[Payment Number]]&lt;&gt;"",PaymentSchedule33[[#This Row],[Total
Payment]]-PaymentSchedule33[[#This Row],[Interest]],"")</f>
        <v>1705.1313564188063</v>
      </c>
      <c r="I363" s="25">
        <f ca="1">IF(PaymentSchedule33[[#This Row],[Payment Number]]&lt;&gt;"",PaymentSchedule33[[#This Row],[Beginning
Balance]]*(InterestRate/PaymentsPerYear),"")</f>
        <v>79.80054009655602</v>
      </c>
      <c r="J363" s="25">
        <f ca="1">IF(PaymentSchedule33[[#This Row],[Payment Number]]&lt;&gt;"",IF(PaymentSchedule33[[#This Row],[Scheduled Payment]]+PaymentSchedule33[[#This Row],[Extra
Payment]]&lt;=PaymentSchedule33[[#This Row],[Beginning
Balance]],PaymentSchedule33[[#This Row],[Beginning
Balance]]-PaymentSchedule33[[#This Row],[Principal]],0),"")</f>
        <v>17446.998266754639</v>
      </c>
      <c r="K363" s="25">
        <f ca="1">IF(PaymentSchedule33[[#This Row],[Payment Number]]&lt;&gt;"",SUM(INDEX(PaymentSchedule33[Interest],1,1):PaymentSchedule33[[#This Row],[Interest]]),"")</f>
        <v>309673.16204713186</v>
      </c>
      <c r="L363" s="25">
        <f ca="1">IF(PaymentSchedule33[[#This Row],[Payment Number]]&lt;&gt;"",SUM(INDEX(PaymentSchedule33[Principal],1,1):PaymentSchedule33[[#This Row],[Principal]]),"")</f>
        <v>315053.00173324515</v>
      </c>
      <c r="M363" s="25">
        <f ca="1">PaymentSchedule3[[#This Row],[Total
Payment]]-PaymentSchedule33[[#This Row],[Total
Payment]]</f>
        <v>427.19889995542212</v>
      </c>
      <c r="N363" s="25">
        <f ca="1">PaymentSchedule3[[#This Row],[Interest]]-PaymentSchedule33[[#This Row],[Interest]]</f>
        <v>57.299504428064907</v>
      </c>
      <c r="O363" s="25">
        <f ca="1">PaymentSchedule3[[#This Row],[Cumulative
Interest]]-PaymentSchedule33[[#This Row],[Cumulative
Interest]]</f>
        <v>153500.4507413457</v>
      </c>
    </row>
    <row r="364" spans="2:15" x14ac:dyDescent="0.25">
      <c r="B364" s="23">
        <f ca="1">IF(LoanIsGood,IF(ROW()-ROW(PaymentSchedule33[[#Headers],[Payment Number]])&gt;ScheduledNumberOfPayments,"",ROW()-ROW(PaymentSchedule33[[#Headers],[Payment Number]])),"")</f>
        <v>351</v>
      </c>
      <c r="C364" s="24">
        <f ca="1">IF(PaymentSchedule33[[#This Row],[Payment Number]]&lt;&gt;"",EOMONTH(LoanStartDate,ROW(PaymentSchedule33[[#This Row],[Payment Number]])-ROW(PaymentSchedule33[[#Headers],[Payment Number]])-2)+DAY(LoanStartDate),"")</f>
        <v>56120</v>
      </c>
      <c r="D364" s="25">
        <f ca="1">IF(PaymentSchedule33[[#This Row],[Payment Number]]&lt;&gt;"",IF(ROW()-ROW(PaymentSchedule33[[#Headers],[Beginning
Balance]])=1,LoanAmount,INDEX(PaymentSchedule33[Ending
Balance],ROW()-ROW(PaymentSchedule33[[#Headers],[Beginning
Balance]])-1)),"")</f>
        <v>17446.998266754639</v>
      </c>
      <c r="E364" s="25">
        <f ca="1">IF(PaymentSchedule33[[#This Row],[Payment Number]]&lt;&gt;"",ScheduledPayment,"")</f>
        <v>1784.9318965153623</v>
      </c>
      <c r="F364"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4"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4" s="25">
        <f ca="1">IF(PaymentSchedule33[[#This Row],[Payment Number]]&lt;&gt;"",PaymentSchedule33[[#This Row],[Total
Payment]]-PaymentSchedule33[[#This Row],[Interest]],"")</f>
        <v>1712.2360704038847</v>
      </c>
      <c r="I364" s="25">
        <f ca="1">IF(PaymentSchedule33[[#This Row],[Payment Number]]&lt;&gt;"",PaymentSchedule33[[#This Row],[Beginning
Balance]]*(InterestRate/PaymentsPerYear),"")</f>
        <v>72.695826111477658</v>
      </c>
      <c r="J364" s="25">
        <f ca="1">IF(PaymentSchedule33[[#This Row],[Payment Number]]&lt;&gt;"",IF(PaymentSchedule33[[#This Row],[Scheduled Payment]]+PaymentSchedule33[[#This Row],[Extra
Payment]]&lt;=PaymentSchedule33[[#This Row],[Beginning
Balance]],PaymentSchedule33[[#This Row],[Beginning
Balance]]-PaymentSchedule33[[#This Row],[Principal]],0),"")</f>
        <v>15734.762196350755</v>
      </c>
      <c r="K364" s="25">
        <f ca="1">IF(PaymentSchedule33[[#This Row],[Payment Number]]&lt;&gt;"",SUM(INDEX(PaymentSchedule33[Interest],1,1):PaymentSchedule33[[#This Row],[Interest]]),"")</f>
        <v>309745.85787324334</v>
      </c>
      <c r="L364" s="25">
        <f ca="1">IF(PaymentSchedule33[[#This Row],[Payment Number]]&lt;&gt;"",SUM(INDEX(PaymentSchedule33[Principal],1,1):PaymentSchedule33[[#This Row],[Principal]]),"")</f>
        <v>316765.23780364904</v>
      </c>
      <c r="M364" s="25">
        <f ca="1">PaymentSchedule3[[#This Row],[Total
Payment]]-PaymentSchedule33[[#This Row],[Total
Payment]]</f>
        <v>427.19889995542212</v>
      </c>
      <c r="N364" s="25">
        <f ca="1">PaymentSchedule3[[#This Row],[Interest]]-PaymentSchedule33[[#This Row],[Interest]]</f>
        <v>52.299872360123985</v>
      </c>
      <c r="O364" s="25">
        <f ca="1">PaymentSchedule3[[#This Row],[Cumulative
Interest]]-PaymentSchedule33[[#This Row],[Cumulative
Interest]]</f>
        <v>153552.75061370584</v>
      </c>
    </row>
    <row r="365" spans="2:15" x14ac:dyDescent="0.25">
      <c r="B365" s="23">
        <f ca="1">IF(LoanIsGood,IF(ROW()-ROW(PaymentSchedule33[[#Headers],[Payment Number]])&gt;ScheduledNumberOfPayments,"",ROW()-ROW(PaymentSchedule33[[#Headers],[Payment Number]])),"")</f>
        <v>352</v>
      </c>
      <c r="C365" s="24">
        <f ca="1">IF(PaymentSchedule33[[#This Row],[Payment Number]]&lt;&gt;"",EOMONTH(LoanStartDate,ROW(PaymentSchedule33[[#This Row],[Payment Number]])-ROW(PaymentSchedule33[[#Headers],[Payment Number]])-2)+DAY(LoanStartDate),"")</f>
        <v>56151</v>
      </c>
      <c r="D365" s="25">
        <f ca="1">IF(PaymentSchedule33[[#This Row],[Payment Number]]&lt;&gt;"",IF(ROW()-ROW(PaymentSchedule33[[#Headers],[Beginning
Balance]])=1,LoanAmount,INDEX(PaymentSchedule33[Ending
Balance],ROW()-ROW(PaymentSchedule33[[#Headers],[Beginning
Balance]])-1)),"")</f>
        <v>15734.762196350755</v>
      </c>
      <c r="E365" s="25">
        <f ca="1">IF(PaymentSchedule33[[#This Row],[Payment Number]]&lt;&gt;"",ScheduledPayment,"")</f>
        <v>1784.9318965153623</v>
      </c>
      <c r="F365"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5"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5" s="25">
        <f ca="1">IF(PaymentSchedule33[[#This Row],[Payment Number]]&lt;&gt;"",PaymentSchedule33[[#This Row],[Total
Payment]]-PaymentSchedule33[[#This Row],[Interest]],"")</f>
        <v>1719.3703873639008</v>
      </c>
      <c r="I365" s="25">
        <f ca="1">IF(PaymentSchedule33[[#This Row],[Payment Number]]&lt;&gt;"",PaymentSchedule33[[#This Row],[Beginning
Balance]]*(InterestRate/PaymentsPerYear),"")</f>
        <v>65.561509151461479</v>
      </c>
      <c r="J365" s="25">
        <f ca="1">IF(PaymentSchedule33[[#This Row],[Payment Number]]&lt;&gt;"",IF(PaymentSchedule33[[#This Row],[Scheduled Payment]]+PaymentSchedule33[[#This Row],[Extra
Payment]]&lt;=PaymentSchedule33[[#This Row],[Beginning
Balance]],PaymentSchedule33[[#This Row],[Beginning
Balance]]-PaymentSchedule33[[#This Row],[Principal]],0),"")</f>
        <v>14015.391808986855</v>
      </c>
      <c r="K365" s="25">
        <f ca="1">IF(PaymentSchedule33[[#This Row],[Payment Number]]&lt;&gt;"",SUM(INDEX(PaymentSchedule33[Interest],1,1):PaymentSchedule33[[#This Row],[Interest]]),"")</f>
        <v>309811.41938239482</v>
      </c>
      <c r="L365" s="25">
        <f ca="1">IF(PaymentSchedule33[[#This Row],[Payment Number]]&lt;&gt;"",SUM(INDEX(PaymentSchedule33[Principal],1,1):PaymentSchedule33[[#This Row],[Principal]]),"")</f>
        <v>318484.60819101293</v>
      </c>
      <c r="M365" s="25">
        <f ca="1">PaymentSchedule3[[#This Row],[Total
Payment]]-PaymentSchedule33[[#This Row],[Total
Payment]]</f>
        <v>427.19889995542212</v>
      </c>
      <c r="N365" s="25">
        <f ca="1">PaymentSchedule3[[#This Row],[Interest]]-PaymentSchedule33[[#This Row],[Interest]]</f>
        <v>47.259234581811583</v>
      </c>
      <c r="O365" s="25">
        <f ca="1">PaymentSchedule3[[#This Row],[Cumulative
Interest]]-PaymentSchedule33[[#This Row],[Cumulative
Interest]]</f>
        <v>153600.00984828762</v>
      </c>
    </row>
    <row r="366" spans="2:15" x14ac:dyDescent="0.25">
      <c r="B366" s="23">
        <f ca="1">IF(LoanIsGood,IF(ROW()-ROW(PaymentSchedule33[[#Headers],[Payment Number]])&gt;ScheduledNumberOfPayments,"",ROW()-ROW(PaymentSchedule33[[#Headers],[Payment Number]])),"")</f>
        <v>353</v>
      </c>
      <c r="C366" s="24">
        <f ca="1">IF(PaymentSchedule33[[#This Row],[Payment Number]]&lt;&gt;"",EOMONTH(LoanStartDate,ROW(PaymentSchedule33[[#This Row],[Payment Number]])-ROW(PaymentSchedule33[[#Headers],[Payment Number]])-2)+DAY(LoanStartDate),"")</f>
        <v>56181</v>
      </c>
      <c r="D366" s="25">
        <f ca="1">IF(PaymentSchedule33[[#This Row],[Payment Number]]&lt;&gt;"",IF(ROW()-ROW(PaymentSchedule33[[#Headers],[Beginning
Balance]])=1,LoanAmount,INDEX(PaymentSchedule33[Ending
Balance],ROW()-ROW(PaymentSchedule33[[#Headers],[Beginning
Balance]])-1)),"")</f>
        <v>14015.391808986855</v>
      </c>
      <c r="E366" s="25">
        <f ca="1">IF(PaymentSchedule33[[#This Row],[Payment Number]]&lt;&gt;"",ScheduledPayment,"")</f>
        <v>1784.9318965153623</v>
      </c>
      <c r="F366"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6"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6" s="25">
        <f ca="1">IF(PaymentSchedule33[[#This Row],[Payment Number]]&lt;&gt;"",PaymentSchedule33[[#This Row],[Total
Payment]]-PaymentSchedule33[[#This Row],[Interest]],"")</f>
        <v>1726.5344306445836</v>
      </c>
      <c r="I366" s="25">
        <f ca="1">IF(PaymentSchedule33[[#This Row],[Payment Number]]&lt;&gt;"",PaymentSchedule33[[#This Row],[Beginning
Balance]]*(InterestRate/PaymentsPerYear),"")</f>
        <v>58.397465870778561</v>
      </c>
      <c r="J366" s="25">
        <f ca="1">IF(PaymentSchedule33[[#This Row],[Payment Number]]&lt;&gt;"",IF(PaymentSchedule33[[#This Row],[Scheduled Payment]]+PaymentSchedule33[[#This Row],[Extra
Payment]]&lt;=PaymentSchedule33[[#This Row],[Beginning
Balance]],PaymentSchedule33[[#This Row],[Beginning
Balance]]-PaymentSchedule33[[#This Row],[Principal]],0),"")</f>
        <v>12288.857378342271</v>
      </c>
      <c r="K366" s="25">
        <f ca="1">IF(PaymentSchedule33[[#This Row],[Payment Number]]&lt;&gt;"",SUM(INDEX(PaymentSchedule33[Interest],1,1):PaymentSchedule33[[#This Row],[Interest]]),"")</f>
        <v>309869.81684826559</v>
      </c>
      <c r="L366" s="25">
        <f ca="1">IF(PaymentSchedule33[[#This Row],[Payment Number]]&lt;&gt;"",SUM(INDEX(PaymentSchedule33[Principal],1,1):PaymentSchedule33[[#This Row],[Principal]]),"")</f>
        <v>320211.14262165752</v>
      </c>
      <c r="M366" s="25">
        <f ca="1">PaymentSchedule3[[#This Row],[Total
Payment]]-PaymentSchedule33[[#This Row],[Total
Payment]]</f>
        <v>427.19889995542212</v>
      </c>
      <c r="N366" s="25">
        <f ca="1">PaymentSchedule3[[#This Row],[Interest]]-PaymentSchedule33[[#This Row],[Interest]]</f>
        <v>42.177302554859025</v>
      </c>
      <c r="O366" s="25">
        <f ca="1">PaymentSchedule3[[#This Row],[Cumulative
Interest]]-PaymentSchedule33[[#This Row],[Cumulative
Interest]]</f>
        <v>153642.18715084251</v>
      </c>
    </row>
    <row r="367" spans="2:15" x14ac:dyDescent="0.25">
      <c r="B367" s="23">
        <f ca="1">IF(LoanIsGood,IF(ROW()-ROW(PaymentSchedule33[[#Headers],[Payment Number]])&gt;ScheduledNumberOfPayments,"",ROW()-ROW(PaymentSchedule33[[#Headers],[Payment Number]])),"")</f>
        <v>354</v>
      </c>
      <c r="C367" s="24">
        <f ca="1">IF(PaymentSchedule33[[#This Row],[Payment Number]]&lt;&gt;"",EOMONTH(LoanStartDate,ROW(PaymentSchedule33[[#This Row],[Payment Number]])-ROW(PaymentSchedule33[[#Headers],[Payment Number]])-2)+DAY(LoanStartDate),"")</f>
        <v>56212</v>
      </c>
      <c r="D367" s="25">
        <f ca="1">IF(PaymentSchedule33[[#This Row],[Payment Number]]&lt;&gt;"",IF(ROW()-ROW(PaymentSchedule33[[#Headers],[Beginning
Balance]])=1,LoanAmount,INDEX(PaymentSchedule33[Ending
Balance],ROW()-ROW(PaymentSchedule33[[#Headers],[Beginning
Balance]])-1)),"")</f>
        <v>12288.857378342271</v>
      </c>
      <c r="E367" s="25">
        <f ca="1">IF(PaymentSchedule33[[#This Row],[Payment Number]]&lt;&gt;"",ScheduledPayment,"")</f>
        <v>1784.9318965153623</v>
      </c>
      <c r="F367"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7"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7" s="25">
        <f ca="1">IF(PaymentSchedule33[[#This Row],[Payment Number]]&lt;&gt;"",PaymentSchedule33[[#This Row],[Total
Payment]]-PaymentSchedule33[[#This Row],[Interest]],"")</f>
        <v>1733.7283241056027</v>
      </c>
      <c r="I367" s="25">
        <f ca="1">IF(PaymentSchedule33[[#This Row],[Payment Number]]&lt;&gt;"",PaymentSchedule33[[#This Row],[Beginning
Balance]]*(InterestRate/PaymentsPerYear),"")</f>
        <v>51.20357240975946</v>
      </c>
      <c r="J367" s="25">
        <f ca="1">IF(PaymentSchedule33[[#This Row],[Payment Number]]&lt;&gt;"",IF(PaymentSchedule33[[#This Row],[Scheduled Payment]]+PaymentSchedule33[[#This Row],[Extra
Payment]]&lt;=PaymentSchedule33[[#This Row],[Beginning
Balance]],PaymentSchedule33[[#This Row],[Beginning
Balance]]-PaymentSchedule33[[#This Row],[Principal]],0),"")</f>
        <v>10555.129054236668</v>
      </c>
      <c r="K367" s="25">
        <f ca="1">IF(PaymentSchedule33[[#This Row],[Payment Number]]&lt;&gt;"",SUM(INDEX(PaymentSchedule33[Interest],1,1):PaymentSchedule33[[#This Row],[Interest]]),"")</f>
        <v>309921.02042067534</v>
      </c>
      <c r="L367" s="25">
        <f ca="1">IF(PaymentSchedule33[[#This Row],[Payment Number]]&lt;&gt;"",SUM(INDEX(PaymentSchedule33[Principal],1,1):PaymentSchedule33[[#This Row],[Principal]]),"")</f>
        <v>321944.87094576313</v>
      </c>
      <c r="M367" s="25">
        <f ca="1">PaymentSchedule3[[#This Row],[Total
Payment]]-PaymentSchedule33[[#This Row],[Total
Payment]]</f>
        <v>427.19889995542212</v>
      </c>
      <c r="N367" s="25">
        <f ca="1">PaymentSchedule3[[#This Row],[Interest]]-PaymentSchedule33[[#This Row],[Interest]]</f>
        <v>37.053785852281436</v>
      </c>
      <c r="O367" s="25">
        <f ca="1">PaymentSchedule3[[#This Row],[Cumulative
Interest]]-PaymentSchedule33[[#This Row],[Cumulative
Interest]]</f>
        <v>153679.24093669478</v>
      </c>
    </row>
    <row r="368" spans="2:15" x14ac:dyDescent="0.25">
      <c r="B368" s="23">
        <f ca="1">IF(LoanIsGood,IF(ROW()-ROW(PaymentSchedule33[[#Headers],[Payment Number]])&gt;ScheduledNumberOfPayments,"",ROW()-ROW(PaymentSchedule33[[#Headers],[Payment Number]])),"")</f>
        <v>355</v>
      </c>
      <c r="C368" s="24">
        <f ca="1">IF(PaymentSchedule33[[#This Row],[Payment Number]]&lt;&gt;"",EOMONTH(LoanStartDate,ROW(PaymentSchedule33[[#This Row],[Payment Number]])-ROW(PaymentSchedule33[[#Headers],[Payment Number]])-2)+DAY(LoanStartDate),"")</f>
        <v>56242</v>
      </c>
      <c r="D368" s="25">
        <f ca="1">IF(PaymentSchedule33[[#This Row],[Payment Number]]&lt;&gt;"",IF(ROW()-ROW(PaymentSchedule33[[#Headers],[Beginning
Balance]])=1,LoanAmount,INDEX(PaymentSchedule33[Ending
Balance],ROW()-ROW(PaymentSchedule33[[#Headers],[Beginning
Balance]])-1)),"")</f>
        <v>10555.129054236668</v>
      </c>
      <c r="E368" s="25">
        <f ca="1">IF(PaymentSchedule33[[#This Row],[Payment Number]]&lt;&gt;"",ScheduledPayment,"")</f>
        <v>1784.9318965153623</v>
      </c>
      <c r="F368"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8"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8" s="25">
        <f ca="1">IF(PaymentSchedule33[[#This Row],[Payment Number]]&lt;&gt;"",PaymentSchedule33[[#This Row],[Total
Payment]]-PaymentSchedule33[[#This Row],[Interest]],"")</f>
        <v>1740.9521921227094</v>
      </c>
      <c r="I368" s="25">
        <f ca="1">IF(PaymentSchedule33[[#This Row],[Payment Number]]&lt;&gt;"",PaymentSchedule33[[#This Row],[Beginning
Balance]]*(InterestRate/PaymentsPerYear),"")</f>
        <v>43.979704392652785</v>
      </c>
      <c r="J368" s="25">
        <f ca="1">IF(PaymentSchedule33[[#This Row],[Payment Number]]&lt;&gt;"",IF(PaymentSchedule33[[#This Row],[Scheduled Payment]]+PaymentSchedule33[[#This Row],[Extra
Payment]]&lt;=PaymentSchedule33[[#This Row],[Beginning
Balance]],PaymentSchedule33[[#This Row],[Beginning
Balance]]-PaymentSchedule33[[#This Row],[Principal]],0),"")</f>
        <v>8814.1768621139581</v>
      </c>
      <c r="K368" s="25">
        <f ca="1">IF(PaymentSchedule33[[#This Row],[Payment Number]]&lt;&gt;"",SUM(INDEX(PaymentSchedule33[Interest],1,1):PaymentSchedule33[[#This Row],[Interest]]),"")</f>
        <v>309965.00012506801</v>
      </c>
      <c r="L368" s="25">
        <f ca="1">IF(PaymentSchedule33[[#This Row],[Payment Number]]&lt;&gt;"",SUM(INDEX(PaymentSchedule33[Principal],1,1):PaymentSchedule33[[#This Row],[Principal]]),"")</f>
        <v>323685.82313788583</v>
      </c>
      <c r="M368" s="25">
        <f ca="1">PaymentSchedule3[[#This Row],[Total
Payment]]-PaymentSchedule33[[#This Row],[Total
Payment]]</f>
        <v>427.19889995542212</v>
      </c>
      <c r="N368" s="25">
        <f ca="1">PaymentSchedule3[[#This Row],[Interest]]-PaymentSchedule33[[#This Row],[Interest]]</f>
        <v>31.888392146503769</v>
      </c>
      <c r="O368" s="25">
        <f ca="1">PaymentSchedule3[[#This Row],[Cumulative
Interest]]-PaymentSchedule33[[#This Row],[Cumulative
Interest]]</f>
        <v>153711.12932884129</v>
      </c>
    </row>
    <row r="369" spans="2:15" x14ac:dyDescent="0.25">
      <c r="B369" s="23">
        <f ca="1">IF(LoanIsGood,IF(ROW()-ROW(PaymentSchedule33[[#Headers],[Payment Number]])&gt;ScheduledNumberOfPayments,"",ROW()-ROW(PaymentSchedule33[[#Headers],[Payment Number]])),"")</f>
        <v>356</v>
      </c>
      <c r="C369" s="24">
        <f ca="1">IF(PaymentSchedule33[[#This Row],[Payment Number]]&lt;&gt;"",EOMONTH(LoanStartDate,ROW(PaymentSchedule33[[#This Row],[Payment Number]])-ROW(PaymentSchedule33[[#Headers],[Payment Number]])-2)+DAY(LoanStartDate),"")</f>
        <v>56273</v>
      </c>
      <c r="D369" s="25">
        <f ca="1">IF(PaymentSchedule33[[#This Row],[Payment Number]]&lt;&gt;"",IF(ROW()-ROW(PaymentSchedule33[[#Headers],[Beginning
Balance]])=1,LoanAmount,INDEX(PaymentSchedule33[Ending
Balance],ROW()-ROW(PaymentSchedule33[[#Headers],[Beginning
Balance]])-1)),"")</f>
        <v>8814.1768621139581</v>
      </c>
      <c r="E369" s="25">
        <f ca="1">IF(PaymentSchedule33[[#This Row],[Payment Number]]&lt;&gt;"",ScheduledPayment,"")</f>
        <v>1784.9318965153623</v>
      </c>
      <c r="F369"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69"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69" s="25">
        <f ca="1">IF(PaymentSchedule33[[#This Row],[Payment Number]]&lt;&gt;"",PaymentSchedule33[[#This Row],[Total
Payment]]-PaymentSchedule33[[#This Row],[Interest]],"")</f>
        <v>1748.2061595898874</v>
      </c>
      <c r="I369" s="25">
        <f ca="1">IF(PaymentSchedule33[[#This Row],[Payment Number]]&lt;&gt;"",PaymentSchedule33[[#This Row],[Beginning
Balance]]*(InterestRate/PaymentsPerYear),"")</f>
        <v>36.725736925474827</v>
      </c>
      <c r="J369" s="25">
        <f ca="1">IF(PaymentSchedule33[[#This Row],[Payment Number]]&lt;&gt;"",IF(PaymentSchedule33[[#This Row],[Scheduled Payment]]+PaymentSchedule33[[#This Row],[Extra
Payment]]&lt;=PaymentSchedule33[[#This Row],[Beginning
Balance]],PaymentSchedule33[[#This Row],[Beginning
Balance]]-PaymentSchedule33[[#This Row],[Principal]],0),"")</f>
        <v>7065.9707025240705</v>
      </c>
      <c r="K369" s="25">
        <f ca="1">IF(PaymentSchedule33[[#This Row],[Payment Number]]&lt;&gt;"",SUM(INDEX(PaymentSchedule33[Interest],1,1):PaymentSchedule33[[#This Row],[Interest]]),"")</f>
        <v>310001.7258619935</v>
      </c>
      <c r="L369" s="25">
        <f ca="1">IF(PaymentSchedule33[[#This Row],[Payment Number]]&lt;&gt;"",SUM(INDEX(PaymentSchedule33[Principal],1,1):PaymentSchedule33[[#This Row],[Principal]]),"")</f>
        <v>325434.0292974757</v>
      </c>
      <c r="M369" s="25">
        <f ca="1">PaymentSchedule3[[#This Row],[Total
Payment]]-PaymentSchedule33[[#This Row],[Total
Payment]]</f>
        <v>427.19889995542212</v>
      </c>
      <c r="N369" s="25">
        <f ca="1">PaymentSchedule3[[#This Row],[Interest]]-PaymentSchedule33[[#This Row],[Interest]]</f>
        <v>26.680827197413898</v>
      </c>
      <c r="O369" s="25">
        <f ca="1">PaymentSchedule3[[#This Row],[Cumulative
Interest]]-PaymentSchedule33[[#This Row],[Cumulative
Interest]]</f>
        <v>153737.81015603867</v>
      </c>
    </row>
    <row r="370" spans="2:15" x14ac:dyDescent="0.25">
      <c r="B370" s="23">
        <f ca="1">IF(LoanIsGood,IF(ROW()-ROW(PaymentSchedule33[[#Headers],[Payment Number]])&gt;ScheduledNumberOfPayments,"",ROW()-ROW(PaymentSchedule33[[#Headers],[Payment Number]])),"")</f>
        <v>357</v>
      </c>
      <c r="C370" s="24">
        <f ca="1">IF(PaymentSchedule33[[#This Row],[Payment Number]]&lt;&gt;"",EOMONTH(LoanStartDate,ROW(PaymentSchedule33[[#This Row],[Payment Number]])-ROW(PaymentSchedule33[[#Headers],[Payment Number]])-2)+DAY(LoanStartDate),"")</f>
        <v>56304</v>
      </c>
      <c r="D370" s="25">
        <f ca="1">IF(PaymentSchedule33[[#This Row],[Payment Number]]&lt;&gt;"",IF(ROW()-ROW(PaymentSchedule33[[#Headers],[Beginning
Balance]])=1,LoanAmount,INDEX(PaymentSchedule33[Ending
Balance],ROW()-ROW(PaymentSchedule33[[#Headers],[Beginning
Balance]])-1)),"")</f>
        <v>7065.9707025240705</v>
      </c>
      <c r="E370" s="25">
        <f ca="1">IF(PaymentSchedule33[[#This Row],[Payment Number]]&lt;&gt;"",ScheduledPayment,"")</f>
        <v>1784.9318965153623</v>
      </c>
      <c r="F370"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70"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70" s="25">
        <f ca="1">IF(PaymentSchedule33[[#This Row],[Payment Number]]&lt;&gt;"",PaymentSchedule33[[#This Row],[Total
Payment]]-PaymentSchedule33[[#This Row],[Interest]],"")</f>
        <v>1755.490351921512</v>
      </c>
      <c r="I370" s="25">
        <f ca="1">IF(PaymentSchedule33[[#This Row],[Payment Number]]&lt;&gt;"",PaymentSchedule33[[#This Row],[Beginning
Balance]]*(InterestRate/PaymentsPerYear),"")</f>
        <v>29.441544593850292</v>
      </c>
      <c r="J370" s="25">
        <f ca="1">IF(PaymentSchedule33[[#This Row],[Payment Number]]&lt;&gt;"",IF(PaymentSchedule33[[#This Row],[Scheduled Payment]]+PaymentSchedule33[[#This Row],[Extra
Payment]]&lt;=PaymentSchedule33[[#This Row],[Beginning
Balance]],PaymentSchedule33[[#This Row],[Beginning
Balance]]-PaymentSchedule33[[#This Row],[Principal]],0),"")</f>
        <v>5310.4803506025582</v>
      </c>
      <c r="K370" s="25">
        <f ca="1">IF(PaymentSchedule33[[#This Row],[Payment Number]]&lt;&gt;"",SUM(INDEX(PaymentSchedule33[Interest],1,1):PaymentSchedule33[[#This Row],[Interest]]),"")</f>
        <v>310031.16740658734</v>
      </c>
      <c r="L370" s="25">
        <f ca="1">IF(PaymentSchedule33[[#This Row],[Payment Number]]&lt;&gt;"",SUM(INDEX(PaymentSchedule33[Principal],1,1):PaymentSchedule33[[#This Row],[Principal]]),"")</f>
        <v>327189.51964939723</v>
      </c>
      <c r="M370" s="25">
        <f ca="1">PaymentSchedule3[[#This Row],[Total
Payment]]-PaymentSchedule33[[#This Row],[Total
Payment]]</f>
        <v>427.19889995542212</v>
      </c>
      <c r="N370" s="25">
        <f ca="1">PaymentSchedule3[[#This Row],[Interest]]-PaymentSchedule33[[#This Row],[Interest]]</f>
        <v>21.430794840342369</v>
      </c>
      <c r="O370" s="25">
        <f ca="1">PaymentSchedule3[[#This Row],[Cumulative
Interest]]-PaymentSchedule33[[#This Row],[Cumulative
Interest]]</f>
        <v>153759.240950879</v>
      </c>
    </row>
    <row r="371" spans="2:15" x14ac:dyDescent="0.25">
      <c r="B371" s="23">
        <f ca="1">IF(LoanIsGood,IF(ROW()-ROW(PaymentSchedule33[[#Headers],[Payment Number]])&gt;ScheduledNumberOfPayments,"",ROW()-ROW(PaymentSchedule33[[#Headers],[Payment Number]])),"")</f>
        <v>358</v>
      </c>
      <c r="C371" s="24">
        <f ca="1">IF(PaymentSchedule33[[#This Row],[Payment Number]]&lt;&gt;"",EOMONTH(LoanStartDate,ROW(PaymentSchedule33[[#This Row],[Payment Number]])-ROW(PaymentSchedule33[[#Headers],[Payment Number]])-2)+DAY(LoanStartDate),"")</f>
        <v>56332</v>
      </c>
      <c r="D371" s="25">
        <f ca="1">IF(PaymentSchedule33[[#This Row],[Payment Number]]&lt;&gt;"",IF(ROW()-ROW(PaymentSchedule33[[#Headers],[Beginning
Balance]])=1,LoanAmount,INDEX(PaymentSchedule33[Ending
Balance],ROW()-ROW(PaymentSchedule33[[#Headers],[Beginning
Balance]])-1)),"")</f>
        <v>5310.4803506025582</v>
      </c>
      <c r="E371" s="25">
        <f ca="1">IF(PaymentSchedule33[[#This Row],[Payment Number]]&lt;&gt;"",ScheduledPayment,"")</f>
        <v>1784.9318965153623</v>
      </c>
      <c r="F371"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71"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71" s="25">
        <f ca="1">IF(PaymentSchedule33[[#This Row],[Payment Number]]&lt;&gt;"",PaymentSchedule33[[#This Row],[Total
Payment]]-PaymentSchedule33[[#This Row],[Interest]],"")</f>
        <v>1762.8048950545183</v>
      </c>
      <c r="I371" s="25">
        <f ca="1">IF(PaymentSchedule33[[#This Row],[Payment Number]]&lt;&gt;"",PaymentSchedule33[[#This Row],[Beginning
Balance]]*(InterestRate/PaymentsPerYear),"")</f>
        <v>22.127001460843992</v>
      </c>
      <c r="J371" s="25">
        <f ca="1">IF(PaymentSchedule33[[#This Row],[Payment Number]]&lt;&gt;"",IF(PaymentSchedule33[[#This Row],[Scheduled Payment]]+PaymentSchedule33[[#This Row],[Extra
Payment]]&lt;=PaymentSchedule33[[#This Row],[Beginning
Balance]],PaymentSchedule33[[#This Row],[Beginning
Balance]]-PaymentSchedule33[[#This Row],[Principal]],0),"")</f>
        <v>3547.6754555480402</v>
      </c>
      <c r="K371" s="25">
        <f ca="1">IF(PaymentSchedule33[[#This Row],[Payment Number]]&lt;&gt;"",SUM(INDEX(PaymentSchedule33[Interest],1,1):PaymentSchedule33[[#This Row],[Interest]]),"")</f>
        <v>310053.29440804815</v>
      </c>
      <c r="L371" s="25">
        <f ca="1">IF(PaymentSchedule33[[#This Row],[Payment Number]]&lt;&gt;"",SUM(INDEX(PaymentSchedule33[Principal],1,1):PaymentSchedule33[[#This Row],[Principal]]),"")</f>
        <v>328952.32454445172</v>
      </c>
      <c r="M371" s="25">
        <f ca="1">PaymentSchedule3[[#This Row],[Total
Payment]]-PaymentSchedule33[[#This Row],[Total
Payment]]</f>
        <v>427.19889995542212</v>
      </c>
      <c r="N371" s="25">
        <f ca="1">PaymentSchedule3[[#This Row],[Interest]]-PaymentSchedule33[[#This Row],[Interest]]</f>
        <v>16.137996973968548</v>
      </c>
      <c r="O371" s="25">
        <f ca="1">PaymentSchedule3[[#This Row],[Cumulative
Interest]]-PaymentSchedule33[[#This Row],[Cumulative
Interest]]</f>
        <v>153775.37894785299</v>
      </c>
    </row>
    <row r="372" spans="2:15" x14ac:dyDescent="0.25">
      <c r="B372" s="23">
        <f ca="1">IF(LoanIsGood,IF(ROW()-ROW(PaymentSchedule33[[#Headers],[Payment Number]])&gt;ScheduledNumberOfPayments,"",ROW()-ROW(PaymentSchedule33[[#Headers],[Payment Number]])),"")</f>
        <v>359</v>
      </c>
      <c r="C372" s="24">
        <f ca="1">IF(PaymentSchedule33[[#This Row],[Payment Number]]&lt;&gt;"",EOMONTH(LoanStartDate,ROW(PaymentSchedule33[[#This Row],[Payment Number]])-ROW(PaymentSchedule33[[#Headers],[Payment Number]])-2)+DAY(LoanStartDate),"")</f>
        <v>56363</v>
      </c>
      <c r="D372" s="25">
        <f ca="1">IF(PaymentSchedule33[[#This Row],[Payment Number]]&lt;&gt;"",IF(ROW()-ROW(PaymentSchedule33[[#Headers],[Beginning
Balance]])=1,LoanAmount,INDEX(PaymentSchedule33[Ending
Balance],ROW()-ROW(PaymentSchedule33[[#Headers],[Beginning
Balance]])-1)),"")</f>
        <v>3547.6754555480402</v>
      </c>
      <c r="E372" s="25">
        <f ca="1">IF(PaymentSchedule33[[#This Row],[Payment Number]]&lt;&gt;"",ScheduledPayment,"")</f>
        <v>1784.9318965153623</v>
      </c>
      <c r="F372"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72"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1784.9318965153623</v>
      </c>
      <c r="H372" s="25">
        <f ca="1">IF(PaymentSchedule33[[#This Row],[Payment Number]]&lt;&gt;"",PaymentSchedule33[[#This Row],[Total
Payment]]-PaymentSchedule33[[#This Row],[Interest]],"")</f>
        <v>1770.1499154505789</v>
      </c>
      <c r="I372" s="25">
        <f ca="1">IF(PaymentSchedule33[[#This Row],[Payment Number]]&lt;&gt;"",PaymentSchedule33[[#This Row],[Beginning
Balance]]*(InterestRate/PaymentsPerYear),"")</f>
        <v>14.781981064783501</v>
      </c>
      <c r="J372" s="25">
        <f ca="1">IF(PaymentSchedule33[[#This Row],[Payment Number]]&lt;&gt;"",IF(PaymentSchedule33[[#This Row],[Scheduled Payment]]+PaymentSchedule33[[#This Row],[Extra
Payment]]&lt;=PaymentSchedule33[[#This Row],[Beginning
Balance]],PaymentSchedule33[[#This Row],[Beginning
Balance]]-PaymentSchedule33[[#This Row],[Principal]],0),"")</f>
        <v>1777.5255400974613</v>
      </c>
      <c r="K372" s="25">
        <f ca="1">IF(PaymentSchedule33[[#This Row],[Payment Number]]&lt;&gt;"",SUM(INDEX(PaymentSchedule33[Interest],1,1):PaymentSchedule33[[#This Row],[Interest]]),"")</f>
        <v>310068.07638911292</v>
      </c>
      <c r="L372" s="25">
        <f ca="1">IF(PaymentSchedule33[[#This Row],[Payment Number]]&lt;&gt;"",SUM(INDEX(PaymentSchedule33[Principal],1,1):PaymentSchedule33[[#This Row],[Principal]]),"")</f>
        <v>330722.47445990233</v>
      </c>
      <c r="M372" s="25">
        <f ca="1">PaymentSchedule3[[#This Row],[Total
Payment]]-PaymentSchedule33[[#This Row],[Total
Payment]]</f>
        <v>427.19889995542212</v>
      </c>
      <c r="N372" s="25">
        <f ca="1">PaymentSchedule3[[#This Row],[Interest]]-PaymentSchedule33[[#This Row],[Interest]]</f>
        <v>10.802133548152536</v>
      </c>
      <c r="O372" s="25">
        <f ca="1">PaymentSchedule3[[#This Row],[Cumulative
Interest]]-PaymentSchedule33[[#This Row],[Cumulative
Interest]]</f>
        <v>153786.18108140118</v>
      </c>
    </row>
    <row r="373" spans="2:15" x14ac:dyDescent="0.25">
      <c r="B373" s="23">
        <f ca="1">IF(LoanIsGood,IF(ROW()-ROW(PaymentSchedule33[[#Headers],[Payment Number]])&gt;ScheduledNumberOfPayments,"",ROW()-ROW(PaymentSchedule33[[#Headers],[Payment Number]])),"")</f>
        <v>360</v>
      </c>
      <c r="C373" s="24">
        <f ca="1">IF(PaymentSchedule33[[#This Row],[Payment Number]]&lt;&gt;"",EOMONTH(LoanStartDate,ROW(PaymentSchedule33[[#This Row],[Payment Number]])-ROW(PaymentSchedule33[[#Headers],[Payment Number]])-2)+DAY(LoanStartDate),"")</f>
        <v>56393</v>
      </c>
      <c r="D373" s="25">
        <f ca="1">IF(PaymentSchedule33[[#This Row],[Payment Number]]&lt;&gt;"",IF(ROW()-ROW(PaymentSchedule33[[#Headers],[Beginning
Balance]])=1,LoanAmount,INDEX(PaymentSchedule33[Ending
Balance],ROW()-ROW(PaymentSchedule33[[#Headers],[Beginning
Balance]])-1)),"")</f>
        <v>1777.5255400974613</v>
      </c>
      <c r="E373" s="25">
        <f ca="1">IF(PaymentSchedule33[[#This Row],[Payment Number]]&lt;&gt;"",ScheduledPayment,"")</f>
        <v>1784.9318965153623</v>
      </c>
      <c r="F373" s="25">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0</v>
      </c>
      <c r="G373" s="25">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1777.5255400974613</v>
      </c>
      <c r="H373" s="25">
        <f ca="1">IF(PaymentSchedule33[[#This Row],[Payment Number]]&lt;&gt;"",PaymentSchedule33[[#This Row],[Total
Payment]]-PaymentSchedule33[[#This Row],[Interest]],"")</f>
        <v>1770.1191836803885</v>
      </c>
      <c r="I373" s="25">
        <f ca="1">IF(PaymentSchedule33[[#This Row],[Payment Number]]&lt;&gt;"",PaymentSchedule33[[#This Row],[Beginning
Balance]]*(InterestRate/PaymentsPerYear),"")</f>
        <v>7.4063564170727556</v>
      </c>
      <c r="J373" s="25">
        <f ca="1">IF(PaymentSchedule33[[#This Row],[Payment Number]]&lt;&gt;"",IF(PaymentSchedule33[[#This Row],[Scheduled Payment]]+PaymentSchedule33[[#This Row],[Extra
Payment]]&lt;=PaymentSchedule33[[#This Row],[Beginning
Balance]],PaymentSchedule33[[#This Row],[Beginning
Balance]]-PaymentSchedule33[[#This Row],[Principal]],0),"")</f>
        <v>0</v>
      </c>
      <c r="K373" s="25">
        <f ca="1">IF(PaymentSchedule33[[#This Row],[Payment Number]]&lt;&gt;"",SUM(INDEX(PaymentSchedule33[Interest],1,1):PaymentSchedule33[[#This Row],[Interest]]),"")</f>
        <v>310075.48274552997</v>
      </c>
      <c r="L373" s="25">
        <f ca="1">IF(PaymentSchedule33[[#This Row],[Payment Number]]&lt;&gt;"",SUM(INDEX(PaymentSchedule33[Principal],1,1):PaymentSchedule33[[#This Row],[Principal]]),"")</f>
        <v>332492.59364358272</v>
      </c>
      <c r="M373" s="25">
        <f ca="1">PaymentSchedule3[[#This Row],[Total
Payment]]-PaymentSchedule33[[#This Row],[Total
Payment]]</f>
        <v>421.77599740515348</v>
      </c>
      <c r="N373" s="25">
        <f ca="1">PaymentSchedule3[[#This Row],[Interest]]-PaymentSchedule33[[#This Row],[Interest]]</f>
        <v>5.4229025516924985</v>
      </c>
      <c r="O373" s="25">
        <f ca="1">PaymentSchedule3[[#This Row],[Cumulative
Interest]]-PaymentSchedule33[[#This Row],[Cumulative
Interest]]</f>
        <v>153791.6039839529</v>
      </c>
    </row>
    <row r="374" spans="2:15" x14ac:dyDescent="0.25">
      <c r="B374" s="23" t="str">
        <f ca="1">IF(LoanIsGood,IF(ROW()-ROW(PaymentSchedule33[[#Headers],[Payment Number]])&gt;ScheduledNumberOfPayments,"",ROW()-ROW(PaymentSchedule33[[#Headers],[Payment Number]])),"")</f>
        <v/>
      </c>
      <c r="C374" s="24" t="str">
        <f ca="1">IF(PaymentSchedule33[[#This Row],[Payment Number]]&lt;&gt;"",EOMONTH(LoanStartDate,ROW(PaymentSchedule33[[#This Row],[Payment Number]])-ROW(PaymentSchedule33[[#Headers],[Payment Number]])-2)+DAY(LoanStartDate),"")</f>
        <v/>
      </c>
      <c r="D374" s="25" t="str">
        <f ca="1">IF(PaymentSchedule33[[#This Row],[Payment Number]]&lt;&gt;"",IF(ROW()-ROW(PaymentSchedule33[[#Headers],[Beginning
Balance]])=1,LoanAmount,INDEX(PaymentSchedule33[Ending
Balance],ROW()-ROW(PaymentSchedule33[[#Headers],[Beginning
Balance]])-1)),"")</f>
        <v/>
      </c>
      <c r="E374" s="25" t="str">
        <f ca="1">IF(PaymentSchedule33[[#This Row],[Payment Number]]&lt;&gt;"",ScheduledPayment,"")</f>
        <v/>
      </c>
      <c r="F374" s="25" t="str">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
      </c>
      <c r="G374" s="25" t="str">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
      </c>
      <c r="H374" s="25" t="str">
        <f ca="1">IF(PaymentSchedule33[[#This Row],[Payment Number]]&lt;&gt;"",PaymentSchedule33[[#This Row],[Total
Payment]]-PaymentSchedule33[[#This Row],[Interest]],"")</f>
        <v/>
      </c>
      <c r="I374" s="25" t="str">
        <f ca="1">IF(PaymentSchedule33[[#This Row],[Payment Number]]&lt;&gt;"",PaymentSchedule33[[#This Row],[Beginning
Balance]]*(InterestRate/PaymentsPerYear),"")</f>
        <v/>
      </c>
      <c r="J374" s="25" t="str">
        <f ca="1">IF(PaymentSchedule33[[#This Row],[Payment Number]]&lt;&gt;"",IF(PaymentSchedule33[[#This Row],[Scheduled Payment]]+PaymentSchedule33[[#This Row],[Extra
Payment]]&lt;=PaymentSchedule33[[#This Row],[Beginning
Balance]],PaymentSchedule33[[#This Row],[Beginning
Balance]]-PaymentSchedule33[[#This Row],[Principal]],0),"")</f>
        <v/>
      </c>
      <c r="K374" s="25" t="str">
        <f ca="1">IF(PaymentSchedule33[[#This Row],[Payment Number]]&lt;&gt;"",SUM(INDEX(PaymentSchedule33[Interest],1,1):PaymentSchedule33[[#This Row],[Interest]]),"")</f>
        <v/>
      </c>
      <c r="L374" s="25" t="str">
        <f ca="1">IF(PaymentSchedule33[[#This Row],[Payment Number]]&lt;&gt;"",SUM(INDEX(PaymentSchedule33[Principal],1,1):PaymentSchedule33[[#This Row],[Principal]]),"")</f>
        <v/>
      </c>
      <c r="M374" s="25" t="e">
        <f ca="1">PaymentSchedule3[[#This Row],[Total
Payment]]-PaymentSchedule33[[#This Row],[Total
Payment]]</f>
        <v>#VALUE!</v>
      </c>
      <c r="N374" s="25" t="e">
        <f ca="1">PaymentSchedule3[[#This Row],[Interest]]-PaymentSchedule33[[#This Row],[Interest]]</f>
        <v>#VALUE!</v>
      </c>
      <c r="O374" s="25" t="e">
        <f ca="1">PaymentSchedule3[[#This Row],[Cumulative
Interest]]-PaymentSchedule33[[#This Row],[Cumulative
Interest]]</f>
        <v>#VALUE!</v>
      </c>
    </row>
    <row r="375" spans="2:15" x14ac:dyDescent="0.25">
      <c r="B375" s="23" t="str">
        <f ca="1">IF(LoanIsGood,IF(ROW()-ROW(PaymentSchedule33[[#Headers],[Payment Number]])&gt;ScheduledNumberOfPayments,"",ROW()-ROW(PaymentSchedule33[[#Headers],[Payment Number]])),"")</f>
        <v/>
      </c>
      <c r="C375" s="24" t="str">
        <f ca="1">IF(PaymentSchedule33[[#This Row],[Payment Number]]&lt;&gt;"",EOMONTH(LoanStartDate,ROW(PaymentSchedule33[[#This Row],[Payment Number]])-ROW(PaymentSchedule33[[#Headers],[Payment Number]])-2)+DAY(LoanStartDate),"")</f>
        <v/>
      </c>
      <c r="D375" s="25" t="str">
        <f ca="1">IF(PaymentSchedule33[[#This Row],[Payment Number]]&lt;&gt;"",IF(ROW()-ROW(PaymentSchedule33[[#Headers],[Beginning
Balance]])=1,LoanAmount,INDEX(PaymentSchedule33[Ending
Balance],ROW()-ROW(PaymentSchedule33[[#Headers],[Beginning
Balance]])-1)),"")</f>
        <v/>
      </c>
      <c r="E375" s="25" t="str">
        <f ca="1">IF(PaymentSchedule33[[#This Row],[Payment Number]]&lt;&gt;"",ScheduledPayment,"")</f>
        <v/>
      </c>
      <c r="F375" s="25" t="str">
        <f ca="1">IF(PaymentSchedule33[[#This Row],[Payment Number]]&lt;&gt;"",IF(PaymentSchedule33[[#This Row],[Scheduled Payment]]+ExtraPayments&lt;PaymentSchedule33[[#This Row],[Beginning
Balance]],ExtraPayments,IF(PaymentSchedule33[[#This Row],[Beginning
Balance]]-PaymentSchedule33[[#This Row],[Scheduled Payment]]&gt;0,PaymentSchedule33[[#This Row],[Beginning
Balance]]-PaymentSchedule33[[#This Row],[Scheduled Payment]],0)),"")</f>
        <v/>
      </c>
      <c r="G375" s="25" t="str">
        <f ca="1">IF(PaymentSchedule33[[#This Row],[Payment Number]]&lt;&gt;"",IF(PaymentSchedule33[[#This Row],[Scheduled Payment]]+PaymentSchedule33[[#This Row],[Extra
Payment]]&lt;=PaymentSchedule33[[#This Row],[Beginning
Balance]],PaymentSchedule33[[#This Row],[Scheduled Payment]]+PaymentSchedule33[[#This Row],[Extra
Payment]],PaymentSchedule33[[#This Row],[Beginning
Balance]]),"")</f>
        <v/>
      </c>
      <c r="H375" s="25" t="str">
        <f ca="1">IF(PaymentSchedule33[[#This Row],[Payment Number]]&lt;&gt;"",PaymentSchedule33[[#This Row],[Total
Payment]]-PaymentSchedule33[[#This Row],[Interest]],"")</f>
        <v/>
      </c>
      <c r="I375" s="25" t="str">
        <f ca="1">IF(PaymentSchedule33[[#This Row],[Payment Number]]&lt;&gt;"",PaymentSchedule33[[#This Row],[Beginning
Balance]]*(InterestRate/PaymentsPerYear),"")</f>
        <v/>
      </c>
      <c r="J375" s="25" t="str">
        <f ca="1">IF(PaymentSchedule33[[#This Row],[Payment Number]]&lt;&gt;"",IF(PaymentSchedule33[[#This Row],[Scheduled Payment]]+PaymentSchedule33[[#This Row],[Extra
Payment]]&lt;=PaymentSchedule33[[#This Row],[Beginning
Balance]],PaymentSchedule33[[#This Row],[Beginning
Balance]]-PaymentSchedule33[[#This Row],[Principal]],0),"")</f>
        <v/>
      </c>
      <c r="K375" s="25" t="str">
        <f ca="1">IF(PaymentSchedule33[[#This Row],[Payment Number]]&lt;&gt;"",SUM(INDEX(PaymentSchedule33[Interest],1,1):PaymentSchedule33[[#This Row],[Interest]]),"")</f>
        <v/>
      </c>
      <c r="L375" s="25" t="str">
        <f ca="1">IF(PaymentSchedule33[[#This Row],[Payment Number]]&lt;&gt;"",SUM(INDEX(PaymentSchedule33[Principal],1,1):PaymentSchedule33[[#This Row],[Principal]]),"")</f>
        <v/>
      </c>
      <c r="M375" s="25" t="e">
        <f ca="1">PaymentSchedule3[[#This Row],[Total
Payment]]-PaymentSchedule33[[#This Row],[Total
Payment]]</f>
        <v>#VALUE!</v>
      </c>
      <c r="N375" s="25" t="e">
        <f ca="1">PaymentSchedule3[[#This Row],[Interest]]-PaymentSchedule33[[#This Row],[Interest]]</f>
        <v>#VALUE!</v>
      </c>
      <c r="O375" s="25" t="e">
        <f ca="1">PaymentSchedule3[[#This Row],[Cumulative
Interest]]-PaymentSchedule33[[#This Row],[Cumulative
Interest]]</f>
        <v>#VALUE!</v>
      </c>
    </row>
  </sheetData>
  <sheetProtection algorithmName="SHA-512" hashValue="Ezkl6AqUnmMoqUfB4iF7gJX8srCfZ9Txum+F3TQyHZQPKZwBj2mtYYQFAYMHr5XStd+tToy5/inbzDpWTogsyQ==" saltValue="2xQv90qzEnqWSywRc2c3jg==" spinCount="100000" sheet="1" objects="1" scenarios="1"/>
  <mergeCells count="20">
    <mergeCell ref="C2:K2"/>
    <mergeCell ref="B5:D5"/>
    <mergeCell ref="G5:H5"/>
    <mergeCell ref="I5:K5"/>
    <mergeCell ref="B6:D6"/>
    <mergeCell ref="G6:H6"/>
    <mergeCell ref="I6:K6"/>
    <mergeCell ref="B7:D7"/>
    <mergeCell ref="G7:H7"/>
    <mergeCell ref="I7:K7"/>
    <mergeCell ref="B8:D8"/>
    <mergeCell ref="G8:H8"/>
    <mergeCell ref="I8:K8"/>
    <mergeCell ref="B9:C9"/>
    <mergeCell ref="G9:H9"/>
    <mergeCell ref="I9:K9"/>
    <mergeCell ref="I10:K10"/>
    <mergeCell ref="B11:D11"/>
    <mergeCell ref="G11:H11"/>
    <mergeCell ref="I11:K11"/>
  </mergeCells>
  <conditionalFormatting sqref="B14:L375">
    <cfRule type="expression" dxfId="16" priority="1">
      <formula>($B14="")+(($D14=0)*($F14=0))</formula>
    </cfRule>
  </conditionalFormatting>
  <dataValidations count="25">
    <dataValidation allowBlank="1" showInputMessage="1" showErrorMessage="1" prompt="Cumulative interest is automatically updated in this column" sqref="K13:L13" xr:uid="{82A0B870-AD0F-4CC4-B81F-30D75766EF67}"/>
    <dataValidation allowBlank="1" showInputMessage="1" showErrorMessage="1" prompt="Ending balance is automatically updated in this column" sqref="J13" xr:uid="{96C7401B-816D-4B9B-8FD9-0B5024CA8480}"/>
    <dataValidation allowBlank="1" showInputMessage="1" showErrorMessage="1" prompt="Interest is automatically updated in this column" sqref="I13" xr:uid="{4C5FF1A0-E815-425F-8E42-B4A924DE48D5}"/>
    <dataValidation allowBlank="1" showInputMessage="1" showErrorMessage="1" prompt="Principal is automatically updated in this column" sqref="H13" xr:uid="{87A0AED8-591D-47CE-AD71-818215073FC7}"/>
    <dataValidation allowBlank="1" showInputMessage="1" showErrorMessage="1" prompt="Total payment is automatically updated in this column" sqref="G13" xr:uid="{A0C1B832-2ABB-4FDD-9435-BBDE31F9F223}"/>
    <dataValidation allowBlank="1" showInputMessage="1" showErrorMessage="1" prompt="Extra payment is automatically updated in this column" sqref="F13" xr:uid="{C481D5D1-F012-4FD3-AB2A-603DF3801D1C}"/>
    <dataValidation allowBlank="1" showInputMessage="1" showErrorMessage="1" prompt="Scheduled payment is automatically updated in this column" sqref="E13" xr:uid="{13493ECC-0162-4690-B92B-883876A78021}"/>
    <dataValidation allowBlank="1" showInputMessage="1" showErrorMessage="1" prompt="Beginning balance is automatically updated in this column" sqref="D13" xr:uid="{70D52EEC-A2EC-441E-92F1-86E1F43F0585}"/>
    <dataValidation allowBlank="1" showInputMessage="1" showErrorMessage="1" prompt="Payment date is automatically updated in this column" sqref="C13" xr:uid="{DC2609EB-E859-4124-B150-0C688AFABE9E}"/>
    <dataValidation allowBlank="1" showInputMessage="1" showErrorMessage="1" prompt="Payment number is automatically updated in this column" sqref="B13" xr:uid="{DFA8B931-5D4C-4389-A19C-8D290952E037}"/>
    <dataValidation allowBlank="1" showInputMessage="1" showErrorMessage="1" prompt="Automatically updated total early payments" sqref="I8" xr:uid="{CB327991-19C0-458E-8741-F66E111754AA}"/>
    <dataValidation allowBlank="1" showInputMessage="1" showErrorMessage="1" prompt="Automatically updated actual number of payments" sqref="I7" xr:uid="{C0BD6EB1-71F6-4E87-9D01-3ACC36D01912}"/>
    <dataValidation allowBlank="1" showInputMessage="1" showErrorMessage="1" prompt="Automatically updated scheduled number of payments" sqref="I6" xr:uid="{F5E1BDAD-4B02-4D95-AF98-6B4C3D570B13}"/>
    <dataValidation allowBlank="1" showInputMessage="1" showErrorMessage="1" prompt="Automatically updated scheduled payment amount" sqref="I5" xr:uid="{4674B435-10B7-4444-B728-99088405C41F}"/>
    <dataValidation allowBlank="1" showInputMessage="1" showErrorMessage="1" prompt="Automatically calculated total interest" sqref="I9" xr:uid="{21350FD7-3BD8-459F-AB85-FEC67EF69AD7}"/>
    <dataValidation allowBlank="1" showInputMessage="1" showErrorMessage="1" prompt="Enter the amount of extra payment in this cell" sqref="E11" xr:uid="{945D092D-EA59-4E0F-8678-4F926BC9AFF5}"/>
    <dataValidation allowBlank="1" showInputMessage="1" showErrorMessage="1" prompt="Enter the start date of loan in this cell" sqref="E9" xr:uid="{4A8A2872-8959-460B-9F2B-59ABBD20558D}"/>
    <dataValidation allowBlank="1" showInputMessage="1" showErrorMessage="1" prompt="Enter the number of payments to be made in a year in this cell" sqref="E8" xr:uid="{769B283E-9CD8-44B0-83EA-4ACBAE3A94DB}"/>
    <dataValidation allowBlank="1" showInputMessage="1" showErrorMessage="1" prompt="Enter loan period in years in this cell" sqref="E7" xr:uid="{C6666D01-8727-47FC-A35A-CFFCAC8AF9DE}"/>
    <dataValidation allowBlank="1" showInputMessage="1" showErrorMessage="1" prompt="Enter interest rate to be paid annually in this cell" sqref="E6" xr:uid="{2ADF309B-5AFE-4FCE-B45B-D1D052E40FE1}"/>
    <dataValidation allowBlank="1" showInputMessage="1" showErrorMessage="1" prompt="Enter Loan Amount in this cell" sqref="E5" xr:uid="{8D2B8E9C-9DD7-4794-BBED-5FD5BF94022F}"/>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L2" xr:uid="{FE4C9DE1-85F9-4099-A759-3AA0110CE430}"/>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35B851C4-423C-4F8A-BBFF-3C30A9E8903A}"/>
    <dataValidation allowBlank="1" showInputMessage="1" showErrorMessage="1" prompt="Enter loan values in cells E5 to E9, and the extra payment in cell E11. Description of each loan value is in column E. Payment Schedule table starting in cell G4 will automatically update." sqref="B4" xr:uid="{B02B684A-D3B8-45C8-BB42-A1FC6CA0F815}"/>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CB34E161-19EC-4668-A82C-FCDAF8338660}"/>
  </dataValidations>
  <printOptions horizontalCentered="1"/>
  <pageMargins left="0.4" right="0.4" top="0.4" bottom="0.5" header="0.3" footer="0.3"/>
  <pageSetup scale="79"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0646-EB77-4178-9D32-C5F28AC60D82}">
  <dimension ref="B3:N22"/>
  <sheetViews>
    <sheetView workbookViewId="0">
      <selection activeCell="E6" sqref="E6"/>
    </sheetView>
  </sheetViews>
  <sheetFormatPr defaultRowHeight="15" x14ac:dyDescent="0.25"/>
  <sheetData>
    <row r="3" spans="2:14" x14ac:dyDescent="0.25">
      <c r="B3" t="s">
        <v>48</v>
      </c>
      <c r="M3" t="s">
        <v>60</v>
      </c>
    </row>
    <row r="4" spans="2:14" x14ac:dyDescent="0.25">
      <c r="B4" t="s">
        <v>49</v>
      </c>
      <c r="M4" s="45" t="s">
        <v>61</v>
      </c>
    </row>
    <row r="6" spans="2:14" x14ac:dyDescent="0.25">
      <c r="B6" t="s">
        <v>50</v>
      </c>
      <c r="M6" t="s">
        <v>62</v>
      </c>
    </row>
    <row r="7" spans="2:14" x14ac:dyDescent="0.25">
      <c r="B7" t="s">
        <v>51</v>
      </c>
      <c r="M7" s="45" t="s">
        <v>63</v>
      </c>
    </row>
    <row r="8" spans="2:14" x14ac:dyDescent="0.25">
      <c r="B8" t="s">
        <v>52</v>
      </c>
    </row>
    <row r="9" spans="2:14" x14ac:dyDescent="0.25">
      <c r="M9" t="s">
        <v>66</v>
      </c>
    </row>
    <row r="10" spans="2:14" x14ac:dyDescent="0.25">
      <c r="B10" t="s">
        <v>53</v>
      </c>
      <c r="M10" s="45" t="s">
        <v>67</v>
      </c>
    </row>
    <row r="11" spans="2:14" x14ac:dyDescent="0.25">
      <c r="B11" t="s">
        <v>54</v>
      </c>
    </row>
    <row r="12" spans="2:14" x14ac:dyDescent="0.25">
      <c r="B12" t="s">
        <v>55</v>
      </c>
      <c r="M12" t="s">
        <v>64</v>
      </c>
    </row>
    <row r="13" spans="2:14" x14ac:dyDescent="0.25">
      <c r="B13" t="s">
        <v>56</v>
      </c>
      <c r="M13" s="45" t="s">
        <v>65</v>
      </c>
    </row>
    <row r="14" spans="2:14" x14ac:dyDescent="0.25">
      <c r="B14" t="s">
        <v>57</v>
      </c>
      <c r="M14" s="45" t="s">
        <v>68</v>
      </c>
    </row>
    <row r="15" spans="2:14" x14ac:dyDescent="0.25">
      <c r="B15" t="s">
        <v>58</v>
      </c>
      <c r="N15" s="45" t="s">
        <v>69</v>
      </c>
    </row>
    <row r="16" spans="2:14" x14ac:dyDescent="0.25">
      <c r="B16" t="s">
        <v>59</v>
      </c>
      <c r="N16" s="45" t="s">
        <v>70</v>
      </c>
    </row>
    <row r="18" spans="13:13" x14ac:dyDescent="0.25">
      <c r="M18" t="s">
        <v>72</v>
      </c>
    </row>
    <row r="19" spans="13:13" x14ac:dyDescent="0.25">
      <c r="M19" s="45" t="s">
        <v>71</v>
      </c>
    </row>
    <row r="20" spans="13:13" x14ac:dyDescent="0.25">
      <c r="M20" s="45" t="s">
        <v>73</v>
      </c>
    </row>
    <row r="21" spans="13:13" x14ac:dyDescent="0.25">
      <c r="M21" s="45" t="s">
        <v>74</v>
      </c>
    </row>
    <row r="22" spans="13:13" x14ac:dyDescent="0.25">
      <c r="M22" s="45" t="s">
        <v>121</v>
      </c>
    </row>
  </sheetData>
  <sheetProtection algorithmName="SHA-512" hashValue="RVv8mc833DMnAvy8ctwjwKS5Wg0vDqFgtL6dJzMfr4F3bnJc2aD0RlgNz95o2DLYvoTMVTwmoNSHeV8BAoAJWQ==" saltValue="wsZ4o78rwY0dlx4vfwnT1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43</vt:i4>
      </vt:variant>
    </vt:vector>
  </HeadingPairs>
  <TitlesOfParts>
    <vt:vector size="49" baseType="lpstr">
      <vt:lpstr>Dashboard</vt:lpstr>
      <vt:lpstr>Equity Calculator</vt:lpstr>
      <vt:lpstr>Data</vt:lpstr>
      <vt:lpstr>Loan Schedule High</vt:lpstr>
      <vt:lpstr>Loan Schedule Low</vt:lpstr>
      <vt:lpstr>Notes</vt:lpstr>
      <vt:lpstr>AppRate</vt:lpstr>
      <vt:lpstr>'Loan Schedule High'!ColumnTitle1</vt:lpstr>
      <vt:lpstr>'Loan Schedule Low'!ColumnTitle1</vt:lpstr>
      <vt:lpstr>CurrentYearlyRent</vt:lpstr>
      <vt:lpstr>DownPercent</vt:lpstr>
      <vt:lpstr>'Loan Schedule High'!End_Bal</vt:lpstr>
      <vt:lpstr>'Loan Schedule Low'!End_Bal</vt:lpstr>
      <vt:lpstr>'Loan Schedule High'!ExtraPayments</vt:lpstr>
      <vt:lpstr>'Loan Schedule Low'!ExtraPayments</vt:lpstr>
      <vt:lpstr>HiLoanAmount</vt:lpstr>
      <vt:lpstr>HiMtgRate</vt:lpstr>
      <vt:lpstr>InitLoanAmt</vt:lpstr>
      <vt:lpstr>InitLoanTerm</vt:lpstr>
      <vt:lpstr>'Loan Schedule High'!InterestRate</vt:lpstr>
      <vt:lpstr>'Loan Schedule Low'!InterestRate</vt:lpstr>
      <vt:lpstr>'Loan Schedule High'!LenderName</vt:lpstr>
      <vt:lpstr>'Loan Schedule Low'!LenderName</vt:lpstr>
      <vt:lpstr>'Loan Schedule High'!LoanAmount</vt:lpstr>
      <vt:lpstr>'Loan Schedule Low'!LoanAmount</vt:lpstr>
      <vt:lpstr>'Loan Schedule High'!LoanPeriod</vt:lpstr>
      <vt:lpstr>'Loan Schedule Low'!LoanPeriod</vt:lpstr>
      <vt:lpstr>'Loan Schedule High'!LoanStartDate</vt:lpstr>
      <vt:lpstr>'Loan Schedule Low'!LoanStartDate</vt:lpstr>
      <vt:lpstr>LoMtgRate</vt:lpstr>
      <vt:lpstr>MtgRate</vt:lpstr>
      <vt:lpstr>'Loan Schedule High'!PaymentsPerYear</vt:lpstr>
      <vt:lpstr>'Loan Schedule Low'!PaymentsPerYear</vt:lpstr>
      <vt:lpstr>'Loan Schedule High'!Print_Titles</vt:lpstr>
      <vt:lpstr>'Loan Schedule Low'!Print_Titles</vt:lpstr>
      <vt:lpstr>PurchasePrice</vt:lpstr>
      <vt:lpstr>RentIncrease</vt:lpstr>
      <vt:lpstr>'Loan Schedule High'!RowTitleRegion1..E9</vt:lpstr>
      <vt:lpstr>'Loan Schedule Low'!RowTitleRegion1..E9</vt:lpstr>
      <vt:lpstr>'Loan Schedule High'!RowTitleRegion2..I7</vt:lpstr>
      <vt:lpstr>'Loan Schedule Low'!RowTitleRegion2..I7</vt:lpstr>
      <vt:lpstr>'Loan Schedule High'!RowTitleRegion3..E9</vt:lpstr>
      <vt:lpstr>'Loan Schedule Low'!RowTitleRegion3..E9</vt:lpstr>
      <vt:lpstr>'Loan Schedule High'!RowTitleRegion4..H9</vt:lpstr>
      <vt:lpstr>'Loan Schedule Low'!RowTitleRegion4..H9</vt:lpstr>
      <vt:lpstr>'Loan Schedule High'!ScheduledNumberOfPayments</vt:lpstr>
      <vt:lpstr>'Loan Schedule Low'!ScheduledNumberOfPayments</vt:lpstr>
      <vt:lpstr>'Loan Schedule High'!ScheduledPayment</vt:lpstr>
      <vt:lpstr>'Loan Schedule Low'!ScheduledPayment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Mullen</dc:creator>
  <cp:lastModifiedBy>Dan Mullen</cp:lastModifiedBy>
  <dcterms:created xsi:type="dcterms:W3CDTF">2023-06-16T12:21:54Z</dcterms:created>
  <dcterms:modified xsi:type="dcterms:W3CDTF">2024-06-25T04:16:01Z</dcterms:modified>
</cp:coreProperties>
</file>