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d.docs.live.net/d6948eb64de24e66/Documents/Dan's Spreadsheets/Equity Calculator/"/>
    </mc:Choice>
  </mc:AlternateContent>
  <xr:revisionPtr revIDLastSave="0" documentId="8_{B907C3B4-7841-45A7-A46F-3FCF98713D73}" xr6:coauthVersionLast="47" xr6:coauthVersionMax="47" xr10:uidLastSave="{00000000-0000-0000-0000-000000000000}"/>
  <bookViews>
    <workbookView xWindow="-108" yWindow="-108" windowWidth="23256" windowHeight="12456" xr2:uid="{B80606BD-272A-40BF-9F31-2BA8FFB55493}"/>
  </bookViews>
  <sheets>
    <sheet name="Dashboard" sheetId="1" r:id="rId1"/>
    <sheet name="Data" sheetId="2" r:id="rId2"/>
    <sheet name="Loan Schedule" sheetId="3" r:id="rId3"/>
  </sheets>
  <externalReferences>
    <externalReference r:id="rId4"/>
  </externalReferences>
  <definedNames>
    <definedName name="ActualNumberOfPayments" localSheetId="2">IFERROR(IF([1]!LoanIsGood,IF([1]!PaymentsPerYear=1,1,MATCH(0.01,'Loan Schedule'!End_Bal,-1)+1)),"")</definedName>
    <definedName name="ActualNumberOfPayments">IFERROR(IF(LoanIsGood,IF(PaymentsPerYear=1,1,MATCH(0.01,End_Bal,-1)+1)),"")</definedName>
    <definedName name="AppreciationRate">Dashboard!$D$8</definedName>
    <definedName name="ColumnTitle1" localSheetId="2">PaymentSchedule3[[#Headers],[Payment Number]]</definedName>
    <definedName name="ColumnTitle1">#REF!</definedName>
    <definedName name="DownPaymentDollars">Dashboard!$D$4</definedName>
    <definedName name="DownPercent">Dashboard!$D$3</definedName>
    <definedName name="End_Bal" localSheetId="2">PaymentSchedule3[Ending
Balance]</definedName>
    <definedName name="End_Bal">#REF!</definedName>
    <definedName name="ExtraPayments" localSheetId="2">'Loan Schedule'!$E$11</definedName>
    <definedName name="ExtraPayments">#REF!</definedName>
    <definedName name="InitLoanAmt">Dashboard!$D$5</definedName>
    <definedName name="InterestRate" localSheetId="2">'Loan Schedule'!$E$6</definedName>
    <definedName name="InterestRate">#REF!</definedName>
    <definedName name="LastCol" localSheetId="2">MATCH(REPT("z",255),'Loan Schedule'!$13:$13)</definedName>
    <definedName name="LastCol">MATCH(REPT("z",255),#REF!)</definedName>
    <definedName name="LastRow" localSheetId="2">MATCH(9.99E+307,'Loan Schedule'!$B:$B)</definedName>
    <definedName name="LastRow">MATCH(9.99E+307,#REF!)</definedName>
    <definedName name="LenderName" localSheetId="2">'Loan Schedule'!$H$11:$I$11</definedName>
    <definedName name="LenderName">#REF!</definedName>
    <definedName name="LoanAmount" localSheetId="2">'Loan Schedule'!$E$5</definedName>
    <definedName name="LoanAmount">#REF!</definedName>
    <definedName name="LoanIsGood" localSheetId="2">('Loan Schedule'!$E$5*'Loan Schedule'!$E$6*'Loan Schedule'!$E$7*'Loan Schedule'!$E$9)&gt;0</definedName>
    <definedName name="LoanIsGood">(#REF!*#REF!*#REF!*#REF!)&gt;0</definedName>
    <definedName name="LoanPeriod" localSheetId="2">'Loan Schedule'!$E$7</definedName>
    <definedName name="LoanPeriod">#REF!</definedName>
    <definedName name="LoanStartDate" localSheetId="2">'Loan Schedule'!$E$9</definedName>
    <definedName name="LoanStartDate">#REF!</definedName>
    <definedName name="LoanTerm">Dashboard!$D$6</definedName>
    <definedName name="NoteRate">Dashboard!$D$7</definedName>
    <definedName name="PaymentsPerYear" localSheetId="2">'Loan Schedule'!$E$8</definedName>
    <definedName name="PaymentsPerYear">#REF!</definedName>
    <definedName name="_xlnm.Print_Titles" localSheetId="2">'Loan Schedule'!$13:$13</definedName>
    <definedName name="PrintArea_SET" localSheetId="2">OFFSET('Loan Schedule'!#REF!,,,'Loan Schedule'!LastRow,'Loan Schedule'!LastCol)</definedName>
    <definedName name="PrintArea_SET">OFFSET(#REF!,,,LastRow,LastCol)</definedName>
    <definedName name="RowTitleRegion1..E9" localSheetId="2">'Loan Schedule'!$B$5:$D$5</definedName>
    <definedName name="RowTitleRegion1..E9">#REF!</definedName>
    <definedName name="RowTitleRegion2..I7" localSheetId="2">'Loan Schedule'!$G$5:$H$5</definedName>
    <definedName name="RowTitleRegion2..I7">#REF!</definedName>
    <definedName name="RowTitleRegion3..E9" localSheetId="2">'Loan Schedule'!$B$11</definedName>
    <definedName name="RowTitleRegion3..E9">#REF!</definedName>
    <definedName name="RowTitleRegion4..H9" localSheetId="2">'Loan Schedule'!$G$11</definedName>
    <definedName name="RowTitleRegion4..H9">#REF!</definedName>
    <definedName name="SalePrice">Dashboard!$D$2</definedName>
    <definedName name="ScheduledNumberOfPayments" localSheetId="2">'Loan Schedule'!$I$6</definedName>
    <definedName name="ScheduledNumberOfPayments">#REF!</definedName>
    <definedName name="ScheduledPayment" localSheetId="2">'Loan Schedule'!$I$5</definedName>
    <definedName name="ScheduledPayment">#REF!</definedName>
    <definedName name="TotalEarlyPayments" localSheetId="2">SUM(PaymentSchedule3[Extra
Payment])</definedName>
    <definedName name="TotalEarlyPayments">SUM(#REF!)</definedName>
    <definedName name="TotalInterest" localSheetId="2">SUM(PaymentSchedule3[Interest])</definedName>
    <definedName name="TotalInter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D3" i="2"/>
  <c r="D4" i="2" s="1"/>
  <c r="E7" i="3"/>
  <c r="E6" i="3"/>
  <c r="D4" i="1"/>
  <c r="D5" i="1" s="1"/>
  <c r="E3" i="2" s="1"/>
  <c r="E9" i="3"/>
  <c r="E5" i="3" l="1"/>
  <c r="I6" i="3" s="1"/>
  <c r="B373" i="3" s="1"/>
  <c r="F3" i="2"/>
  <c r="D5" i="2"/>
  <c r="D6" i="2" l="1"/>
  <c r="B369" i="3"/>
  <c r="C369" i="3" s="1"/>
  <c r="B364" i="3"/>
  <c r="C364" i="3" s="1"/>
  <c r="B372" i="3"/>
  <c r="C372" i="3" s="1"/>
  <c r="B368" i="3"/>
  <c r="C368" i="3" s="1"/>
  <c r="C373" i="3"/>
  <c r="B294" i="3"/>
  <c r="C294" i="3" s="1"/>
  <c r="B365" i="3"/>
  <c r="I5" i="3"/>
  <c r="E373" i="3" s="1"/>
  <c r="B362" i="3"/>
  <c r="B363" i="3"/>
  <c r="B374" i="3"/>
  <c r="B375" i="3"/>
  <c r="B366" i="3"/>
  <c r="B367" i="3"/>
  <c r="B370" i="3"/>
  <c r="B371" i="3"/>
  <c r="B361" i="3"/>
  <c r="B150" i="3"/>
  <c r="C150" i="3" s="1"/>
  <c r="B278" i="3"/>
  <c r="B242" i="3"/>
  <c r="C242" i="3" s="1"/>
  <c r="B334" i="3"/>
  <c r="B290" i="3"/>
  <c r="C290" i="3" s="1"/>
  <c r="B206" i="3"/>
  <c r="C206" i="3" s="1"/>
  <c r="B298" i="3"/>
  <c r="C298" i="3" s="1"/>
  <c r="B338" i="3"/>
  <c r="B262" i="3"/>
  <c r="B250" i="3"/>
  <c r="B271" i="3"/>
  <c r="B143" i="3"/>
  <c r="B342" i="3"/>
  <c r="B270" i="3"/>
  <c r="B230" i="3"/>
  <c r="B222" i="3"/>
  <c r="B327" i="3"/>
  <c r="B199" i="3"/>
  <c r="B71" i="3"/>
  <c r="B38" i="3"/>
  <c r="B245" i="3"/>
  <c r="B117" i="3"/>
  <c r="B324" i="3"/>
  <c r="B196" i="3"/>
  <c r="B275" i="3"/>
  <c r="B310" i="3"/>
  <c r="B274" i="3"/>
  <c r="B238" i="3"/>
  <c r="B202" i="3"/>
  <c r="B198" i="3"/>
  <c r="B194" i="3"/>
  <c r="B190" i="3"/>
  <c r="B186" i="3"/>
  <c r="B319" i="3"/>
  <c r="B255" i="3"/>
  <c r="B191" i="3"/>
  <c r="B127" i="3"/>
  <c r="B63" i="3"/>
  <c r="B94" i="3"/>
  <c r="B30" i="3"/>
  <c r="B301" i="3"/>
  <c r="B237" i="3"/>
  <c r="B173" i="3"/>
  <c r="B109" i="3"/>
  <c r="B45" i="3"/>
  <c r="B316" i="3"/>
  <c r="B252" i="3"/>
  <c r="B188" i="3"/>
  <c r="B124" i="3"/>
  <c r="B60" i="3"/>
  <c r="B331" i="3"/>
  <c r="B267" i="3"/>
  <c r="B203" i="3"/>
  <c r="B139" i="3"/>
  <c r="B75" i="3"/>
  <c r="B106" i="3"/>
  <c r="B42" i="3"/>
  <c r="B313" i="3"/>
  <c r="B249" i="3"/>
  <c r="B185" i="3"/>
  <c r="B121" i="3"/>
  <c r="B57" i="3"/>
  <c r="B336" i="3"/>
  <c r="B272" i="3"/>
  <c r="B208" i="3"/>
  <c r="B144" i="3"/>
  <c r="B80" i="3"/>
  <c r="B158" i="3"/>
  <c r="B154" i="3"/>
  <c r="B311" i="3"/>
  <c r="B247" i="3"/>
  <c r="B183" i="3"/>
  <c r="B119" i="3"/>
  <c r="B55" i="3"/>
  <c r="B86" i="3"/>
  <c r="B357" i="3"/>
  <c r="B293" i="3"/>
  <c r="B229" i="3"/>
  <c r="B165" i="3"/>
  <c r="B101" i="3"/>
  <c r="B37" i="3"/>
  <c r="B308" i="3"/>
  <c r="B244" i="3"/>
  <c r="B180" i="3"/>
  <c r="B116" i="3"/>
  <c r="B52" i="3"/>
  <c r="B323" i="3"/>
  <c r="B259" i="3"/>
  <c r="B195" i="3"/>
  <c r="B131" i="3"/>
  <c r="B67" i="3"/>
  <c r="B98" i="3"/>
  <c r="B34" i="3"/>
  <c r="B305" i="3"/>
  <c r="B241" i="3"/>
  <c r="B177" i="3"/>
  <c r="B113" i="3"/>
  <c r="B49" i="3"/>
  <c r="B328" i="3"/>
  <c r="B264" i="3"/>
  <c r="B200" i="3"/>
  <c r="B136" i="3"/>
  <c r="B72" i="3"/>
  <c r="B170" i="3"/>
  <c r="B174" i="3"/>
  <c r="B130" i="3"/>
  <c r="B126" i="3"/>
  <c r="B303" i="3"/>
  <c r="B175" i="3"/>
  <c r="B47" i="3"/>
  <c r="B78" i="3"/>
  <c r="B349" i="3"/>
  <c r="B285" i="3"/>
  <c r="B221" i="3"/>
  <c r="B157" i="3"/>
  <c r="B93" i="3"/>
  <c r="B29" i="3"/>
  <c r="B300" i="3"/>
  <c r="B236" i="3"/>
  <c r="B172" i="3"/>
  <c r="B108" i="3"/>
  <c r="B44" i="3"/>
  <c r="B315" i="3"/>
  <c r="B251" i="3"/>
  <c r="B187" i="3"/>
  <c r="B123" i="3"/>
  <c r="B59" i="3"/>
  <c r="B90" i="3"/>
  <c r="B26" i="3"/>
  <c r="B297" i="3"/>
  <c r="B233" i="3"/>
  <c r="B169" i="3"/>
  <c r="B105" i="3"/>
  <c r="B41" i="3"/>
  <c r="B320" i="3"/>
  <c r="B256" i="3"/>
  <c r="B192" i="3"/>
  <c r="B128" i="3"/>
  <c r="B64" i="3"/>
  <c r="B166" i="3"/>
  <c r="B246" i="3"/>
  <c r="B138" i="3"/>
  <c r="B214" i="3"/>
  <c r="B358" i="3"/>
  <c r="B350" i="3"/>
  <c r="B359" i="3"/>
  <c r="B231" i="3"/>
  <c r="B103" i="3"/>
  <c r="B70" i="3"/>
  <c r="B277" i="3"/>
  <c r="B149" i="3"/>
  <c r="B356" i="3"/>
  <c r="B228" i="3"/>
  <c r="B100" i="3"/>
  <c r="B307" i="3"/>
  <c r="B243" i="3"/>
  <c r="B115" i="3"/>
  <c r="B51" i="3"/>
  <c r="B82" i="3"/>
  <c r="B353" i="3"/>
  <c r="B289" i="3"/>
  <c r="B225" i="3"/>
  <c r="B161" i="3"/>
  <c r="B97" i="3"/>
  <c r="B33" i="3"/>
  <c r="B312" i="3"/>
  <c r="B248" i="3"/>
  <c r="B184" i="3"/>
  <c r="B120" i="3"/>
  <c r="B56" i="3"/>
  <c r="B162" i="3"/>
  <c r="B210" i="3"/>
  <c r="B134" i="3"/>
  <c r="B122" i="3"/>
  <c r="B239" i="3"/>
  <c r="B111" i="3"/>
  <c r="B178" i="3"/>
  <c r="B142" i="3"/>
  <c r="B354" i="3"/>
  <c r="B346" i="3"/>
  <c r="B295" i="3"/>
  <c r="B167" i="3"/>
  <c r="B39" i="3"/>
  <c r="B341" i="3"/>
  <c r="B213" i="3"/>
  <c r="B85" i="3"/>
  <c r="B292" i="3"/>
  <c r="B164" i="3"/>
  <c r="B36" i="3"/>
  <c r="B179" i="3"/>
  <c r="B182" i="3"/>
  <c r="B146" i="3"/>
  <c r="B330" i="3"/>
  <c r="B326" i="3"/>
  <c r="B322" i="3"/>
  <c r="B318" i="3"/>
  <c r="B314" i="3"/>
  <c r="B351" i="3"/>
  <c r="B287" i="3"/>
  <c r="B223" i="3"/>
  <c r="B159" i="3"/>
  <c r="B95" i="3"/>
  <c r="B31" i="3"/>
  <c r="B62" i="3"/>
  <c r="B333" i="3"/>
  <c r="B269" i="3"/>
  <c r="B205" i="3"/>
  <c r="B141" i="3"/>
  <c r="B77" i="3"/>
  <c r="B348" i="3"/>
  <c r="B284" i="3"/>
  <c r="B220" i="3"/>
  <c r="B156" i="3"/>
  <c r="B92" i="3"/>
  <c r="B28" i="3"/>
  <c r="B299" i="3"/>
  <c r="B235" i="3"/>
  <c r="B171" i="3"/>
  <c r="B107" i="3"/>
  <c r="B43" i="3"/>
  <c r="B74" i="3"/>
  <c r="B345" i="3"/>
  <c r="B281" i="3"/>
  <c r="B217" i="3"/>
  <c r="B153" i="3"/>
  <c r="B89" i="3"/>
  <c r="B25" i="3"/>
  <c r="B304" i="3"/>
  <c r="B240" i="3"/>
  <c r="B176" i="3"/>
  <c r="B112" i="3"/>
  <c r="B48" i="3"/>
  <c r="B286" i="3"/>
  <c r="B282" i="3"/>
  <c r="B343" i="3"/>
  <c r="B279" i="3"/>
  <c r="B215" i="3"/>
  <c r="B151" i="3"/>
  <c r="B87" i="3"/>
  <c r="B118" i="3"/>
  <c r="B54" i="3"/>
  <c r="B325" i="3"/>
  <c r="B261" i="3"/>
  <c r="B197" i="3"/>
  <c r="B133" i="3"/>
  <c r="B69" i="3"/>
  <c r="B340" i="3"/>
  <c r="B276" i="3"/>
  <c r="B212" i="3"/>
  <c r="B148" i="3"/>
  <c r="B84" i="3"/>
  <c r="B355" i="3"/>
  <c r="B291" i="3"/>
  <c r="B227" i="3"/>
  <c r="B163" i="3"/>
  <c r="B99" i="3"/>
  <c r="B35" i="3"/>
  <c r="B66" i="3"/>
  <c r="B337" i="3"/>
  <c r="B273" i="3"/>
  <c r="B209" i="3"/>
  <c r="B145" i="3"/>
  <c r="B81" i="3"/>
  <c r="B360" i="3"/>
  <c r="B296" i="3"/>
  <c r="B232" i="3"/>
  <c r="B168" i="3"/>
  <c r="B104" i="3"/>
  <c r="B40" i="3"/>
  <c r="B266" i="3"/>
  <c r="B258" i="3"/>
  <c r="B335" i="3"/>
  <c r="B207" i="3"/>
  <c r="B79" i="3"/>
  <c r="B110" i="3"/>
  <c r="B46" i="3"/>
  <c r="B317" i="3"/>
  <c r="B253" i="3"/>
  <c r="B189" i="3"/>
  <c r="B125" i="3"/>
  <c r="B61" i="3"/>
  <c r="B332" i="3"/>
  <c r="B268" i="3"/>
  <c r="B204" i="3"/>
  <c r="B140" i="3"/>
  <c r="B76" i="3"/>
  <c r="B347" i="3"/>
  <c r="B283" i="3"/>
  <c r="B219" i="3"/>
  <c r="B155" i="3"/>
  <c r="B91" i="3"/>
  <c r="B27" i="3"/>
  <c r="B58" i="3"/>
  <c r="B329" i="3"/>
  <c r="B265" i="3"/>
  <c r="B201" i="3"/>
  <c r="B137" i="3"/>
  <c r="B73" i="3"/>
  <c r="B352" i="3"/>
  <c r="B288" i="3"/>
  <c r="B224" i="3"/>
  <c r="B160" i="3"/>
  <c r="B96" i="3"/>
  <c r="B32" i="3"/>
  <c r="B302" i="3"/>
  <c r="B254" i="3"/>
  <c r="B306" i="3"/>
  <c r="B234" i="3"/>
  <c r="B226" i="3"/>
  <c r="B218" i="3"/>
  <c r="B263" i="3"/>
  <c r="B135" i="3"/>
  <c r="B102" i="3"/>
  <c r="B309" i="3"/>
  <c r="B181" i="3"/>
  <c r="B53" i="3"/>
  <c r="B260" i="3"/>
  <c r="B132" i="3"/>
  <c r="B68" i="3"/>
  <c r="B339" i="3"/>
  <c r="B211" i="3"/>
  <c r="B147" i="3"/>
  <c r="B83" i="3"/>
  <c r="B114" i="3"/>
  <c r="B50" i="3"/>
  <c r="B321" i="3"/>
  <c r="B257" i="3"/>
  <c r="B193" i="3"/>
  <c r="B129" i="3"/>
  <c r="B65" i="3"/>
  <c r="B344" i="3"/>
  <c r="B280" i="3"/>
  <c r="B216" i="3"/>
  <c r="B152" i="3"/>
  <c r="B88" i="3"/>
  <c r="B24" i="3"/>
  <c r="B21" i="3"/>
  <c r="B17" i="3"/>
  <c r="C17" i="3" s="1"/>
  <c r="B23" i="3"/>
  <c r="C23" i="3" s="1"/>
  <c r="B15" i="3"/>
  <c r="B16" i="3"/>
  <c r="C16" i="3" s="1"/>
  <c r="B20" i="3"/>
  <c r="C20" i="3" s="1"/>
  <c r="B19" i="3"/>
  <c r="B14" i="3"/>
  <c r="B18" i="3"/>
  <c r="B22" i="3"/>
  <c r="E37" i="2" l="1"/>
  <c r="E34" i="2"/>
  <c r="E38" i="2"/>
  <c r="E36" i="2"/>
  <c r="E35" i="2"/>
  <c r="D7" i="2"/>
  <c r="E15" i="3"/>
  <c r="E21" i="3"/>
  <c r="E298" i="3"/>
  <c r="E278" i="3"/>
  <c r="E334" i="3"/>
  <c r="E294" i="3"/>
  <c r="C278" i="3"/>
  <c r="E290" i="3"/>
  <c r="C334" i="3"/>
  <c r="E242" i="3"/>
  <c r="E372" i="3"/>
  <c r="E150" i="3"/>
  <c r="E364" i="3"/>
  <c r="E206" i="3"/>
  <c r="E369" i="3"/>
  <c r="C371" i="3"/>
  <c r="E371" i="3"/>
  <c r="E370" i="3"/>
  <c r="C370" i="3"/>
  <c r="E367" i="3"/>
  <c r="C367" i="3"/>
  <c r="E366" i="3"/>
  <c r="C366" i="3"/>
  <c r="E365" i="3"/>
  <c r="C365" i="3"/>
  <c r="G375" i="3"/>
  <c r="J375" i="3"/>
  <c r="E375" i="3"/>
  <c r="K375" i="3"/>
  <c r="D375" i="3"/>
  <c r="C375" i="3"/>
  <c r="I375" i="3"/>
  <c r="H375" i="3"/>
  <c r="F375" i="3"/>
  <c r="F374" i="3"/>
  <c r="D374" i="3"/>
  <c r="C374" i="3"/>
  <c r="K374" i="3"/>
  <c r="J374" i="3"/>
  <c r="H374" i="3"/>
  <c r="G374" i="3"/>
  <c r="E374" i="3"/>
  <c r="I374" i="3"/>
  <c r="C363" i="3"/>
  <c r="E363" i="3"/>
  <c r="E361" i="3"/>
  <c r="C361" i="3"/>
  <c r="E362" i="3"/>
  <c r="C362" i="3"/>
  <c r="E368" i="3"/>
  <c r="E129" i="3"/>
  <c r="C129" i="3"/>
  <c r="C24" i="3"/>
  <c r="E24" i="3"/>
  <c r="C339" i="3"/>
  <c r="E339" i="3"/>
  <c r="C219" i="3"/>
  <c r="E219" i="3"/>
  <c r="C207" i="3"/>
  <c r="E207" i="3"/>
  <c r="C212" i="3"/>
  <c r="E212" i="3"/>
  <c r="C88" i="3"/>
  <c r="E88" i="3"/>
  <c r="E257" i="3"/>
  <c r="C257" i="3"/>
  <c r="C68" i="3"/>
  <c r="E68" i="3"/>
  <c r="E263" i="3"/>
  <c r="C263" i="3"/>
  <c r="C32" i="3"/>
  <c r="E32" i="3"/>
  <c r="C201" i="3"/>
  <c r="E201" i="3"/>
  <c r="C283" i="3"/>
  <c r="E283" i="3"/>
  <c r="C125" i="3"/>
  <c r="E125" i="3"/>
  <c r="C335" i="3"/>
  <c r="E335" i="3"/>
  <c r="C360" i="3"/>
  <c r="E360" i="3"/>
  <c r="C99" i="3"/>
  <c r="E99" i="3"/>
  <c r="C276" i="3"/>
  <c r="E276" i="3"/>
  <c r="C118" i="3"/>
  <c r="E118" i="3"/>
  <c r="C153" i="3"/>
  <c r="E153" i="3"/>
  <c r="C235" i="3"/>
  <c r="E235" i="3"/>
  <c r="C77" i="3"/>
  <c r="E77" i="3"/>
  <c r="C159" i="3"/>
  <c r="E159" i="3"/>
  <c r="C330" i="3"/>
  <c r="E330" i="3"/>
  <c r="C213" i="3"/>
  <c r="E213" i="3"/>
  <c r="C178" i="3"/>
  <c r="E178" i="3"/>
  <c r="C56" i="3"/>
  <c r="E56" i="3"/>
  <c r="E225" i="3"/>
  <c r="C225" i="3"/>
  <c r="C100" i="3"/>
  <c r="E100" i="3"/>
  <c r="E359" i="3"/>
  <c r="C359" i="3"/>
  <c r="C64" i="3"/>
  <c r="E64" i="3"/>
  <c r="C233" i="3"/>
  <c r="E233" i="3"/>
  <c r="C315" i="3"/>
  <c r="E315" i="3"/>
  <c r="C157" i="3"/>
  <c r="E157" i="3"/>
  <c r="C126" i="3"/>
  <c r="E126" i="3"/>
  <c r="C264" i="3"/>
  <c r="E264" i="3"/>
  <c r="C98" i="3"/>
  <c r="E98" i="3"/>
  <c r="C180" i="3"/>
  <c r="E180" i="3"/>
  <c r="C357" i="3"/>
  <c r="E357" i="3"/>
  <c r="C158" i="3"/>
  <c r="E158" i="3"/>
  <c r="C121" i="3"/>
  <c r="E121" i="3"/>
  <c r="C203" i="3"/>
  <c r="E203" i="3"/>
  <c r="C45" i="3"/>
  <c r="E45" i="3"/>
  <c r="C127" i="3"/>
  <c r="E127" i="3"/>
  <c r="C202" i="3"/>
  <c r="E202" i="3"/>
  <c r="C245" i="3"/>
  <c r="E245" i="3"/>
  <c r="C342" i="3"/>
  <c r="E342" i="3"/>
  <c r="E321" i="3"/>
  <c r="C321" i="3"/>
  <c r="C132" i="3"/>
  <c r="E132" i="3"/>
  <c r="C218" i="3"/>
  <c r="E218" i="3"/>
  <c r="C96" i="3"/>
  <c r="E96" i="3"/>
  <c r="C265" i="3"/>
  <c r="E265" i="3"/>
  <c r="C347" i="3"/>
  <c r="E347" i="3"/>
  <c r="C189" i="3"/>
  <c r="E189" i="3"/>
  <c r="C258" i="3"/>
  <c r="E258" i="3"/>
  <c r="C81" i="3"/>
  <c r="E81" i="3"/>
  <c r="C163" i="3"/>
  <c r="E163" i="3"/>
  <c r="C340" i="3"/>
  <c r="E340" i="3"/>
  <c r="C87" i="3"/>
  <c r="E87" i="3"/>
  <c r="C48" i="3"/>
  <c r="E48" i="3"/>
  <c r="E217" i="3"/>
  <c r="C217" i="3"/>
  <c r="C299" i="3"/>
  <c r="E299" i="3"/>
  <c r="C141" i="3"/>
  <c r="E141" i="3"/>
  <c r="C223" i="3"/>
  <c r="E223" i="3"/>
  <c r="C146" i="3"/>
  <c r="E146" i="3"/>
  <c r="C341" i="3"/>
  <c r="E341" i="3"/>
  <c r="C111" i="3"/>
  <c r="E111" i="3"/>
  <c r="C120" i="3"/>
  <c r="E120" i="3"/>
  <c r="E289" i="3"/>
  <c r="C289" i="3"/>
  <c r="C228" i="3"/>
  <c r="E228" i="3"/>
  <c r="C350" i="3"/>
  <c r="E350" i="3"/>
  <c r="C128" i="3"/>
  <c r="E128" i="3"/>
  <c r="C297" i="3"/>
  <c r="E297" i="3"/>
  <c r="C44" i="3"/>
  <c r="E44" i="3"/>
  <c r="C221" i="3"/>
  <c r="E221" i="3"/>
  <c r="C130" i="3"/>
  <c r="E130" i="3"/>
  <c r="C328" i="3"/>
  <c r="E328" i="3"/>
  <c r="C67" i="3"/>
  <c r="E67" i="3"/>
  <c r="C244" i="3"/>
  <c r="E244" i="3"/>
  <c r="C86" i="3"/>
  <c r="E86" i="3"/>
  <c r="C185" i="3"/>
  <c r="E185" i="3"/>
  <c r="C267" i="3"/>
  <c r="E267" i="3"/>
  <c r="C109" i="3"/>
  <c r="E109" i="3"/>
  <c r="C191" i="3"/>
  <c r="E191" i="3"/>
  <c r="C238" i="3"/>
  <c r="E238" i="3"/>
  <c r="C38" i="3"/>
  <c r="E38" i="3"/>
  <c r="C143" i="3"/>
  <c r="E143" i="3"/>
  <c r="C216" i="3"/>
  <c r="E216" i="3"/>
  <c r="C50" i="3"/>
  <c r="E50" i="3"/>
  <c r="C260" i="3"/>
  <c r="E260" i="3"/>
  <c r="C226" i="3"/>
  <c r="E226" i="3"/>
  <c r="C160" i="3"/>
  <c r="E160" i="3"/>
  <c r="C329" i="3"/>
  <c r="E329" i="3"/>
  <c r="C76" i="3"/>
  <c r="E76" i="3"/>
  <c r="C253" i="3"/>
  <c r="E253" i="3"/>
  <c r="C266" i="3"/>
  <c r="E266" i="3"/>
  <c r="E145" i="3"/>
  <c r="C145" i="3"/>
  <c r="C227" i="3"/>
  <c r="E227" i="3"/>
  <c r="C69" i="3"/>
  <c r="E69" i="3"/>
  <c r="C151" i="3"/>
  <c r="E151" i="3"/>
  <c r="C112" i="3"/>
  <c r="E112" i="3"/>
  <c r="E281" i="3"/>
  <c r="C281" i="3"/>
  <c r="C28" i="3"/>
  <c r="E28" i="3"/>
  <c r="C205" i="3"/>
  <c r="E205" i="3"/>
  <c r="C287" i="3"/>
  <c r="E287" i="3"/>
  <c r="C182" i="3"/>
  <c r="E182" i="3"/>
  <c r="C39" i="3"/>
  <c r="E39" i="3"/>
  <c r="C239" i="3"/>
  <c r="E239" i="3"/>
  <c r="C184" i="3"/>
  <c r="E184" i="3"/>
  <c r="E353" i="3"/>
  <c r="C353" i="3"/>
  <c r="C356" i="3"/>
  <c r="E356" i="3"/>
  <c r="C358" i="3"/>
  <c r="E358" i="3"/>
  <c r="C192" i="3"/>
  <c r="E192" i="3"/>
  <c r="C26" i="3"/>
  <c r="E26" i="3"/>
  <c r="C108" i="3"/>
  <c r="E108" i="3"/>
  <c r="C285" i="3"/>
  <c r="E285" i="3"/>
  <c r="C174" i="3"/>
  <c r="E174" i="3"/>
  <c r="C49" i="3"/>
  <c r="E49" i="3"/>
  <c r="C131" i="3"/>
  <c r="E131" i="3"/>
  <c r="C308" i="3"/>
  <c r="E308" i="3"/>
  <c r="C55" i="3"/>
  <c r="E55" i="3"/>
  <c r="C80" i="3"/>
  <c r="E80" i="3"/>
  <c r="E249" i="3"/>
  <c r="C249" i="3"/>
  <c r="C331" i="3"/>
  <c r="E331" i="3"/>
  <c r="C173" i="3"/>
  <c r="E173" i="3"/>
  <c r="C255" i="3"/>
  <c r="E255" i="3"/>
  <c r="C274" i="3"/>
  <c r="E274" i="3"/>
  <c r="C71" i="3"/>
  <c r="E71" i="3"/>
  <c r="C271" i="3"/>
  <c r="E271" i="3"/>
  <c r="C280" i="3"/>
  <c r="E280" i="3"/>
  <c r="C53" i="3"/>
  <c r="E53" i="3"/>
  <c r="C58" i="3"/>
  <c r="E58" i="3"/>
  <c r="C317" i="3"/>
  <c r="E317" i="3"/>
  <c r="C209" i="3"/>
  <c r="E209" i="3"/>
  <c r="C291" i="3"/>
  <c r="E291" i="3"/>
  <c r="C133" i="3"/>
  <c r="E133" i="3"/>
  <c r="C215" i="3"/>
  <c r="E215" i="3"/>
  <c r="C176" i="3"/>
  <c r="E176" i="3"/>
  <c r="E345" i="3"/>
  <c r="C345" i="3"/>
  <c r="C92" i="3"/>
  <c r="E92" i="3"/>
  <c r="C269" i="3"/>
  <c r="E269" i="3"/>
  <c r="C351" i="3"/>
  <c r="E351" i="3"/>
  <c r="C179" i="3"/>
  <c r="E179" i="3"/>
  <c r="C167" i="3"/>
  <c r="E167" i="3"/>
  <c r="C122" i="3"/>
  <c r="E122" i="3"/>
  <c r="C248" i="3"/>
  <c r="E248" i="3"/>
  <c r="C82" i="3"/>
  <c r="E82" i="3"/>
  <c r="C149" i="3"/>
  <c r="E149" i="3"/>
  <c r="C214" i="3"/>
  <c r="E214" i="3"/>
  <c r="C256" i="3"/>
  <c r="E256" i="3"/>
  <c r="C90" i="3"/>
  <c r="E90" i="3"/>
  <c r="C172" i="3"/>
  <c r="E172" i="3"/>
  <c r="C349" i="3"/>
  <c r="E349" i="3"/>
  <c r="C170" i="3"/>
  <c r="E170" i="3"/>
  <c r="E113" i="3"/>
  <c r="C113" i="3"/>
  <c r="C195" i="3"/>
  <c r="E195" i="3"/>
  <c r="C37" i="3"/>
  <c r="E37" i="3"/>
  <c r="C119" i="3"/>
  <c r="E119" i="3"/>
  <c r="C144" i="3"/>
  <c r="E144" i="3"/>
  <c r="E313" i="3"/>
  <c r="C313" i="3"/>
  <c r="C60" i="3"/>
  <c r="E60" i="3"/>
  <c r="C237" i="3"/>
  <c r="E237" i="3"/>
  <c r="C319" i="3"/>
  <c r="E319" i="3"/>
  <c r="C310" i="3"/>
  <c r="E310" i="3"/>
  <c r="C199" i="3"/>
  <c r="E199" i="3"/>
  <c r="C250" i="3"/>
  <c r="E250" i="3"/>
  <c r="C152" i="3"/>
  <c r="E152" i="3"/>
  <c r="C114" i="3"/>
  <c r="E114" i="3"/>
  <c r="C234" i="3"/>
  <c r="E234" i="3"/>
  <c r="C224" i="3"/>
  <c r="E224" i="3"/>
  <c r="C140" i="3"/>
  <c r="E140" i="3"/>
  <c r="C40" i="3"/>
  <c r="E40" i="3"/>
  <c r="C344" i="3"/>
  <c r="E344" i="3"/>
  <c r="C83" i="3"/>
  <c r="E83" i="3"/>
  <c r="C181" i="3"/>
  <c r="E181" i="3"/>
  <c r="C306" i="3"/>
  <c r="E306" i="3"/>
  <c r="C288" i="3"/>
  <c r="E288" i="3"/>
  <c r="C27" i="3"/>
  <c r="E27" i="3"/>
  <c r="C204" i="3"/>
  <c r="E204" i="3"/>
  <c r="C46" i="3"/>
  <c r="E46" i="3"/>
  <c r="C104" i="3"/>
  <c r="E104" i="3"/>
  <c r="E273" i="3"/>
  <c r="C273" i="3"/>
  <c r="C355" i="3"/>
  <c r="E355" i="3"/>
  <c r="C197" i="3"/>
  <c r="E197" i="3"/>
  <c r="C279" i="3"/>
  <c r="E279" i="3"/>
  <c r="C240" i="3"/>
  <c r="E240" i="3"/>
  <c r="C74" i="3"/>
  <c r="E74" i="3"/>
  <c r="C156" i="3"/>
  <c r="E156" i="3"/>
  <c r="C333" i="3"/>
  <c r="E333" i="3"/>
  <c r="C314" i="3"/>
  <c r="E314" i="3"/>
  <c r="C36" i="3"/>
  <c r="E36" i="3"/>
  <c r="E295" i="3"/>
  <c r="C295" i="3"/>
  <c r="C134" i="3"/>
  <c r="E134" i="3"/>
  <c r="C312" i="3"/>
  <c r="E312" i="3"/>
  <c r="C51" i="3"/>
  <c r="E51" i="3"/>
  <c r="C277" i="3"/>
  <c r="E277" i="3"/>
  <c r="C138" i="3"/>
  <c r="E138" i="3"/>
  <c r="C320" i="3"/>
  <c r="E320" i="3"/>
  <c r="C59" i="3"/>
  <c r="E59" i="3"/>
  <c r="C236" i="3"/>
  <c r="E236" i="3"/>
  <c r="C78" i="3"/>
  <c r="E78" i="3"/>
  <c r="E177" i="3"/>
  <c r="C177" i="3"/>
  <c r="C259" i="3"/>
  <c r="E259" i="3"/>
  <c r="C101" i="3"/>
  <c r="E101" i="3"/>
  <c r="C183" i="3"/>
  <c r="E183" i="3"/>
  <c r="C208" i="3"/>
  <c r="E208" i="3"/>
  <c r="C42" i="3"/>
  <c r="E42" i="3"/>
  <c r="C124" i="3"/>
  <c r="E124" i="3"/>
  <c r="C301" i="3"/>
  <c r="E301" i="3"/>
  <c r="C186" i="3"/>
  <c r="E186" i="3"/>
  <c r="C275" i="3"/>
  <c r="E275" i="3"/>
  <c r="E327" i="3"/>
  <c r="C327" i="3"/>
  <c r="C262" i="3"/>
  <c r="E262" i="3"/>
  <c r="E65" i="3"/>
  <c r="C65" i="3"/>
  <c r="C147" i="3"/>
  <c r="E147" i="3"/>
  <c r="C309" i="3"/>
  <c r="E309" i="3"/>
  <c r="C254" i="3"/>
  <c r="E254" i="3"/>
  <c r="C352" i="3"/>
  <c r="E352" i="3"/>
  <c r="C91" i="3"/>
  <c r="E91" i="3"/>
  <c r="C268" i="3"/>
  <c r="E268" i="3"/>
  <c r="C110" i="3"/>
  <c r="E110" i="3"/>
  <c r="C168" i="3"/>
  <c r="E168" i="3"/>
  <c r="E337" i="3"/>
  <c r="C337" i="3"/>
  <c r="C84" i="3"/>
  <c r="E84" i="3"/>
  <c r="C261" i="3"/>
  <c r="E261" i="3"/>
  <c r="C343" i="3"/>
  <c r="E343" i="3"/>
  <c r="C304" i="3"/>
  <c r="E304" i="3"/>
  <c r="C43" i="3"/>
  <c r="E43" i="3"/>
  <c r="E220" i="3"/>
  <c r="C220" i="3"/>
  <c r="C62" i="3"/>
  <c r="E62" i="3"/>
  <c r="C318" i="3"/>
  <c r="E318" i="3"/>
  <c r="C164" i="3"/>
  <c r="E164" i="3"/>
  <c r="C346" i="3"/>
  <c r="E346" i="3"/>
  <c r="C210" i="3"/>
  <c r="E210" i="3"/>
  <c r="E33" i="3"/>
  <c r="C33" i="3"/>
  <c r="C115" i="3"/>
  <c r="E115" i="3"/>
  <c r="C70" i="3"/>
  <c r="E70" i="3"/>
  <c r="C246" i="3"/>
  <c r="E246" i="3"/>
  <c r="C41" i="3"/>
  <c r="E41" i="3"/>
  <c r="C123" i="3"/>
  <c r="E123" i="3"/>
  <c r="C300" i="3"/>
  <c r="E300" i="3"/>
  <c r="C47" i="3"/>
  <c r="E47" i="3"/>
  <c r="C72" i="3"/>
  <c r="E72" i="3"/>
  <c r="E241" i="3"/>
  <c r="C241" i="3"/>
  <c r="C323" i="3"/>
  <c r="E323" i="3"/>
  <c r="C165" i="3"/>
  <c r="E165" i="3"/>
  <c r="E247" i="3"/>
  <c r="C247" i="3"/>
  <c r="C272" i="3"/>
  <c r="E272" i="3"/>
  <c r="C106" i="3"/>
  <c r="E106" i="3"/>
  <c r="C188" i="3"/>
  <c r="E188" i="3"/>
  <c r="C30" i="3"/>
  <c r="E30" i="3"/>
  <c r="C190" i="3"/>
  <c r="E190" i="3"/>
  <c r="C196" i="3"/>
  <c r="E196" i="3"/>
  <c r="C222" i="3"/>
  <c r="E222" i="3"/>
  <c r="C338" i="3"/>
  <c r="E338" i="3"/>
  <c r="C102" i="3"/>
  <c r="E102" i="3"/>
  <c r="C73" i="3"/>
  <c r="E73" i="3"/>
  <c r="C155" i="3"/>
  <c r="E155" i="3"/>
  <c r="E332" i="3"/>
  <c r="C332" i="3"/>
  <c r="C79" i="3"/>
  <c r="E79" i="3"/>
  <c r="C232" i="3"/>
  <c r="E232" i="3"/>
  <c r="C66" i="3"/>
  <c r="E66" i="3"/>
  <c r="C148" i="3"/>
  <c r="E148" i="3"/>
  <c r="C325" i="3"/>
  <c r="E325" i="3"/>
  <c r="C282" i="3"/>
  <c r="E282" i="3"/>
  <c r="E25" i="3"/>
  <c r="C25" i="3"/>
  <c r="C107" i="3"/>
  <c r="E107" i="3"/>
  <c r="E284" i="3"/>
  <c r="C284" i="3"/>
  <c r="C31" i="3"/>
  <c r="E31" i="3"/>
  <c r="C322" i="3"/>
  <c r="E322" i="3"/>
  <c r="C292" i="3"/>
  <c r="E292" i="3"/>
  <c r="C354" i="3"/>
  <c r="E354" i="3"/>
  <c r="C162" i="3"/>
  <c r="E162" i="3"/>
  <c r="E97" i="3"/>
  <c r="C97" i="3"/>
  <c r="C243" i="3"/>
  <c r="E243" i="3"/>
  <c r="C103" i="3"/>
  <c r="E103" i="3"/>
  <c r="C166" i="3"/>
  <c r="E166" i="3"/>
  <c r="C105" i="3"/>
  <c r="E105" i="3"/>
  <c r="C187" i="3"/>
  <c r="E187" i="3"/>
  <c r="C29" i="3"/>
  <c r="E29" i="3"/>
  <c r="C175" i="3"/>
  <c r="E175" i="3"/>
  <c r="C136" i="3"/>
  <c r="E136" i="3"/>
  <c r="E305" i="3"/>
  <c r="C305" i="3"/>
  <c r="C52" i="3"/>
  <c r="E52" i="3"/>
  <c r="C229" i="3"/>
  <c r="E229" i="3"/>
  <c r="C311" i="3"/>
  <c r="E311" i="3"/>
  <c r="C336" i="3"/>
  <c r="E336" i="3"/>
  <c r="C75" i="3"/>
  <c r="E75" i="3"/>
  <c r="E252" i="3"/>
  <c r="C252" i="3"/>
  <c r="C94" i="3"/>
  <c r="E94" i="3"/>
  <c r="C194" i="3"/>
  <c r="E194" i="3"/>
  <c r="C324" i="3"/>
  <c r="E324" i="3"/>
  <c r="C230" i="3"/>
  <c r="E230" i="3"/>
  <c r="C211" i="3"/>
  <c r="E211" i="3"/>
  <c r="C302" i="3"/>
  <c r="E302" i="3"/>
  <c r="E193" i="3"/>
  <c r="C193" i="3"/>
  <c r="C135" i="3"/>
  <c r="E135" i="3"/>
  <c r="C137" i="3"/>
  <c r="E137" i="3"/>
  <c r="C61" i="3"/>
  <c r="E61" i="3"/>
  <c r="C296" i="3"/>
  <c r="E296" i="3"/>
  <c r="C35" i="3"/>
  <c r="E35" i="3"/>
  <c r="C54" i="3"/>
  <c r="E54" i="3"/>
  <c r="C286" i="3"/>
  <c r="E286" i="3"/>
  <c r="E89" i="3"/>
  <c r="C89" i="3"/>
  <c r="C171" i="3"/>
  <c r="E171" i="3"/>
  <c r="E348" i="3"/>
  <c r="C348" i="3"/>
  <c r="C95" i="3"/>
  <c r="E95" i="3"/>
  <c r="C326" i="3"/>
  <c r="E326" i="3"/>
  <c r="C85" i="3"/>
  <c r="E85" i="3"/>
  <c r="C142" i="3"/>
  <c r="E142" i="3"/>
  <c r="E161" i="3"/>
  <c r="C161" i="3"/>
  <c r="C307" i="3"/>
  <c r="E307" i="3"/>
  <c r="E231" i="3"/>
  <c r="C231" i="3"/>
  <c r="C169" i="3"/>
  <c r="E169" i="3"/>
  <c r="C251" i="3"/>
  <c r="E251" i="3"/>
  <c r="C93" i="3"/>
  <c r="E93" i="3"/>
  <c r="C303" i="3"/>
  <c r="E303" i="3"/>
  <c r="C200" i="3"/>
  <c r="E200" i="3"/>
  <c r="C34" i="3"/>
  <c r="E34" i="3"/>
  <c r="C116" i="3"/>
  <c r="E116" i="3"/>
  <c r="C293" i="3"/>
  <c r="E293" i="3"/>
  <c r="C154" i="3"/>
  <c r="E154" i="3"/>
  <c r="E57" i="3"/>
  <c r="C57" i="3"/>
  <c r="C139" i="3"/>
  <c r="E139" i="3"/>
  <c r="E316" i="3"/>
  <c r="C316" i="3"/>
  <c r="C63" i="3"/>
  <c r="E63" i="3"/>
  <c r="C198" i="3"/>
  <c r="E198" i="3"/>
  <c r="C117" i="3"/>
  <c r="E117" i="3"/>
  <c r="C270" i="3"/>
  <c r="E270" i="3"/>
  <c r="C21" i="3"/>
  <c r="E17" i="3"/>
  <c r="E23" i="3"/>
  <c r="C15" i="3"/>
  <c r="E16" i="3"/>
  <c r="E20" i="3"/>
  <c r="C19" i="3"/>
  <c r="E19" i="3"/>
  <c r="E22" i="3"/>
  <c r="C22" i="3"/>
  <c r="D14" i="3"/>
  <c r="E14" i="3"/>
  <c r="C14" i="3"/>
  <c r="E18" i="3"/>
  <c r="C18" i="3"/>
  <c r="D8" i="2" l="1"/>
  <c r="F14" i="3"/>
  <c r="G14" i="3" s="1"/>
  <c r="I14" i="3"/>
  <c r="D9" i="2" l="1"/>
  <c r="K14" i="3"/>
  <c r="H14" i="3"/>
  <c r="J14" i="3" s="1"/>
  <c r="D10" i="2" l="1"/>
  <c r="D15" i="3"/>
  <c r="D11" i="2" l="1"/>
  <c r="I15" i="3"/>
  <c r="F15" i="3"/>
  <c r="D12" i="2" l="1"/>
  <c r="G15" i="3"/>
  <c r="H15" i="3" s="1"/>
  <c r="J15" i="3" s="1"/>
  <c r="K15" i="3"/>
  <c r="D13" i="2" l="1"/>
  <c r="D16" i="3"/>
  <c r="D14" i="2" l="1"/>
  <c r="I16" i="3"/>
  <c r="F16" i="3"/>
  <c r="D15" i="2" l="1"/>
  <c r="K16" i="3"/>
  <c r="G16" i="3"/>
  <c r="H16" i="3" s="1"/>
  <c r="J16" i="3" s="1"/>
  <c r="D16" i="2" l="1"/>
  <c r="D17" i="3"/>
  <c r="D17" i="2" l="1"/>
  <c r="I17" i="3"/>
  <c r="F17" i="3"/>
  <c r="D18" i="2" l="1"/>
  <c r="K17" i="3"/>
  <c r="G17" i="3"/>
  <c r="H17" i="3" s="1"/>
  <c r="J17" i="3" s="1"/>
  <c r="D19" i="2" l="1"/>
  <c r="D18" i="3"/>
  <c r="D20" i="2" l="1"/>
  <c r="F18" i="3"/>
  <c r="I18" i="3"/>
  <c r="D21" i="2" l="1"/>
  <c r="K18" i="3"/>
  <c r="G18" i="3"/>
  <c r="H18" i="3" s="1"/>
  <c r="J18" i="3" s="1"/>
  <c r="D19" i="3" s="1"/>
  <c r="D22" i="2" l="1"/>
  <c r="I19" i="3"/>
  <c r="K19" i="3" s="1"/>
  <c r="F19" i="3"/>
  <c r="D23" i="2" l="1"/>
  <c r="G19" i="3"/>
  <c r="H19" i="3" s="1"/>
  <c r="J19" i="3" s="1"/>
  <c r="D20" i="3" s="1"/>
  <c r="D24" i="2" l="1"/>
  <c r="I20" i="3"/>
  <c r="K20" i="3" s="1"/>
  <c r="F20" i="3"/>
  <c r="D25" i="2" l="1"/>
  <c r="G20" i="3"/>
  <c r="H20" i="3" s="1"/>
  <c r="J20" i="3" s="1"/>
  <c r="D21" i="3" s="1"/>
  <c r="D26" i="2" l="1"/>
  <c r="F21" i="3"/>
  <c r="I21" i="3"/>
  <c r="K21" i="3" s="1"/>
  <c r="D27" i="2" l="1"/>
  <c r="G21" i="3"/>
  <c r="H21" i="3" s="1"/>
  <c r="J21" i="3" s="1"/>
  <c r="D22" i="3" s="1"/>
  <c r="D28" i="2" l="1"/>
  <c r="I22" i="3"/>
  <c r="K22" i="3" s="1"/>
  <c r="F22" i="3"/>
  <c r="D29" i="2" l="1"/>
  <c r="G22" i="3"/>
  <c r="H22" i="3" s="1"/>
  <c r="J22" i="3" s="1"/>
  <c r="D23" i="3" s="1"/>
  <c r="D30" i="2" l="1"/>
  <c r="F23" i="3"/>
  <c r="I23" i="3"/>
  <c r="D31" i="2" l="1"/>
  <c r="K23" i="3"/>
  <c r="G23" i="3"/>
  <c r="H23" i="3" s="1"/>
  <c r="J23" i="3" s="1"/>
  <c r="D32" i="2" l="1"/>
  <c r="I7" i="3"/>
  <c r="D24" i="3"/>
  <c r="D33" i="2" l="1"/>
  <c r="I24" i="3"/>
  <c r="F24" i="3"/>
  <c r="D34" i="2" l="1"/>
  <c r="G24" i="3"/>
  <c r="H24" i="3" s="1"/>
  <c r="J24" i="3" s="1"/>
  <c r="D25" i="3" s="1"/>
  <c r="K24" i="3"/>
  <c r="F34" i="2" l="1"/>
  <c r="D35" i="2"/>
  <c r="F25" i="3"/>
  <c r="I25" i="3"/>
  <c r="F35" i="2" l="1"/>
  <c r="D36" i="2"/>
  <c r="K25" i="3"/>
  <c r="G25" i="3"/>
  <c r="H25" i="3" s="1"/>
  <c r="J25" i="3" s="1"/>
  <c r="E4" i="2" s="1"/>
  <c r="D26" i="3" l="1"/>
  <c r="I26" i="3" s="1"/>
  <c r="F4" i="2"/>
  <c r="D37" i="2"/>
  <c r="D38" i="2" s="1"/>
  <c r="F38" i="2" s="1"/>
  <c r="F36" i="2"/>
  <c r="F26" i="3" l="1"/>
  <c r="G26" i="3" s="1"/>
  <c r="H26" i="3" s="1"/>
  <c r="J26" i="3" s="1"/>
  <c r="D27" i="3" s="1"/>
  <c r="F37" i="2"/>
  <c r="K26" i="3"/>
  <c r="I27" i="3" l="1"/>
  <c r="F27" i="3"/>
  <c r="G27" i="3" l="1"/>
  <c r="H27" i="3" s="1"/>
  <c r="J27" i="3" s="1"/>
  <c r="D28" i="3" s="1"/>
  <c r="K27" i="3"/>
  <c r="I28" i="3" l="1"/>
  <c r="F28" i="3"/>
  <c r="G28" i="3" l="1"/>
  <c r="H28" i="3" s="1"/>
  <c r="J28" i="3" s="1"/>
  <c r="D29" i="3" s="1"/>
  <c r="K28" i="3"/>
  <c r="I29" i="3" l="1"/>
  <c r="K29" i="3" s="1"/>
  <c r="F29" i="3"/>
  <c r="G29" i="3" l="1"/>
  <c r="H29" i="3" s="1"/>
  <c r="J29" i="3" s="1"/>
  <c r="D30" i="3" s="1"/>
  <c r="F30" i="3" l="1"/>
  <c r="I30" i="3"/>
  <c r="K30" i="3" s="1"/>
  <c r="G30" i="3" l="1"/>
  <c r="H30" i="3" s="1"/>
  <c r="J30" i="3" s="1"/>
  <c r="D31" i="3" s="1"/>
  <c r="I31" i="3" l="1"/>
  <c r="K31" i="3" s="1"/>
  <c r="F31" i="3"/>
  <c r="G31" i="3" l="1"/>
  <c r="H31" i="3" s="1"/>
  <c r="J31" i="3" s="1"/>
  <c r="D32" i="3" s="1"/>
  <c r="I32" i="3" l="1"/>
  <c r="K32" i="3" s="1"/>
  <c r="F32" i="3"/>
  <c r="G32" i="3" l="1"/>
  <c r="H32" i="3" s="1"/>
  <c r="J32" i="3" s="1"/>
  <c r="D33" i="3" s="1"/>
  <c r="F33" i="3" l="1"/>
  <c r="I33" i="3"/>
  <c r="K33" i="3" s="1"/>
  <c r="G33" i="3" l="1"/>
  <c r="H33" i="3" s="1"/>
  <c r="J33" i="3" s="1"/>
  <c r="D34" i="3" s="1"/>
  <c r="I34" i="3" l="1"/>
  <c r="K34" i="3" s="1"/>
  <c r="F34" i="3"/>
  <c r="G34" i="3" l="1"/>
  <c r="H34" i="3" s="1"/>
  <c r="J34" i="3" s="1"/>
  <c r="D35" i="3" s="1"/>
  <c r="I35" i="3" l="1"/>
  <c r="K35" i="3" s="1"/>
  <c r="F35" i="3"/>
  <c r="G35" i="3" l="1"/>
  <c r="H35" i="3" s="1"/>
  <c r="J35" i="3" s="1"/>
  <c r="D36" i="3" s="1"/>
  <c r="I36" i="3" l="1"/>
  <c r="K36" i="3" s="1"/>
  <c r="F36" i="3"/>
  <c r="G36" i="3" l="1"/>
  <c r="H36" i="3" s="1"/>
  <c r="J36" i="3" s="1"/>
  <c r="D37" i="3" s="1"/>
  <c r="I37" i="3" l="1"/>
  <c r="K37" i="3" s="1"/>
  <c r="F37" i="3"/>
  <c r="G37" i="3" l="1"/>
  <c r="H37" i="3" s="1"/>
  <c r="J37" i="3" s="1"/>
  <c r="E5" i="2" s="1"/>
  <c r="D38" i="3" l="1"/>
  <c r="I38" i="3" s="1"/>
  <c r="K38" i="3" s="1"/>
  <c r="F38" i="3" l="1"/>
  <c r="G38" i="3" s="1"/>
  <c r="H38" i="3" s="1"/>
  <c r="J38" i="3" s="1"/>
  <c r="D39" i="3" l="1"/>
  <c r="I39" i="3" s="1"/>
  <c r="K39" i="3" s="1"/>
  <c r="F5" i="2"/>
  <c r="F39" i="3" l="1"/>
  <c r="G39" i="3" s="1"/>
  <c r="H39" i="3" s="1"/>
  <c r="J39" i="3" s="1"/>
  <c r="D40" i="3" s="1"/>
  <c r="I40" i="3" l="1"/>
  <c r="K40" i="3" s="1"/>
  <c r="F40" i="3"/>
  <c r="G40" i="3" l="1"/>
  <c r="H40" i="3" s="1"/>
  <c r="J40" i="3" s="1"/>
  <c r="D41" i="3" s="1"/>
  <c r="I41" i="3" l="1"/>
  <c r="K41" i="3" s="1"/>
  <c r="F41" i="3"/>
  <c r="G41" i="3" l="1"/>
  <c r="H41" i="3" s="1"/>
  <c r="J41" i="3" s="1"/>
  <c r="D42" i="3" s="1"/>
  <c r="I42" i="3" l="1"/>
  <c r="K42" i="3" s="1"/>
  <c r="F42" i="3"/>
  <c r="G42" i="3" l="1"/>
  <c r="H42" i="3" s="1"/>
  <c r="J42" i="3" s="1"/>
  <c r="D43" i="3" s="1"/>
  <c r="F43" i="3" l="1"/>
  <c r="I43" i="3"/>
  <c r="K43" i="3" s="1"/>
  <c r="G43" i="3" l="1"/>
  <c r="H43" i="3" s="1"/>
  <c r="J43" i="3" s="1"/>
  <c r="D44" i="3" s="1"/>
  <c r="I44" i="3" l="1"/>
  <c r="K44" i="3" s="1"/>
  <c r="F44" i="3"/>
  <c r="G44" i="3" l="1"/>
  <c r="H44" i="3" s="1"/>
  <c r="J44" i="3" s="1"/>
  <c r="D45" i="3" s="1"/>
  <c r="F45" i="3" l="1"/>
  <c r="I45" i="3"/>
  <c r="K45" i="3" s="1"/>
  <c r="G45" i="3" l="1"/>
  <c r="H45" i="3" s="1"/>
  <c r="J45" i="3" s="1"/>
  <c r="D46" i="3" s="1"/>
  <c r="I46" i="3" l="1"/>
  <c r="K46" i="3" s="1"/>
  <c r="F46" i="3"/>
  <c r="G46" i="3" l="1"/>
  <c r="H46" i="3" s="1"/>
  <c r="J46" i="3" s="1"/>
  <c r="D47" i="3" s="1"/>
  <c r="I47" i="3" l="1"/>
  <c r="K47" i="3" s="1"/>
  <c r="F47" i="3"/>
  <c r="G47" i="3" l="1"/>
  <c r="H47" i="3" s="1"/>
  <c r="J47" i="3" s="1"/>
  <c r="D48" i="3" s="1"/>
  <c r="F48" i="3" l="1"/>
  <c r="I48" i="3"/>
  <c r="K48" i="3" s="1"/>
  <c r="G48" i="3" l="1"/>
  <c r="H48" i="3" s="1"/>
  <c r="J48" i="3" s="1"/>
  <c r="D49" i="3" s="1"/>
  <c r="I49" i="3" l="1"/>
  <c r="K49" i="3" s="1"/>
  <c r="F49" i="3"/>
  <c r="G49" i="3" l="1"/>
  <c r="H49" i="3" s="1"/>
  <c r="J49" i="3" s="1"/>
  <c r="E6" i="2" s="1"/>
  <c r="D50" i="3" l="1"/>
  <c r="I50" i="3" s="1"/>
  <c r="K50" i="3" s="1"/>
  <c r="F50" i="3" l="1"/>
  <c r="G50" i="3" s="1"/>
  <c r="H50" i="3" s="1"/>
  <c r="J50" i="3" s="1"/>
  <c r="D51" i="3" s="1"/>
  <c r="F51" i="3" l="1"/>
  <c r="I51" i="3"/>
  <c r="K51" i="3" s="1"/>
  <c r="G51" i="3" l="1"/>
  <c r="H51" i="3" s="1"/>
  <c r="J51" i="3" s="1"/>
  <c r="D52" i="3" l="1"/>
  <c r="I52" i="3" s="1"/>
  <c r="K52" i="3" s="1"/>
  <c r="F6" i="2"/>
  <c r="F52" i="3" l="1"/>
  <c r="G52" i="3" s="1"/>
  <c r="H52" i="3" s="1"/>
  <c r="J52" i="3" s="1"/>
  <c r="D53" i="3" s="1"/>
  <c r="I53" i="3" l="1"/>
  <c r="K53" i="3" s="1"/>
  <c r="F53" i="3"/>
  <c r="G53" i="3" l="1"/>
  <c r="H53" i="3" s="1"/>
  <c r="J53" i="3" s="1"/>
  <c r="D54" i="3" s="1"/>
  <c r="I54" i="3" l="1"/>
  <c r="K54" i="3" s="1"/>
  <c r="F54" i="3"/>
  <c r="G54" i="3" l="1"/>
  <c r="H54" i="3" s="1"/>
  <c r="J54" i="3" s="1"/>
  <c r="D55" i="3" s="1"/>
  <c r="I55" i="3" l="1"/>
  <c r="K55" i="3" s="1"/>
  <c r="F55" i="3"/>
  <c r="G55" i="3" l="1"/>
  <c r="H55" i="3" s="1"/>
  <c r="J55" i="3" s="1"/>
  <c r="D56" i="3" s="1"/>
  <c r="I56" i="3" l="1"/>
  <c r="K56" i="3" s="1"/>
  <c r="F56" i="3"/>
  <c r="G56" i="3" l="1"/>
  <c r="H56" i="3" s="1"/>
  <c r="J56" i="3" s="1"/>
  <c r="D57" i="3" s="1"/>
  <c r="I57" i="3" l="1"/>
  <c r="K57" i="3" s="1"/>
  <c r="F57" i="3"/>
  <c r="G57" i="3" l="1"/>
  <c r="H57" i="3" s="1"/>
  <c r="J57" i="3" s="1"/>
  <c r="D58" i="3" s="1"/>
  <c r="F58" i="3" l="1"/>
  <c r="I58" i="3"/>
  <c r="K58" i="3" s="1"/>
  <c r="G58" i="3" l="1"/>
  <c r="H58" i="3" s="1"/>
  <c r="J58" i="3" s="1"/>
  <c r="D59" i="3" s="1"/>
  <c r="I59" i="3" l="1"/>
  <c r="K59" i="3" s="1"/>
  <c r="F59" i="3"/>
  <c r="G59" i="3" l="1"/>
  <c r="H59" i="3" s="1"/>
  <c r="J59" i="3" s="1"/>
  <c r="D60" i="3" s="1"/>
  <c r="I60" i="3" l="1"/>
  <c r="K60" i="3" s="1"/>
  <c r="F60" i="3"/>
  <c r="G60" i="3" l="1"/>
  <c r="H60" i="3" s="1"/>
  <c r="J60" i="3" s="1"/>
  <c r="D61" i="3" s="1"/>
  <c r="F61" i="3" l="1"/>
  <c r="I61" i="3"/>
  <c r="K61" i="3" s="1"/>
  <c r="G61" i="3" l="1"/>
  <c r="H61" i="3" s="1"/>
  <c r="J61" i="3" s="1"/>
  <c r="E7" i="2" s="1"/>
  <c r="D62" i="3" l="1"/>
  <c r="I62" i="3" s="1"/>
  <c r="K62" i="3" s="1"/>
  <c r="F62" i="3" l="1"/>
  <c r="G62" i="3" s="1"/>
  <c r="H62" i="3" s="1"/>
  <c r="J62" i="3" s="1"/>
  <c r="D63" i="3" s="1"/>
  <c r="I63" i="3" l="1"/>
  <c r="K63" i="3" s="1"/>
  <c r="F63" i="3"/>
  <c r="G63" i="3" l="1"/>
  <c r="H63" i="3" s="1"/>
  <c r="J63" i="3" s="1"/>
  <c r="D64" i="3" s="1"/>
  <c r="I64" i="3" l="1"/>
  <c r="K64" i="3" s="1"/>
  <c r="F64" i="3"/>
  <c r="G64" i="3" l="1"/>
  <c r="H64" i="3" s="1"/>
  <c r="J64" i="3" s="1"/>
  <c r="D65" i="3" l="1"/>
  <c r="I65" i="3" s="1"/>
  <c r="K65" i="3" s="1"/>
  <c r="F7" i="2"/>
  <c r="F65" i="3" l="1"/>
  <c r="G65" i="3" s="1"/>
  <c r="H65" i="3" s="1"/>
  <c r="J65" i="3" s="1"/>
  <c r="D66" i="3" s="1"/>
  <c r="I66" i="3" l="1"/>
  <c r="K66" i="3" s="1"/>
  <c r="F66" i="3"/>
  <c r="G66" i="3" l="1"/>
  <c r="H66" i="3" s="1"/>
  <c r="J66" i="3" s="1"/>
  <c r="D67" i="3" s="1"/>
  <c r="I67" i="3" l="1"/>
  <c r="K67" i="3" s="1"/>
  <c r="F67" i="3"/>
  <c r="G67" i="3" l="1"/>
  <c r="H67" i="3" s="1"/>
  <c r="J67" i="3" s="1"/>
  <c r="D68" i="3" s="1"/>
  <c r="I68" i="3" l="1"/>
  <c r="K68" i="3" s="1"/>
  <c r="F68" i="3"/>
  <c r="G68" i="3" l="1"/>
  <c r="H68" i="3" s="1"/>
  <c r="J68" i="3" s="1"/>
  <c r="D69" i="3" s="1"/>
  <c r="F69" i="3" l="1"/>
  <c r="I69" i="3"/>
  <c r="K69" i="3" s="1"/>
  <c r="G69" i="3" l="1"/>
  <c r="H69" i="3" s="1"/>
  <c r="J69" i="3" s="1"/>
  <c r="D70" i="3" s="1"/>
  <c r="I70" i="3" l="1"/>
  <c r="K70" i="3" s="1"/>
  <c r="F70" i="3"/>
  <c r="G70" i="3" l="1"/>
  <c r="H70" i="3" s="1"/>
  <c r="J70" i="3" s="1"/>
  <c r="D71" i="3" s="1"/>
  <c r="I71" i="3" l="1"/>
  <c r="K71" i="3" s="1"/>
  <c r="F71" i="3"/>
  <c r="G71" i="3" l="1"/>
  <c r="H71" i="3" s="1"/>
  <c r="J71" i="3" s="1"/>
  <c r="D72" i="3" s="1"/>
  <c r="I72" i="3" l="1"/>
  <c r="K72" i="3" s="1"/>
  <c r="F72" i="3"/>
  <c r="G72" i="3" l="1"/>
  <c r="H72" i="3" s="1"/>
  <c r="J72" i="3" s="1"/>
  <c r="D73" i="3" s="1"/>
  <c r="I73" i="3" l="1"/>
  <c r="K73" i="3" s="1"/>
  <c r="F73" i="3"/>
  <c r="G73" i="3" l="1"/>
  <c r="H73" i="3" s="1"/>
  <c r="J73" i="3" s="1"/>
  <c r="E8" i="2" s="1"/>
  <c r="D74" i="3" l="1"/>
  <c r="I74" i="3" s="1"/>
  <c r="K74" i="3" s="1"/>
  <c r="F74" i="3" l="1"/>
  <c r="G74" i="3" s="1"/>
  <c r="H74" i="3" s="1"/>
  <c r="J74" i="3" s="1"/>
  <c r="D75" i="3" s="1"/>
  <c r="I75" i="3" l="1"/>
  <c r="K75" i="3" s="1"/>
  <c r="F75" i="3"/>
  <c r="G75" i="3" l="1"/>
  <c r="H75" i="3" s="1"/>
  <c r="J75" i="3" s="1"/>
  <c r="D76" i="3" s="1"/>
  <c r="I76" i="3" l="1"/>
  <c r="K76" i="3" s="1"/>
  <c r="F76" i="3"/>
  <c r="G76" i="3" l="1"/>
  <c r="H76" i="3" s="1"/>
  <c r="J76" i="3" s="1"/>
  <c r="D77" i="3" s="1"/>
  <c r="I77" i="3" l="1"/>
  <c r="K77" i="3" s="1"/>
  <c r="F77" i="3"/>
  <c r="G77" i="3" l="1"/>
  <c r="H77" i="3" s="1"/>
  <c r="J77" i="3" s="1"/>
  <c r="D78" i="3" l="1"/>
  <c r="I78" i="3" s="1"/>
  <c r="K78" i="3" s="1"/>
  <c r="F8" i="2"/>
  <c r="F78" i="3" l="1"/>
  <c r="G78" i="3" s="1"/>
  <c r="H78" i="3" s="1"/>
  <c r="J78" i="3" s="1"/>
  <c r="D79" i="3" s="1"/>
  <c r="I79" i="3" l="1"/>
  <c r="K79" i="3" s="1"/>
  <c r="F79" i="3"/>
  <c r="G79" i="3" l="1"/>
  <c r="H79" i="3" s="1"/>
  <c r="J79" i="3" s="1"/>
  <c r="D80" i="3" s="1"/>
  <c r="I80" i="3" l="1"/>
  <c r="K80" i="3" s="1"/>
  <c r="F80" i="3"/>
  <c r="G80" i="3" l="1"/>
  <c r="H80" i="3" s="1"/>
  <c r="J80" i="3" s="1"/>
  <c r="D81" i="3" s="1"/>
  <c r="I81" i="3" l="1"/>
  <c r="K81" i="3" s="1"/>
  <c r="F81" i="3"/>
  <c r="G81" i="3" l="1"/>
  <c r="H81" i="3" s="1"/>
  <c r="J81" i="3" s="1"/>
  <c r="D82" i="3" s="1"/>
  <c r="F82" i="3" l="1"/>
  <c r="I82" i="3"/>
  <c r="K82" i="3" s="1"/>
  <c r="G82" i="3" l="1"/>
  <c r="H82" i="3" s="1"/>
  <c r="J82" i="3" s="1"/>
  <c r="D83" i="3" s="1"/>
  <c r="I83" i="3" l="1"/>
  <c r="K83" i="3" s="1"/>
  <c r="F83" i="3"/>
  <c r="G83" i="3" l="1"/>
  <c r="H83" i="3" s="1"/>
  <c r="J83" i="3" s="1"/>
  <c r="D84" i="3" s="1"/>
  <c r="I84" i="3" l="1"/>
  <c r="K84" i="3" s="1"/>
  <c r="F84" i="3"/>
  <c r="G84" i="3" l="1"/>
  <c r="H84" i="3" s="1"/>
  <c r="J84" i="3" s="1"/>
  <c r="D85" i="3" s="1"/>
  <c r="I85" i="3" l="1"/>
  <c r="K85" i="3" s="1"/>
  <c r="F85" i="3"/>
  <c r="G85" i="3" l="1"/>
  <c r="H85" i="3" s="1"/>
  <c r="J85" i="3" s="1"/>
  <c r="E9" i="2" s="1"/>
  <c r="D86" i="3" l="1"/>
  <c r="I86" i="3" s="1"/>
  <c r="K86" i="3" s="1"/>
  <c r="F86" i="3" l="1"/>
  <c r="G86" i="3" s="1"/>
  <c r="H86" i="3" s="1"/>
  <c r="J86" i="3" s="1"/>
  <c r="D87" i="3" s="1"/>
  <c r="I87" i="3" l="1"/>
  <c r="K87" i="3" s="1"/>
  <c r="F87" i="3"/>
  <c r="G87" i="3" l="1"/>
  <c r="H87" i="3" s="1"/>
  <c r="J87" i="3" s="1"/>
  <c r="D88" i="3" s="1"/>
  <c r="I88" i="3" l="1"/>
  <c r="K88" i="3" s="1"/>
  <c r="F88" i="3"/>
  <c r="G88" i="3" l="1"/>
  <c r="H88" i="3" s="1"/>
  <c r="J88" i="3" s="1"/>
  <c r="D89" i="3" s="1"/>
  <c r="I89" i="3" l="1"/>
  <c r="K89" i="3" s="1"/>
  <c r="F89" i="3"/>
  <c r="G89" i="3" l="1"/>
  <c r="H89" i="3" s="1"/>
  <c r="J89" i="3" s="1"/>
  <c r="D90" i="3" s="1"/>
  <c r="F90" i="3" l="1"/>
  <c r="I90" i="3"/>
  <c r="K90" i="3" s="1"/>
  <c r="G90" i="3" l="1"/>
  <c r="H90" i="3" s="1"/>
  <c r="J90" i="3" s="1"/>
  <c r="D91" i="3" l="1"/>
  <c r="I91" i="3" s="1"/>
  <c r="K91" i="3" s="1"/>
  <c r="F9" i="2"/>
  <c r="F91" i="3" l="1"/>
  <c r="G91" i="3" s="1"/>
  <c r="H91" i="3" s="1"/>
  <c r="J91" i="3" s="1"/>
  <c r="D92" i="3" s="1"/>
  <c r="I92" i="3" l="1"/>
  <c r="K92" i="3" s="1"/>
  <c r="F92" i="3"/>
  <c r="G92" i="3" l="1"/>
  <c r="H92" i="3" s="1"/>
  <c r="J92" i="3" s="1"/>
  <c r="D93" i="3" s="1"/>
  <c r="I93" i="3" l="1"/>
  <c r="K93" i="3" s="1"/>
  <c r="F93" i="3"/>
  <c r="G93" i="3" l="1"/>
  <c r="H93" i="3" s="1"/>
  <c r="J93" i="3" s="1"/>
  <c r="D94" i="3" s="1"/>
  <c r="F94" i="3" l="1"/>
  <c r="I94" i="3"/>
  <c r="K94" i="3" s="1"/>
  <c r="G94" i="3" l="1"/>
  <c r="H94" i="3" s="1"/>
  <c r="J94" i="3" s="1"/>
  <c r="D95" i="3" s="1"/>
  <c r="F95" i="3" l="1"/>
  <c r="I95" i="3"/>
  <c r="K95" i="3" s="1"/>
  <c r="G95" i="3" l="1"/>
  <c r="H95" i="3" s="1"/>
  <c r="J95" i="3" s="1"/>
  <c r="D96" i="3" s="1"/>
  <c r="I96" i="3" l="1"/>
  <c r="K96" i="3" s="1"/>
  <c r="F96" i="3"/>
  <c r="G96" i="3" l="1"/>
  <c r="H96" i="3" s="1"/>
  <c r="J96" i="3" s="1"/>
  <c r="D97" i="3" s="1"/>
  <c r="F97" i="3" l="1"/>
  <c r="I97" i="3"/>
  <c r="K97" i="3" s="1"/>
  <c r="G97" i="3" l="1"/>
  <c r="H97" i="3" s="1"/>
  <c r="J97" i="3" s="1"/>
  <c r="E10" i="2" s="1"/>
  <c r="D98" i="3" l="1"/>
  <c r="I98" i="3" s="1"/>
  <c r="K98" i="3" s="1"/>
  <c r="F98" i="3" l="1"/>
  <c r="G98" i="3" s="1"/>
  <c r="H98" i="3" s="1"/>
  <c r="J98" i="3" s="1"/>
  <c r="D99" i="3" s="1"/>
  <c r="I99" i="3" l="1"/>
  <c r="K99" i="3" s="1"/>
  <c r="F99" i="3"/>
  <c r="G99" i="3" l="1"/>
  <c r="H99" i="3" s="1"/>
  <c r="J99" i="3" s="1"/>
  <c r="D100" i="3" s="1"/>
  <c r="I100" i="3" l="1"/>
  <c r="K100" i="3" s="1"/>
  <c r="F100" i="3"/>
  <c r="G100" i="3" l="1"/>
  <c r="H100" i="3" s="1"/>
  <c r="J100" i="3" s="1"/>
  <c r="D101" i="3" s="1"/>
  <c r="I101" i="3" l="1"/>
  <c r="K101" i="3" s="1"/>
  <c r="F101" i="3"/>
  <c r="G101" i="3" l="1"/>
  <c r="H101" i="3" s="1"/>
  <c r="J101" i="3" s="1"/>
  <c r="D102" i="3" s="1"/>
  <c r="I102" i="3" l="1"/>
  <c r="K102" i="3" s="1"/>
  <c r="F102" i="3"/>
  <c r="G102" i="3" l="1"/>
  <c r="H102" i="3" s="1"/>
  <c r="J102" i="3" s="1"/>
  <c r="D103" i="3" s="1"/>
  <c r="I103" i="3" l="1"/>
  <c r="K103" i="3" s="1"/>
  <c r="F103" i="3"/>
  <c r="G103" i="3" l="1"/>
  <c r="H103" i="3" s="1"/>
  <c r="J103" i="3" s="1"/>
  <c r="D104" i="3" l="1"/>
  <c r="I104" i="3" s="1"/>
  <c r="K104" i="3" s="1"/>
  <c r="F10" i="2"/>
  <c r="F104" i="3" l="1"/>
  <c r="G104" i="3" s="1"/>
  <c r="H104" i="3" s="1"/>
  <c r="J104" i="3" s="1"/>
  <c r="D105" i="3" s="1"/>
  <c r="I105" i="3" l="1"/>
  <c r="K105" i="3" s="1"/>
  <c r="F105" i="3"/>
  <c r="G105" i="3" l="1"/>
  <c r="H105" i="3" s="1"/>
  <c r="J105" i="3" s="1"/>
  <c r="D106" i="3" s="1"/>
  <c r="F106" i="3" l="1"/>
  <c r="I106" i="3"/>
  <c r="K106" i="3" s="1"/>
  <c r="G106" i="3" l="1"/>
  <c r="H106" i="3" s="1"/>
  <c r="J106" i="3" s="1"/>
  <c r="D107" i="3" s="1"/>
  <c r="F107" i="3" l="1"/>
  <c r="I107" i="3"/>
  <c r="K107" i="3" s="1"/>
  <c r="G107" i="3" l="1"/>
  <c r="H107" i="3" s="1"/>
  <c r="J107" i="3" s="1"/>
  <c r="D108" i="3" s="1"/>
  <c r="I108" i="3" l="1"/>
  <c r="K108" i="3" s="1"/>
  <c r="F108" i="3"/>
  <c r="G108" i="3" l="1"/>
  <c r="H108" i="3" s="1"/>
  <c r="J108" i="3" s="1"/>
  <c r="D109" i="3" s="1"/>
  <c r="I109" i="3" l="1"/>
  <c r="K109" i="3" s="1"/>
  <c r="F109" i="3"/>
  <c r="G109" i="3" l="1"/>
  <c r="H109" i="3" s="1"/>
  <c r="J109" i="3" s="1"/>
  <c r="E11" i="2" s="1"/>
  <c r="D110" i="3" l="1"/>
  <c r="I110" i="3" s="1"/>
  <c r="K110" i="3" s="1"/>
  <c r="F110" i="3" l="1"/>
  <c r="G110" i="3" s="1"/>
  <c r="H110" i="3" s="1"/>
  <c r="J110" i="3" s="1"/>
  <c r="D111" i="3" s="1"/>
  <c r="I111" i="3" l="1"/>
  <c r="K111" i="3" s="1"/>
  <c r="F111" i="3"/>
  <c r="G111" i="3" l="1"/>
  <c r="H111" i="3" s="1"/>
  <c r="J111" i="3" s="1"/>
  <c r="D112" i="3" s="1"/>
  <c r="I112" i="3" l="1"/>
  <c r="K112" i="3" s="1"/>
  <c r="F112" i="3"/>
  <c r="G112" i="3" l="1"/>
  <c r="H112" i="3" s="1"/>
  <c r="J112" i="3" s="1"/>
  <c r="D113" i="3" s="1"/>
  <c r="I113" i="3" l="1"/>
  <c r="K113" i="3" s="1"/>
  <c r="F113" i="3"/>
  <c r="G113" i="3" l="1"/>
  <c r="H113" i="3" s="1"/>
  <c r="J113" i="3" s="1"/>
  <c r="D114" i="3" s="1"/>
  <c r="I114" i="3" l="1"/>
  <c r="K114" i="3" s="1"/>
  <c r="F114" i="3"/>
  <c r="G114" i="3" l="1"/>
  <c r="H114" i="3" s="1"/>
  <c r="J114" i="3" s="1"/>
  <c r="D115" i="3" s="1"/>
  <c r="I115" i="3" l="1"/>
  <c r="K115" i="3" s="1"/>
  <c r="F115" i="3"/>
  <c r="G115" i="3" l="1"/>
  <c r="H115" i="3" s="1"/>
  <c r="J115" i="3" s="1"/>
  <c r="D116" i="3" s="1"/>
  <c r="I116" i="3" l="1"/>
  <c r="K116" i="3" s="1"/>
  <c r="F116" i="3"/>
  <c r="G116" i="3" l="1"/>
  <c r="H116" i="3" s="1"/>
  <c r="J116" i="3" s="1"/>
  <c r="D117" i="3" l="1"/>
  <c r="I117" i="3" s="1"/>
  <c r="K117" i="3" s="1"/>
  <c r="F11" i="2"/>
  <c r="F117" i="3" l="1"/>
  <c r="G117" i="3" s="1"/>
  <c r="H117" i="3" s="1"/>
  <c r="J117" i="3" s="1"/>
  <c r="D118" i="3" s="1"/>
  <c r="I118" i="3" l="1"/>
  <c r="K118" i="3" s="1"/>
  <c r="F118" i="3"/>
  <c r="G118" i="3" l="1"/>
  <c r="H118" i="3" s="1"/>
  <c r="J118" i="3" s="1"/>
  <c r="D119" i="3" s="1"/>
  <c r="I119" i="3" l="1"/>
  <c r="K119" i="3" s="1"/>
  <c r="F119" i="3"/>
  <c r="G119" i="3" l="1"/>
  <c r="H119" i="3" s="1"/>
  <c r="J119" i="3" s="1"/>
  <c r="D120" i="3" s="1"/>
  <c r="I120" i="3" l="1"/>
  <c r="K120" i="3" s="1"/>
  <c r="F120" i="3"/>
  <c r="G120" i="3" l="1"/>
  <c r="H120" i="3" s="1"/>
  <c r="J120" i="3" s="1"/>
  <c r="D121" i="3" s="1"/>
  <c r="I121" i="3" l="1"/>
  <c r="K121" i="3" s="1"/>
  <c r="F121" i="3"/>
  <c r="G121" i="3" l="1"/>
  <c r="H121" i="3" s="1"/>
  <c r="J121" i="3" s="1"/>
  <c r="E12" i="2" s="1"/>
  <c r="D122" i="3" l="1"/>
  <c r="I122" i="3" s="1"/>
  <c r="K122" i="3" s="1"/>
  <c r="F122" i="3" l="1"/>
  <c r="G122" i="3" s="1"/>
  <c r="H122" i="3" s="1"/>
  <c r="J122" i="3" s="1"/>
  <c r="D123" i="3" s="1"/>
  <c r="I123" i="3" l="1"/>
  <c r="K123" i="3" s="1"/>
  <c r="F123" i="3"/>
  <c r="G123" i="3" l="1"/>
  <c r="H123" i="3" s="1"/>
  <c r="J123" i="3" s="1"/>
  <c r="D124" i="3" s="1"/>
  <c r="I124" i="3" l="1"/>
  <c r="K124" i="3" s="1"/>
  <c r="F124" i="3"/>
  <c r="G124" i="3" l="1"/>
  <c r="H124" i="3" s="1"/>
  <c r="J124" i="3" s="1"/>
  <c r="D125" i="3" s="1"/>
  <c r="I125" i="3" l="1"/>
  <c r="K125" i="3" s="1"/>
  <c r="F125" i="3"/>
  <c r="G125" i="3" l="1"/>
  <c r="H125" i="3" s="1"/>
  <c r="J125" i="3" s="1"/>
  <c r="D126" i="3" s="1"/>
  <c r="I126" i="3" l="1"/>
  <c r="K126" i="3" s="1"/>
  <c r="F126" i="3"/>
  <c r="G126" i="3" l="1"/>
  <c r="H126" i="3" s="1"/>
  <c r="J126" i="3" s="1"/>
  <c r="D127" i="3" s="1"/>
  <c r="F127" i="3" l="1"/>
  <c r="I127" i="3"/>
  <c r="K127" i="3" s="1"/>
  <c r="G127" i="3" l="1"/>
  <c r="H127" i="3" s="1"/>
  <c r="J127" i="3" s="1"/>
  <c r="D128" i="3" s="1"/>
  <c r="I128" i="3" l="1"/>
  <c r="K128" i="3" s="1"/>
  <c r="F128" i="3"/>
  <c r="G128" i="3" l="1"/>
  <c r="H128" i="3" s="1"/>
  <c r="J128" i="3" s="1"/>
  <c r="D129" i="3" s="1"/>
  <c r="I129" i="3" l="1"/>
  <c r="K129" i="3" s="1"/>
  <c r="F129" i="3"/>
  <c r="G129" i="3" l="1"/>
  <c r="H129" i="3" s="1"/>
  <c r="J129" i="3" s="1"/>
  <c r="D130" i="3" l="1"/>
  <c r="I130" i="3" s="1"/>
  <c r="K130" i="3" s="1"/>
  <c r="F12" i="2"/>
  <c r="F130" i="3" l="1"/>
  <c r="G130" i="3" s="1"/>
  <c r="H130" i="3" s="1"/>
  <c r="J130" i="3" s="1"/>
  <c r="D131" i="3" s="1"/>
  <c r="I131" i="3" l="1"/>
  <c r="K131" i="3" s="1"/>
  <c r="F131" i="3"/>
  <c r="G131" i="3" l="1"/>
  <c r="H131" i="3" s="1"/>
  <c r="J131" i="3" s="1"/>
  <c r="D132" i="3" s="1"/>
  <c r="I132" i="3" l="1"/>
  <c r="K132" i="3" s="1"/>
  <c r="F132" i="3"/>
  <c r="G132" i="3" l="1"/>
  <c r="H132" i="3" s="1"/>
  <c r="J132" i="3" s="1"/>
  <c r="D133" i="3" s="1"/>
  <c r="F133" i="3" l="1"/>
  <c r="I133" i="3"/>
  <c r="K133" i="3" s="1"/>
  <c r="G133" i="3" l="1"/>
  <c r="H133" i="3" s="1"/>
  <c r="J133" i="3" s="1"/>
  <c r="E13" i="2" s="1"/>
  <c r="D134" i="3" l="1"/>
  <c r="I134" i="3" s="1"/>
  <c r="K134" i="3" s="1"/>
  <c r="F134" i="3" l="1"/>
  <c r="G134" i="3" s="1"/>
  <c r="H134" i="3" s="1"/>
  <c r="J134" i="3" s="1"/>
  <c r="D135" i="3" s="1"/>
  <c r="F135" i="3" l="1"/>
  <c r="I135" i="3"/>
  <c r="K135" i="3" s="1"/>
  <c r="G135" i="3" l="1"/>
  <c r="H135" i="3" s="1"/>
  <c r="J135" i="3" s="1"/>
  <c r="D136" i="3" s="1"/>
  <c r="I136" i="3" l="1"/>
  <c r="K136" i="3" s="1"/>
  <c r="F136" i="3"/>
  <c r="G136" i="3" l="1"/>
  <c r="H136" i="3" s="1"/>
  <c r="J136" i="3" s="1"/>
  <c r="D137" i="3" s="1"/>
  <c r="F137" i="3" l="1"/>
  <c r="I137" i="3"/>
  <c r="K137" i="3" s="1"/>
  <c r="G137" i="3" l="1"/>
  <c r="H137" i="3" s="1"/>
  <c r="J137" i="3" s="1"/>
  <c r="D138" i="3" s="1"/>
  <c r="F138" i="3" l="1"/>
  <c r="I138" i="3"/>
  <c r="K138" i="3" s="1"/>
  <c r="G138" i="3" l="1"/>
  <c r="H138" i="3" s="1"/>
  <c r="J138" i="3" s="1"/>
  <c r="D139" i="3" s="1"/>
  <c r="I139" i="3" l="1"/>
  <c r="K139" i="3" s="1"/>
  <c r="F139" i="3"/>
  <c r="G139" i="3" l="1"/>
  <c r="H139" i="3" s="1"/>
  <c r="J139" i="3" s="1"/>
  <c r="D140" i="3" s="1"/>
  <c r="I140" i="3" l="1"/>
  <c r="K140" i="3" s="1"/>
  <c r="F140" i="3"/>
  <c r="G140" i="3" l="1"/>
  <c r="H140" i="3" s="1"/>
  <c r="J140" i="3" s="1"/>
  <c r="D141" i="3" s="1"/>
  <c r="F141" i="3" l="1"/>
  <c r="I141" i="3"/>
  <c r="K141" i="3" s="1"/>
  <c r="G141" i="3" l="1"/>
  <c r="H141" i="3" s="1"/>
  <c r="J141" i="3" s="1"/>
  <c r="D142" i="3" s="1"/>
  <c r="I142" i="3" l="1"/>
  <c r="K142" i="3" s="1"/>
  <c r="F142" i="3"/>
  <c r="G142" i="3" l="1"/>
  <c r="H142" i="3" s="1"/>
  <c r="J142" i="3" s="1"/>
  <c r="D143" i="3" l="1"/>
  <c r="I143" i="3" s="1"/>
  <c r="K143" i="3" s="1"/>
  <c r="F13" i="2"/>
  <c r="F143" i="3" l="1"/>
  <c r="G143" i="3" s="1"/>
  <c r="H143" i="3" s="1"/>
  <c r="J143" i="3" s="1"/>
  <c r="D144" i="3" s="1"/>
  <c r="F144" i="3" l="1"/>
  <c r="I144" i="3"/>
  <c r="K144" i="3" s="1"/>
  <c r="G144" i="3" l="1"/>
  <c r="H144" i="3" s="1"/>
  <c r="J144" i="3" s="1"/>
  <c r="D145" i="3" s="1"/>
  <c r="I145" i="3" l="1"/>
  <c r="K145" i="3" s="1"/>
  <c r="F145" i="3"/>
  <c r="G145" i="3" l="1"/>
  <c r="H145" i="3" s="1"/>
  <c r="J145" i="3" s="1"/>
  <c r="E14" i="2" s="1"/>
  <c r="D146" i="3" l="1"/>
  <c r="I146" i="3" s="1"/>
  <c r="K146" i="3" s="1"/>
  <c r="F146" i="3" l="1"/>
  <c r="G146" i="3" s="1"/>
  <c r="H146" i="3" s="1"/>
  <c r="J146" i="3" s="1"/>
  <c r="D147" i="3" s="1"/>
  <c r="I147" i="3" l="1"/>
  <c r="K147" i="3" s="1"/>
  <c r="F147" i="3"/>
  <c r="G147" i="3" l="1"/>
  <c r="H147" i="3" s="1"/>
  <c r="J147" i="3" s="1"/>
  <c r="D148" i="3" s="1"/>
  <c r="I148" i="3" l="1"/>
  <c r="K148" i="3" s="1"/>
  <c r="F148" i="3"/>
  <c r="G148" i="3" l="1"/>
  <c r="H148" i="3" s="1"/>
  <c r="J148" i="3" s="1"/>
  <c r="D149" i="3" s="1"/>
  <c r="I149" i="3" l="1"/>
  <c r="K149" i="3" s="1"/>
  <c r="F149" i="3"/>
  <c r="G149" i="3" l="1"/>
  <c r="H149" i="3" s="1"/>
  <c r="J149" i="3" s="1"/>
  <c r="D150" i="3" s="1"/>
  <c r="F150" i="3" l="1"/>
  <c r="I150" i="3"/>
  <c r="K150" i="3" s="1"/>
  <c r="G150" i="3" l="1"/>
  <c r="H150" i="3" s="1"/>
  <c r="J150" i="3" s="1"/>
  <c r="D151" i="3" s="1"/>
  <c r="I151" i="3" l="1"/>
  <c r="K151" i="3" s="1"/>
  <c r="F151" i="3"/>
  <c r="G151" i="3" l="1"/>
  <c r="H151" i="3" s="1"/>
  <c r="J151" i="3" s="1"/>
  <c r="D152" i="3" s="1"/>
  <c r="F152" i="3" l="1"/>
  <c r="I152" i="3"/>
  <c r="K152" i="3" s="1"/>
  <c r="G152" i="3" l="1"/>
  <c r="H152" i="3" s="1"/>
  <c r="J152" i="3" s="1"/>
  <c r="D153" i="3" s="1"/>
  <c r="F153" i="3" l="1"/>
  <c r="I153" i="3"/>
  <c r="K153" i="3" s="1"/>
  <c r="G153" i="3" l="1"/>
  <c r="H153" i="3" s="1"/>
  <c r="J153" i="3" s="1"/>
  <c r="D154" i="3" s="1"/>
  <c r="I154" i="3" l="1"/>
  <c r="K154" i="3" s="1"/>
  <c r="F154" i="3"/>
  <c r="G154" i="3" l="1"/>
  <c r="H154" i="3" s="1"/>
  <c r="J154" i="3" s="1"/>
  <c r="D155" i="3" s="1"/>
  <c r="F155" i="3" l="1"/>
  <c r="I155" i="3"/>
  <c r="K155" i="3" s="1"/>
  <c r="G155" i="3" l="1"/>
  <c r="H155" i="3" s="1"/>
  <c r="J155" i="3" s="1"/>
  <c r="D156" i="3" l="1"/>
  <c r="I156" i="3" s="1"/>
  <c r="K156" i="3" s="1"/>
  <c r="F14" i="2"/>
  <c r="F156" i="3" l="1"/>
  <c r="G156" i="3" s="1"/>
  <c r="H156" i="3" s="1"/>
  <c r="J156" i="3" s="1"/>
  <c r="D157" i="3" s="1"/>
  <c r="I157" i="3" l="1"/>
  <c r="K157" i="3" s="1"/>
  <c r="F157" i="3"/>
  <c r="G157" i="3" l="1"/>
  <c r="H157" i="3" s="1"/>
  <c r="J157" i="3" s="1"/>
  <c r="E15" i="2" s="1"/>
  <c r="D158" i="3" l="1"/>
  <c r="I158" i="3" s="1"/>
  <c r="K158" i="3" s="1"/>
  <c r="F158" i="3" l="1"/>
  <c r="G158" i="3" s="1"/>
  <c r="H158" i="3" s="1"/>
  <c r="J158" i="3" s="1"/>
  <c r="D159" i="3" s="1"/>
  <c r="I159" i="3" l="1"/>
  <c r="K159" i="3" s="1"/>
  <c r="F159" i="3"/>
  <c r="G159" i="3" l="1"/>
  <c r="H159" i="3" s="1"/>
  <c r="J159" i="3" s="1"/>
  <c r="D160" i="3" s="1"/>
  <c r="I160" i="3" l="1"/>
  <c r="K160" i="3" s="1"/>
  <c r="F160" i="3"/>
  <c r="G160" i="3" l="1"/>
  <c r="H160" i="3" s="1"/>
  <c r="J160" i="3" s="1"/>
  <c r="D161" i="3" s="1"/>
  <c r="F161" i="3" l="1"/>
  <c r="I161" i="3"/>
  <c r="K161" i="3" s="1"/>
  <c r="G161" i="3" l="1"/>
  <c r="H161" i="3" s="1"/>
  <c r="J161" i="3" s="1"/>
  <c r="D162" i="3" s="1"/>
  <c r="F162" i="3" l="1"/>
  <c r="I162" i="3"/>
  <c r="K162" i="3" s="1"/>
  <c r="G162" i="3" l="1"/>
  <c r="H162" i="3" s="1"/>
  <c r="J162" i="3" s="1"/>
  <c r="D163" i="3" s="1"/>
  <c r="I163" i="3" l="1"/>
  <c r="K163" i="3" s="1"/>
  <c r="F163" i="3"/>
  <c r="G163" i="3" l="1"/>
  <c r="H163" i="3" s="1"/>
  <c r="J163" i="3" s="1"/>
  <c r="D164" i="3" s="1"/>
  <c r="I164" i="3" l="1"/>
  <c r="K164" i="3" s="1"/>
  <c r="F164" i="3"/>
  <c r="G164" i="3" l="1"/>
  <c r="H164" i="3" s="1"/>
  <c r="J164" i="3" s="1"/>
  <c r="D165" i="3" s="1"/>
  <c r="F165" i="3" l="1"/>
  <c r="I165" i="3"/>
  <c r="K165" i="3" s="1"/>
  <c r="G165" i="3" l="1"/>
  <c r="H165" i="3" s="1"/>
  <c r="J165" i="3" s="1"/>
  <c r="D166" i="3" s="1"/>
  <c r="I166" i="3" l="1"/>
  <c r="K166" i="3" s="1"/>
  <c r="F166" i="3"/>
  <c r="G166" i="3" l="1"/>
  <c r="H166" i="3" s="1"/>
  <c r="J166" i="3" s="1"/>
  <c r="D167" i="3" s="1"/>
  <c r="I167" i="3" l="1"/>
  <c r="K167" i="3" s="1"/>
  <c r="F167" i="3"/>
  <c r="G167" i="3" l="1"/>
  <c r="H167" i="3" s="1"/>
  <c r="J167" i="3" s="1"/>
  <c r="D168" i="3" s="1"/>
  <c r="F168" i="3" l="1"/>
  <c r="I168" i="3"/>
  <c r="K168" i="3" s="1"/>
  <c r="G168" i="3" l="1"/>
  <c r="H168" i="3" s="1"/>
  <c r="J168" i="3" s="1"/>
  <c r="D169" i="3" l="1"/>
  <c r="I169" i="3" s="1"/>
  <c r="K169" i="3" s="1"/>
  <c r="F15" i="2"/>
  <c r="D11" i="1" s="1"/>
  <c r="F169" i="3" l="1"/>
  <c r="G169" i="3" s="1"/>
  <c r="H169" i="3" s="1"/>
  <c r="J169" i="3" s="1"/>
  <c r="E16" i="2" s="1"/>
  <c r="D170" i="3" l="1"/>
  <c r="I170" i="3" s="1"/>
  <c r="K170" i="3" s="1"/>
  <c r="F170" i="3" l="1"/>
  <c r="G170" i="3" s="1"/>
  <c r="H170" i="3" s="1"/>
  <c r="J170" i="3" s="1"/>
  <c r="D171" i="3" s="1"/>
  <c r="I171" i="3" l="1"/>
  <c r="K171" i="3" s="1"/>
  <c r="F171" i="3"/>
  <c r="G171" i="3" l="1"/>
  <c r="H171" i="3" s="1"/>
  <c r="J171" i="3" s="1"/>
  <c r="D172" i="3" s="1"/>
  <c r="I172" i="3" l="1"/>
  <c r="K172" i="3" s="1"/>
  <c r="F172" i="3"/>
  <c r="G172" i="3" l="1"/>
  <c r="H172" i="3" s="1"/>
  <c r="J172" i="3" s="1"/>
  <c r="D173" i="3" s="1"/>
  <c r="I173" i="3" l="1"/>
  <c r="K173" i="3" s="1"/>
  <c r="F173" i="3"/>
  <c r="G173" i="3" l="1"/>
  <c r="H173" i="3" s="1"/>
  <c r="J173" i="3" s="1"/>
  <c r="D174" i="3" s="1"/>
  <c r="I174" i="3" l="1"/>
  <c r="K174" i="3" s="1"/>
  <c r="F174" i="3"/>
  <c r="G174" i="3" l="1"/>
  <c r="H174" i="3" s="1"/>
  <c r="J174" i="3" s="1"/>
  <c r="D175" i="3" s="1"/>
  <c r="I175" i="3" l="1"/>
  <c r="K175" i="3" s="1"/>
  <c r="F175" i="3"/>
  <c r="G175" i="3" l="1"/>
  <c r="H175" i="3" s="1"/>
  <c r="J175" i="3" s="1"/>
  <c r="D176" i="3" s="1"/>
  <c r="I176" i="3" l="1"/>
  <c r="K176" i="3" s="1"/>
  <c r="F176" i="3"/>
  <c r="G176" i="3" l="1"/>
  <c r="H176" i="3" s="1"/>
  <c r="J176" i="3" s="1"/>
  <c r="D177" i="3" s="1"/>
  <c r="F177" i="3" l="1"/>
  <c r="I177" i="3"/>
  <c r="K177" i="3" s="1"/>
  <c r="G177" i="3" l="1"/>
  <c r="H177" i="3" s="1"/>
  <c r="J177" i="3" s="1"/>
  <c r="D178" i="3" s="1"/>
  <c r="F178" i="3" l="1"/>
  <c r="I178" i="3"/>
  <c r="K178" i="3" s="1"/>
  <c r="G178" i="3" l="1"/>
  <c r="H178" i="3" s="1"/>
  <c r="J178" i="3" s="1"/>
  <c r="D179" i="3" s="1"/>
  <c r="I179" i="3" l="1"/>
  <c r="K179" i="3" s="1"/>
  <c r="F179" i="3"/>
  <c r="G179" i="3" l="1"/>
  <c r="H179" i="3" s="1"/>
  <c r="J179" i="3" s="1"/>
  <c r="D180" i="3" s="1"/>
  <c r="I180" i="3" l="1"/>
  <c r="K180" i="3" s="1"/>
  <c r="F180" i="3"/>
  <c r="G180" i="3" l="1"/>
  <c r="H180" i="3" s="1"/>
  <c r="J180" i="3" s="1"/>
  <c r="D181" i="3" s="1"/>
  <c r="F181" i="3" l="1"/>
  <c r="I181" i="3"/>
  <c r="K181" i="3" s="1"/>
  <c r="G181" i="3" l="1"/>
  <c r="H181" i="3" s="1"/>
  <c r="J181" i="3" s="1"/>
  <c r="E17" i="2" s="1"/>
  <c r="D182" i="3" l="1"/>
  <c r="I182" i="3" s="1"/>
  <c r="K182" i="3" s="1"/>
  <c r="F16" i="2"/>
  <c r="F182" i="3" l="1"/>
  <c r="G182" i="3" s="1"/>
  <c r="H182" i="3" s="1"/>
  <c r="J182" i="3" s="1"/>
  <c r="D183" i="3" s="1"/>
  <c r="F183" i="3" l="1"/>
  <c r="I183" i="3"/>
  <c r="K183" i="3" s="1"/>
  <c r="G183" i="3" l="1"/>
  <c r="H183" i="3" s="1"/>
  <c r="J183" i="3" s="1"/>
  <c r="D184" i="3" s="1"/>
  <c r="I184" i="3" l="1"/>
  <c r="K184" i="3" s="1"/>
  <c r="F184" i="3"/>
  <c r="G184" i="3" l="1"/>
  <c r="H184" i="3" s="1"/>
  <c r="J184" i="3" s="1"/>
  <c r="D185" i="3" s="1"/>
  <c r="I185" i="3" l="1"/>
  <c r="K185" i="3" s="1"/>
  <c r="F185" i="3"/>
  <c r="G185" i="3" l="1"/>
  <c r="H185" i="3" s="1"/>
  <c r="J185" i="3" s="1"/>
  <c r="D186" i="3" s="1"/>
  <c r="I186" i="3" l="1"/>
  <c r="K186" i="3" s="1"/>
  <c r="F186" i="3"/>
  <c r="G186" i="3" l="1"/>
  <c r="H186" i="3" s="1"/>
  <c r="J186" i="3" s="1"/>
  <c r="D187" i="3" s="1"/>
  <c r="I187" i="3" l="1"/>
  <c r="K187" i="3" s="1"/>
  <c r="F187" i="3"/>
  <c r="G187" i="3" l="1"/>
  <c r="H187" i="3" s="1"/>
  <c r="J187" i="3" s="1"/>
  <c r="D188" i="3" s="1"/>
  <c r="I188" i="3" l="1"/>
  <c r="K188" i="3" s="1"/>
  <c r="F188" i="3"/>
  <c r="G188" i="3" l="1"/>
  <c r="H188" i="3" s="1"/>
  <c r="J188" i="3" s="1"/>
  <c r="D189" i="3" s="1"/>
  <c r="F189" i="3" l="1"/>
  <c r="I189" i="3"/>
  <c r="K189" i="3" s="1"/>
  <c r="G189" i="3" l="1"/>
  <c r="H189" i="3" s="1"/>
  <c r="J189" i="3" s="1"/>
  <c r="D190" i="3" s="1"/>
  <c r="F190" i="3" l="1"/>
  <c r="I190" i="3"/>
  <c r="K190" i="3" s="1"/>
  <c r="G190" i="3" l="1"/>
  <c r="H190" i="3" s="1"/>
  <c r="J190" i="3" s="1"/>
  <c r="D191" i="3" s="1"/>
  <c r="F191" i="3" l="1"/>
  <c r="I191" i="3"/>
  <c r="K191" i="3" s="1"/>
  <c r="G191" i="3" l="1"/>
  <c r="H191" i="3" s="1"/>
  <c r="J191" i="3" s="1"/>
  <c r="D192" i="3" s="1"/>
  <c r="I192" i="3" l="1"/>
  <c r="K192" i="3" s="1"/>
  <c r="F192" i="3"/>
  <c r="G192" i="3" l="1"/>
  <c r="H192" i="3" s="1"/>
  <c r="J192" i="3" s="1"/>
  <c r="D193" i="3" s="1"/>
  <c r="I193" i="3" l="1"/>
  <c r="K193" i="3" s="1"/>
  <c r="F193" i="3"/>
  <c r="G193" i="3" l="1"/>
  <c r="H193" i="3" s="1"/>
  <c r="J193" i="3" s="1"/>
  <c r="E18" i="2" s="1"/>
  <c r="D194" i="3" l="1"/>
  <c r="I194" i="3" s="1"/>
  <c r="K194" i="3" s="1"/>
  <c r="F194" i="3" l="1"/>
  <c r="G194" i="3" s="1"/>
  <c r="H194" i="3" s="1"/>
  <c r="J194" i="3" s="1"/>
  <c r="D195" i="3" l="1"/>
  <c r="I195" i="3" s="1"/>
  <c r="K195" i="3" s="1"/>
  <c r="F17" i="2"/>
  <c r="F195" i="3" l="1"/>
  <c r="G195" i="3" s="1"/>
  <c r="H195" i="3" s="1"/>
  <c r="J195" i="3" s="1"/>
  <c r="D196" i="3" s="1"/>
  <c r="I196" i="3" l="1"/>
  <c r="K196" i="3" s="1"/>
  <c r="F196" i="3"/>
  <c r="G196" i="3" l="1"/>
  <c r="H196" i="3" s="1"/>
  <c r="J196" i="3" s="1"/>
  <c r="D197" i="3" s="1"/>
  <c r="I197" i="3" l="1"/>
  <c r="K197" i="3" s="1"/>
  <c r="F197" i="3"/>
  <c r="G197" i="3" l="1"/>
  <c r="H197" i="3" s="1"/>
  <c r="J197" i="3" s="1"/>
  <c r="D198" i="3" s="1"/>
  <c r="I198" i="3" l="1"/>
  <c r="K198" i="3" s="1"/>
  <c r="F198" i="3"/>
  <c r="G198" i="3" l="1"/>
  <c r="H198" i="3" s="1"/>
  <c r="J198" i="3" s="1"/>
  <c r="D199" i="3" s="1"/>
  <c r="I199" i="3" l="1"/>
  <c r="K199" i="3" s="1"/>
  <c r="F199" i="3"/>
  <c r="G199" i="3" l="1"/>
  <c r="H199" i="3" s="1"/>
  <c r="J199" i="3" s="1"/>
  <c r="D200" i="3" s="1"/>
  <c r="F200" i="3" l="1"/>
  <c r="I200" i="3"/>
  <c r="K200" i="3" s="1"/>
  <c r="G200" i="3" l="1"/>
  <c r="H200" i="3" s="1"/>
  <c r="J200" i="3" s="1"/>
  <c r="D201" i="3" s="1"/>
  <c r="F201" i="3" l="1"/>
  <c r="I201" i="3"/>
  <c r="K201" i="3" s="1"/>
  <c r="G201" i="3" l="1"/>
  <c r="H201" i="3" s="1"/>
  <c r="J201" i="3" s="1"/>
  <c r="D202" i="3" s="1"/>
  <c r="I202" i="3" l="1"/>
  <c r="K202" i="3" s="1"/>
  <c r="F202" i="3"/>
  <c r="G202" i="3" l="1"/>
  <c r="H202" i="3" s="1"/>
  <c r="J202" i="3" s="1"/>
  <c r="D203" i="3" s="1"/>
  <c r="I203" i="3" l="1"/>
  <c r="K203" i="3" s="1"/>
  <c r="F203" i="3"/>
  <c r="G203" i="3" l="1"/>
  <c r="H203" i="3" s="1"/>
  <c r="J203" i="3" s="1"/>
  <c r="D204" i="3" s="1"/>
  <c r="I204" i="3" l="1"/>
  <c r="K204" i="3" s="1"/>
  <c r="F204" i="3"/>
  <c r="G204" i="3" l="1"/>
  <c r="H204" i="3" s="1"/>
  <c r="J204" i="3" s="1"/>
  <c r="D205" i="3" s="1"/>
  <c r="I205" i="3" l="1"/>
  <c r="K205" i="3" s="1"/>
  <c r="F205" i="3"/>
  <c r="G205" i="3" l="1"/>
  <c r="H205" i="3" s="1"/>
  <c r="J205" i="3" s="1"/>
  <c r="E19" i="2" s="1"/>
  <c r="D206" i="3" l="1"/>
  <c r="F206" i="3" s="1"/>
  <c r="I206" i="3" l="1"/>
  <c r="K206" i="3" s="1"/>
  <c r="G206" i="3"/>
  <c r="H206" i="3" l="1"/>
  <c r="J206" i="3" s="1"/>
  <c r="D207" i="3" s="1"/>
  <c r="I207" i="3" s="1"/>
  <c r="K207" i="3" s="1"/>
  <c r="F207" i="3" l="1"/>
  <c r="G207" i="3" s="1"/>
  <c r="H207" i="3" s="1"/>
  <c r="J207" i="3" s="1"/>
  <c r="D208" i="3" l="1"/>
  <c r="F208" i="3" s="1"/>
  <c r="F18" i="2"/>
  <c r="I208" i="3" l="1"/>
  <c r="K208" i="3" s="1"/>
  <c r="G208" i="3"/>
  <c r="H208" i="3" l="1"/>
  <c r="J208" i="3" s="1"/>
  <c r="D209" i="3" s="1"/>
  <c r="I209" i="3" s="1"/>
  <c r="K209" i="3" s="1"/>
  <c r="F209" i="3" l="1"/>
  <c r="G209" i="3" s="1"/>
  <c r="H209" i="3" s="1"/>
  <c r="J209" i="3" s="1"/>
  <c r="D210" i="3" s="1"/>
  <c r="F210" i="3" l="1"/>
  <c r="I210" i="3"/>
  <c r="K210" i="3" s="1"/>
  <c r="G210" i="3" l="1"/>
  <c r="H210" i="3" s="1"/>
  <c r="J210" i="3" s="1"/>
  <c r="D211" i="3" s="1"/>
  <c r="I211" i="3" l="1"/>
  <c r="K211" i="3" s="1"/>
  <c r="F211" i="3"/>
  <c r="G211" i="3" l="1"/>
  <c r="H211" i="3" s="1"/>
  <c r="J211" i="3" s="1"/>
  <c r="D212" i="3" s="1"/>
  <c r="F212" i="3" l="1"/>
  <c r="I212" i="3"/>
  <c r="K212" i="3" s="1"/>
  <c r="G212" i="3" l="1"/>
  <c r="H212" i="3" s="1"/>
  <c r="J212" i="3" s="1"/>
  <c r="D213" i="3" s="1"/>
  <c r="I213" i="3" l="1"/>
  <c r="K213" i="3" s="1"/>
  <c r="F213" i="3"/>
  <c r="G213" i="3" l="1"/>
  <c r="H213" i="3" s="1"/>
  <c r="J213" i="3" s="1"/>
  <c r="D214" i="3" s="1"/>
  <c r="I214" i="3" l="1"/>
  <c r="K214" i="3" s="1"/>
  <c r="F214" i="3"/>
  <c r="G214" i="3" l="1"/>
  <c r="H214" i="3" s="1"/>
  <c r="J214" i="3" s="1"/>
  <c r="D215" i="3" s="1"/>
  <c r="I215" i="3" l="1"/>
  <c r="K215" i="3" s="1"/>
  <c r="F215" i="3"/>
  <c r="G215" i="3" l="1"/>
  <c r="H215" i="3" s="1"/>
  <c r="J215" i="3" s="1"/>
  <c r="D216" i="3" s="1"/>
  <c r="I216" i="3" l="1"/>
  <c r="K216" i="3" s="1"/>
  <c r="F216" i="3"/>
  <c r="G216" i="3" l="1"/>
  <c r="H216" i="3" s="1"/>
  <c r="J216" i="3" s="1"/>
  <c r="D217" i="3" s="1"/>
  <c r="I217" i="3" l="1"/>
  <c r="K217" i="3" s="1"/>
  <c r="F217" i="3"/>
  <c r="G217" i="3" l="1"/>
  <c r="H217" i="3" s="1"/>
  <c r="J217" i="3" s="1"/>
  <c r="E20" i="2" s="1"/>
  <c r="D218" i="3" l="1"/>
  <c r="F218" i="3" s="1"/>
  <c r="I218" i="3" l="1"/>
  <c r="K218" i="3" s="1"/>
  <c r="G218" i="3"/>
  <c r="H218" i="3" l="1"/>
  <c r="J218" i="3" s="1"/>
  <c r="D219" i="3" s="1"/>
  <c r="I219" i="3" s="1"/>
  <c r="K219" i="3" s="1"/>
  <c r="F219" i="3" l="1"/>
  <c r="G219" i="3" s="1"/>
  <c r="H219" i="3" s="1"/>
  <c r="J219" i="3" s="1"/>
  <c r="D220" i="3" s="1"/>
  <c r="I220" i="3" l="1"/>
  <c r="K220" i="3" s="1"/>
  <c r="F220" i="3"/>
  <c r="G220" i="3" l="1"/>
  <c r="H220" i="3" s="1"/>
  <c r="J220" i="3" s="1"/>
  <c r="D221" i="3" l="1"/>
  <c r="F221" i="3" s="1"/>
  <c r="F19" i="2"/>
  <c r="I221" i="3" l="1"/>
  <c r="K221" i="3" s="1"/>
  <c r="G221" i="3"/>
  <c r="H221" i="3" l="1"/>
  <c r="J221" i="3" s="1"/>
  <c r="D222" i="3" s="1"/>
  <c r="I222" i="3" s="1"/>
  <c r="K222" i="3" s="1"/>
  <c r="F222" i="3" l="1"/>
  <c r="G222" i="3" s="1"/>
  <c r="H222" i="3" s="1"/>
  <c r="J222" i="3" s="1"/>
  <c r="D223" i="3" s="1"/>
  <c r="I223" i="3" l="1"/>
  <c r="K223" i="3" s="1"/>
  <c r="F223" i="3"/>
  <c r="G223" i="3" l="1"/>
  <c r="H223" i="3" s="1"/>
  <c r="J223" i="3" s="1"/>
  <c r="D224" i="3" s="1"/>
  <c r="I224" i="3" l="1"/>
  <c r="K224" i="3" s="1"/>
  <c r="F224" i="3"/>
  <c r="G224" i="3" l="1"/>
  <c r="H224" i="3" s="1"/>
  <c r="J224" i="3" s="1"/>
  <c r="D225" i="3" s="1"/>
  <c r="F225" i="3" l="1"/>
  <c r="I225" i="3"/>
  <c r="K225" i="3" s="1"/>
  <c r="G225" i="3" l="1"/>
  <c r="H225" i="3" s="1"/>
  <c r="J225" i="3" s="1"/>
  <c r="D226" i="3" s="1"/>
  <c r="F226" i="3" l="1"/>
  <c r="I226" i="3"/>
  <c r="K226" i="3" s="1"/>
  <c r="G226" i="3" l="1"/>
  <c r="H226" i="3" s="1"/>
  <c r="J226" i="3" s="1"/>
  <c r="D227" i="3" s="1"/>
  <c r="F227" i="3" l="1"/>
  <c r="I227" i="3"/>
  <c r="K227" i="3" s="1"/>
  <c r="G227" i="3" l="1"/>
  <c r="H227" i="3" s="1"/>
  <c r="J227" i="3" s="1"/>
  <c r="D228" i="3" s="1"/>
  <c r="I228" i="3" l="1"/>
  <c r="K228" i="3" s="1"/>
  <c r="F228" i="3"/>
  <c r="G228" i="3" l="1"/>
  <c r="H228" i="3" s="1"/>
  <c r="J228" i="3" s="1"/>
  <c r="D229" i="3" s="1"/>
  <c r="I229" i="3" l="1"/>
  <c r="K229" i="3" s="1"/>
  <c r="F229" i="3"/>
  <c r="G229" i="3" l="1"/>
  <c r="H229" i="3" s="1"/>
  <c r="J229" i="3" s="1"/>
  <c r="E21" i="2" s="1"/>
  <c r="D230" i="3" l="1"/>
  <c r="I230" i="3" s="1"/>
  <c r="K230" i="3" s="1"/>
  <c r="F230" i="3" l="1"/>
  <c r="G230" i="3" s="1"/>
  <c r="H230" i="3" s="1"/>
  <c r="J230" i="3" s="1"/>
  <c r="D231" i="3" s="1"/>
  <c r="I231" i="3" l="1"/>
  <c r="K231" i="3" s="1"/>
  <c r="F231" i="3"/>
  <c r="G231" i="3" l="1"/>
  <c r="H231" i="3" s="1"/>
  <c r="J231" i="3" s="1"/>
  <c r="D232" i="3" s="1"/>
  <c r="I232" i="3" l="1"/>
  <c r="K232" i="3" s="1"/>
  <c r="F232" i="3"/>
  <c r="G232" i="3" l="1"/>
  <c r="H232" i="3" s="1"/>
  <c r="J232" i="3" s="1"/>
  <c r="D233" i="3" s="1"/>
  <c r="I233" i="3" l="1"/>
  <c r="K233" i="3" s="1"/>
  <c r="F233" i="3"/>
  <c r="G233" i="3" l="1"/>
  <c r="H233" i="3" s="1"/>
  <c r="J233" i="3" s="1"/>
  <c r="D234" i="3" l="1"/>
  <c r="F234" i="3" s="1"/>
  <c r="F20" i="2"/>
  <c r="I234" i="3" l="1"/>
  <c r="K234" i="3" s="1"/>
  <c r="G234" i="3"/>
  <c r="H234" i="3" l="1"/>
  <c r="J234" i="3" s="1"/>
  <c r="D235" i="3" s="1"/>
  <c r="I235" i="3" s="1"/>
  <c r="K235" i="3" s="1"/>
  <c r="F235" i="3" l="1"/>
  <c r="G235" i="3" s="1"/>
  <c r="H235" i="3" s="1"/>
  <c r="J235" i="3" s="1"/>
  <c r="D236" i="3" s="1"/>
  <c r="I236" i="3" l="1"/>
  <c r="K236" i="3" s="1"/>
  <c r="F236" i="3"/>
  <c r="G236" i="3" l="1"/>
  <c r="H236" i="3" s="1"/>
  <c r="J236" i="3" s="1"/>
  <c r="D237" i="3" s="1"/>
  <c r="I237" i="3" l="1"/>
  <c r="K237" i="3" s="1"/>
  <c r="F237" i="3"/>
  <c r="G237" i="3" l="1"/>
  <c r="H237" i="3" s="1"/>
  <c r="J237" i="3" s="1"/>
  <c r="D238" i="3" s="1"/>
  <c r="I238" i="3" l="1"/>
  <c r="K238" i="3" s="1"/>
  <c r="F238" i="3"/>
  <c r="G238" i="3" l="1"/>
  <c r="H238" i="3" s="1"/>
  <c r="J238" i="3" s="1"/>
  <c r="D239" i="3" s="1"/>
  <c r="I239" i="3" l="1"/>
  <c r="K239" i="3" s="1"/>
  <c r="F239" i="3"/>
  <c r="G239" i="3" l="1"/>
  <c r="H239" i="3" s="1"/>
  <c r="J239" i="3" s="1"/>
  <c r="D240" i="3" s="1"/>
  <c r="F240" i="3" l="1"/>
  <c r="I240" i="3"/>
  <c r="K240" i="3" s="1"/>
  <c r="G240" i="3" l="1"/>
  <c r="H240" i="3" s="1"/>
  <c r="J240" i="3" s="1"/>
  <c r="D241" i="3" s="1"/>
  <c r="I241" i="3" l="1"/>
  <c r="K241" i="3" s="1"/>
  <c r="F241" i="3"/>
  <c r="G241" i="3" l="1"/>
  <c r="H241" i="3" s="1"/>
  <c r="J241" i="3" s="1"/>
  <c r="E22" i="2" s="1"/>
  <c r="D242" i="3" l="1"/>
  <c r="I242" i="3" s="1"/>
  <c r="K242" i="3" s="1"/>
  <c r="F242" i="3" l="1"/>
  <c r="G242" i="3" s="1"/>
  <c r="H242" i="3" s="1"/>
  <c r="J242" i="3" s="1"/>
  <c r="D243" i="3" s="1"/>
  <c r="F243" i="3" l="1"/>
  <c r="I243" i="3"/>
  <c r="K243" i="3" s="1"/>
  <c r="G243" i="3" l="1"/>
  <c r="H243" i="3" s="1"/>
  <c r="J243" i="3" s="1"/>
  <c r="D244" i="3" s="1"/>
  <c r="I244" i="3" l="1"/>
  <c r="K244" i="3" s="1"/>
  <c r="F244" i="3"/>
  <c r="G244" i="3" l="1"/>
  <c r="H244" i="3" s="1"/>
  <c r="J244" i="3" s="1"/>
  <c r="D245" i="3" s="1"/>
  <c r="I245" i="3" l="1"/>
  <c r="K245" i="3" s="1"/>
  <c r="F245" i="3"/>
  <c r="G245" i="3" l="1"/>
  <c r="H245" i="3" s="1"/>
  <c r="J245" i="3" s="1"/>
  <c r="D246" i="3" s="1"/>
  <c r="I246" i="3" l="1"/>
  <c r="K246" i="3" s="1"/>
  <c r="F246" i="3"/>
  <c r="G246" i="3" l="1"/>
  <c r="H246" i="3" s="1"/>
  <c r="J246" i="3" s="1"/>
  <c r="D247" i="3" l="1"/>
  <c r="I247" i="3" s="1"/>
  <c r="K247" i="3" s="1"/>
  <c r="F21" i="2"/>
  <c r="F247" i="3" l="1"/>
  <c r="G247" i="3" s="1"/>
  <c r="H247" i="3" s="1"/>
  <c r="J247" i="3" s="1"/>
  <c r="D248" i="3" s="1"/>
  <c r="I248" i="3" l="1"/>
  <c r="K248" i="3" s="1"/>
  <c r="F248" i="3"/>
  <c r="G248" i="3" l="1"/>
  <c r="H248" i="3" s="1"/>
  <c r="J248" i="3" s="1"/>
  <c r="D249" i="3" s="1"/>
  <c r="I249" i="3" l="1"/>
  <c r="K249" i="3" s="1"/>
  <c r="F249" i="3"/>
  <c r="G249" i="3" l="1"/>
  <c r="H249" i="3" s="1"/>
  <c r="J249" i="3" s="1"/>
  <c r="D250" i="3" s="1"/>
  <c r="F250" i="3" l="1"/>
  <c r="I250" i="3"/>
  <c r="K250" i="3" s="1"/>
  <c r="G250" i="3" l="1"/>
  <c r="H250" i="3" s="1"/>
  <c r="J250" i="3" s="1"/>
  <c r="D251" i="3" s="1"/>
  <c r="F251" i="3" l="1"/>
  <c r="I251" i="3"/>
  <c r="K251" i="3" s="1"/>
  <c r="G251" i="3" l="1"/>
  <c r="H251" i="3" s="1"/>
  <c r="J251" i="3" s="1"/>
  <c r="D252" i="3" s="1"/>
  <c r="I252" i="3" l="1"/>
  <c r="K252" i="3" s="1"/>
  <c r="F252" i="3"/>
  <c r="G252" i="3" l="1"/>
  <c r="H252" i="3" s="1"/>
  <c r="J252" i="3" s="1"/>
  <c r="D253" i="3" s="1"/>
  <c r="I253" i="3" l="1"/>
  <c r="K253" i="3" s="1"/>
  <c r="F253" i="3"/>
  <c r="G253" i="3" l="1"/>
  <c r="H253" i="3" s="1"/>
  <c r="J253" i="3" s="1"/>
  <c r="E23" i="2" s="1"/>
  <c r="D254" i="3" l="1"/>
  <c r="I254" i="3" s="1"/>
  <c r="K254" i="3" s="1"/>
  <c r="F254" i="3" l="1"/>
  <c r="G254" i="3" s="1"/>
  <c r="H254" i="3" s="1"/>
  <c r="J254" i="3" s="1"/>
  <c r="D255" i="3" s="1"/>
  <c r="I255" i="3" l="1"/>
  <c r="K255" i="3" s="1"/>
  <c r="F255" i="3"/>
  <c r="G255" i="3" l="1"/>
  <c r="H255" i="3" s="1"/>
  <c r="J255" i="3" s="1"/>
  <c r="D256" i="3" s="1"/>
  <c r="I256" i="3" l="1"/>
  <c r="K256" i="3" s="1"/>
  <c r="F256" i="3"/>
  <c r="G256" i="3" l="1"/>
  <c r="H256" i="3" s="1"/>
  <c r="J256" i="3" s="1"/>
  <c r="D257" i="3" s="1"/>
  <c r="F257" i="3" l="1"/>
  <c r="I257" i="3"/>
  <c r="K257" i="3" s="1"/>
  <c r="G257" i="3" l="1"/>
  <c r="H257" i="3" s="1"/>
  <c r="J257" i="3" s="1"/>
  <c r="D258" i="3" s="1"/>
  <c r="I258" i="3" l="1"/>
  <c r="K258" i="3" s="1"/>
  <c r="F258" i="3"/>
  <c r="G258" i="3" l="1"/>
  <c r="H258" i="3" s="1"/>
  <c r="J258" i="3" s="1"/>
  <c r="D259" i="3" s="1"/>
  <c r="F259" i="3" l="1"/>
  <c r="I259" i="3"/>
  <c r="K259" i="3" s="1"/>
  <c r="G259" i="3" l="1"/>
  <c r="H259" i="3" s="1"/>
  <c r="J259" i="3" s="1"/>
  <c r="D260" i="3" l="1"/>
  <c r="F260" i="3" s="1"/>
  <c r="F22" i="2"/>
  <c r="I260" i="3" l="1"/>
  <c r="K260" i="3" s="1"/>
  <c r="G260" i="3"/>
  <c r="H260" i="3" l="1"/>
  <c r="J260" i="3" s="1"/>
  <c r="D261" i="3" s="1"/>
  <c r="I261" i="3" s="1"/>
  <c r="K261" i="3" s="1"/>
  <c r="F261" i="3" l="1"/>
  <c r="G261" i="3" s="1"/>
  <c r="H261" i="3" s="1"/>
  <c r="J261" i="3" s="1"/>
  <c r="D262" i="3" s="1"/>
  <c r="I262" i="3" l="1"/>
  <c r="K262" i="3" s="1"/>
  <c r="F262" i="3"/>
  <c r="G262" i="3" l="1"/>
  <c r="H262" i="3" s="1"/>
  <c r="J262" i="3" s="1"/>
  <c r="D263" i="3" s="1"/>
  <c r="I263" i="3" l="1"/>
  <c r="K263" i="3" s="1"/>
  <c r="F263" i="3"/>
  <c r="G263" i="3" l="1"/>
  <c r="H263" i="3" s="1"/>
  <c r="J263" i="3" s="1"/>
  <c r="D264" i="3" s="1"/>
  <c r="I264" i="3" l="1"/>
  <c r="K264" i="3" s="1"/>
  <c r="F264" i="3"/>
  <c r="G264" i="3" l="1"/>
  <c r="H264" i="3" s="1"/>
  <c r="J264" i="3" s="1"/>
  <c r="D265" i="3" s="1"/>
  <c r="F265" i="3" l="1"/>
  <c r="I265" i="3"/>
  <c r="K265" i="3" s="1"/>
  <c r="G265" i="3" l="1"/>
  <c r="H265" i="3" s="1"/>
  <c r="J265" i="3" s="1"/>
  <c r="E24" i="2" s="1"/>
  <c r="D266" i="3" l="1"/>
  <c r="I266" i="3" s="1"/>
  <c r="K266" i="3" s="1"/>
  <c r="F266" i="3" l="1"/>
  <c r="G266" i="3" s="1"/>
  <c r="H266" i="3" s="1"/>
  <c r="J266" i="3" s="1"/>
  <c r="D267" i="3" s="1"/>
  <c r="I267" i="3" l="1"/>
  <c r="K267" i="3" s="1"/>
  <c r="F267" i="3"/>
  <c r="G267" i="3" l="1"/>
  <c r="H267" i="3" s="1"/>
  <c r="J267" i="3" s="1"/>
  <c r="D268" i="3" s="1"/>
  <c r="F268" i="3" l="1"/>
  <c r="I268" i="3"/>
  <c r="K268" i="3" s="1"/>
  <c r="G268" i="3" l="1"/>
  <c r="H268" i="3" s="1"/>
  <c r="J268" i="3" s="1"/>
  <c r="D269" i="3" s="1"/>
  <c r="I269" i="3" l="1"/>
  <c r="K269" i="3" s="1"/>
  <c r="F269" i="3"/>
  <c r="G269" i="3" l="1"/>
  <c r="H269" i="3" s="1"/>
  <c r="J269" i="3" s="1"/>
  <c r="D270" i="3" s="1"/>
  <c r="F270" i="3" l="1"/>
  <c r="I270" i="3"/>
  <c r="K270" i="3" s="1"/>
  <c r="G270" i="3" l="1"/>
  <c r="H270" i="3" s="1"/>
  <c r="J270" i="3" s="1"/>
  <c r="D271" i="3" s="1"/>
  <c r="I271" i="3" l="1"/>
  <c r="K271" i="3" s="1"/>
  <c r="F271" i="3"/>
  <c r="G271" i="3" l="1"/>
  <c r="H271" i="3" s="1"/>
  <c r="J271" i="3" s="1"/>
  <c r="D272" i="3" s="1"/>
  <c r="I272" i="3" l="1"/>
  <c r="K272" i="3" s="1"/>
  <c r="F272" i="3"/>
  <c r="G272" i="3" l="1"/>
  <c r="H272" i="3" s="1"/>
  <c r="J272" i="3" s="1"/>
  <c r="D273" i="3" l="1"/>
  <c r="I273" i="3" s="1"/>
  <c r="K273" i="3" s="1"/>
  <c r="F23" i="2"/>
  <c r="F273" i="3" l="1"/>
  <c r="G273" i="3" s="1"/>
  <c r="H273" i="3" s="1"/>
  <c r="J273" i="3" s="1"/>
  <c r="D274" i="3" s="1"/>
  <c r="F274" i="3" l="1"/>
  <c r="I274" i="3"/>
  <c r="K274" i="3" s="1"/>
  <c r="G274" i="3" l="1"/>
  <c r="H274" i="3" s="1"/>
  <c r="J274" i="3" s="1"/>
  <c r="D275" i="3" s="1"/>
  <c r="F275" i="3" l="1"/>
  <c r="I275" i="3"/>
  <c r="K275" i="3" s="1"/>
  <c r="G275" i="3" l="1"/>
  <c r="H275" i="3" s="1"/>
  <c r="J275" i="3" s="1"/>
  <c r="D276" i="3" s="1"/>
  <c r="I276" i="3" l="1"/>
  <c r="K276" i="3" s="1"/>
  <c r="F276" i="3"/>
  <c r="G276" i="3" l="1"/>
  <c r="H276" i="3" s="1"/>
  <c r="J276" i="3" s="1"/>
  <c r="D277" i="3" s="1"/>
  <c r="I277" i="3" l="1"/>
  <c r="K277" i="3" s="1"/>
  <c r="F277" i="3"/>
  <c r="G277" i="3" l="1"/>
  <c r="H277" i="3" s="1"/>
  <c r="J277" i="3" s="1"/>
  <c r="E25" i="2" s="1"/>
  <c r="D278" i="3" l="1"/>
  <c r="F278" i="3" s="1"/>
  <c r="I278" i="3" l="1"/>
  <c r="K278" i="3" s="1"/>
  <c r="G278" i="3"/>
  <c r="H278" i="3" l="1"/>
  <c r="J278" i="3" s="1"/>
  <c r="D279" i="3" s="1"/>
  <c r="I279" i="3" s="1"/>
  <c r="K279" i="3" s="1"/>
  <c r="F279" i="3" l="1"/>
  <c r="G279" i="3" s="1"/>
  <c r="H279" i="3" s="1"/>
  <c r="J279" i="3" s="1"/>
  <c r="D280" i="3" s="1"/>
  <c r="I280" i="3" l="1"/>
  <c r="K280" i="3" s="1"/>
  <c r="F280" i="3"/>
  <c r="G280" i="3" l="1"/>
  <c r="H280" i="3" s="1"/>
  <c r="J280" i="3" s="1"/>
  <c r="D281" i="3" s="1"/>
  <c r="I281" i="3" l="1"/>
  <c r="K281" i="3" s="1"/>
  <c r="F281" i="3"/>
  <c r="G281" i="3" l="1"/>
  <c r="H281" i="3" s="1"/>
  <c r="J281" i="3" s="1"/>
  <c r="D282" i="3" s="1"/>
  <c r="F282" i="3" l="1"/>
  <c r="I282" i="3"/>
  <c r="K282" i="3" s="1"/>
  <c r="G282" i="3" l="1"/>
  <c r="H282" i="3" s="1"/>
  <c r="J282" i="3" s="1"/>
  <c r="D283" i="3" s="1"/>
  <c r="F283" i="3" l="1"/>
  <c r="I283" i="3"/>
  <c r="K283" i="3" s="1"/>
  <c r="G283" i="3" l="1"/>
  <c r="H283" i="3" s="1"/>
  <c r="J283" i="3" s="1"/>
  <c r="D284" i="3" s="1"/>
  <c r="F284" i="3" l="1"/>
  <c r="I284" i="3"/>
  <c r="K284" i="3" s="1"/>
  <c r="G284" i="3" l="1"/>
  <c r="H284" i="3" s="1"/>
  <c r="J284" i="3" s="1"/>
  <c r="D285" i="3" s="1"/>
  <c r="I285" i="3" l="1"/>
  <c r="K285" i="3" s="1"/>
  <c r="F285" i="3"/>
  <c r="G285" i="3" l="1"/>
  <c r="H285" i="3" s="1"/>
  <c r="J285" i="3" s="1"/>
  <c r="D286" i="3" l="1"/>
  <c r="I286" i="3" s="1"/>
  <c r="K286" i="3" s="1"/>
  <c r="F24" i="2"/>
  <c r="F286" i="3" l="1"/>
  <c r="G286" i="3" s="1"/>
  <c r="H286" i="3" s="1"/>
  <c r="J286" i="3" s="1"/>
  <c r="D287" i="3" s="1"/>
  <c r="I287" i="3" l="1"/>
  <c r="K287" i="3" s="1"/>
  <c r="F287" i="3"/>
  <c r="G287" i="3" l="1"/>
  <c r="H287" i="3" s="1"/>
  <c r="J287" i="3" s="1"/>
  <c r="D288" i="3" s="1"/>
  <c r="I288" i="3" l="1"/>
  <c r="K288" i="3" s="1"/>
  <c r="F288" i="3"/>
  <c r="G288" i="3" l="1"/>
  <c r="H288" i="3" s="1"/>
  <c r="J288" i="3" s="1"/>
  <c r="D289" i="3" s="1"/>
  <c r="F289" i="3" l="1"/>
  <c r="I289" i="3"/>
  <c r="K289" i="3" s="1"/>
  <c r="G289" i="3" l="1"/>
  <c r="H289" i="3" s="1"/>
  <c r="J289" i="3" s="1"/>
  <c r="E26" i="2" s="1"/>
  <c r="D290" i="3" l="1"/>
  <c r="F290" i="3" s="1"/>
  <c r="I290" i="3" l="1"/>
  <c r="K290" i="3" s="1"/>
  <c r="G290" i="3"/>
  <c r="H290" i="3" l="1"/>
  <c r="J290" i="3" s="1"/>
  <c r="D291" i="3" s="1"/>
  <c r="I291" i="3" s="1"/>
  <c r="K291" i="3" s="1"/>
  <c r="F291" i="3" l="1"/>
  <c r="G291" i="3" s="1"/>
  <c r="H291" i="3" s="1"/>
  <c r="J291" i="3" s="1"/>
  <c r="D292" i="3" s="1"/>
  <c r="I292" i="3" l="1"/>
  <c r="K292" i="3" s="1"/>
  <c r="F292" i="3"/>
  <c r="G292" i="3" l="1"/>
  <c r="H292" i="3" s="1"/>
  <c r="J292" i="3" s="1"/>
  <c r="D293" i="3" s="1"/>
  <c r="I293" i="3" l="1"/>
  <c r="K293" i="3" s="1"/>
  <c r="F293" i="3"/>
  <c r="G293" i="3" l="1"/>
  <c r="H293" i="3" s="1"/>
  <c r="J293" i="3" s="1"/>
  <c r="D294" i="3" s="1"/>
  <c r="I294" i="3" l="1"/>
  <c r="K294" i="3" s="1"/>
  <c r="F294" i="3"/>
  <c r="G294" i="3" l="1"/>
  <c r="H294" i="3" s="1"/>
  <c r="J294" i="3" s="1"/>
  <c r="D295" i="3" s="1"/>
  <c r="I295" i="3" l="1"/>
  <c r="K295" i="3" s="1"/>
  <c r="F295" i="3"/>
  <c r="G295" i="3" l="1"/>
  <c r="H295" i="3" s="1"/>
  <c r="J295" i="3" s="1"/>
  <c r="D296" i="3" s="1"/>
  <c r="I296" i="3" l="1"/>
  <c r="K296" i="3" s="1"/>
  <c r="F296" i="3"/>
  <c r="G296" i="3" l="1"/>
  <c r="H296" i="3" s="1"/>
  <c r="J296" i="3" s="1"/>
  <c r="D297" i="3" s="1"/>
  <c r="I297" i="3" l="1"/>
  <c r="K297" i="3" s="1"/>
  <c r="F297" i="3"/>
  <c r="G297" i="3" l="1"/>
  <c r="H297" i="3" s="1"/>
  <c r="J297" i="3" s="1"/>
  <c r="D298" i="3" s="1"/>
  <c r="I298" i="3" l="1"/>
  <c r="K298" i="3" s="1"/>
  <c r="F298" i="3"/>
  <c r="G298" i="3" l="1"/>
  <c r="H298" i="3" s="1"/>
  <c r="J298" i="3" s="1"/>
  <c r="D299" i="3" l="1"/>
  <c r="I299" i="3" s="1"/>
  <c r="K299" i="3" s="1"/>
  <c r="F25" i="2"/>
  <c r="F299" i="3" l="1"/>
  <c r="G299" i="3" s="1"/>
  <c r="H299" i="3" s="1"/>
  <c r="J299" i="3" s="1"/>
  <c r="D300" i="3" s="1"/>
  <c r="I300" i="3" l="1"/>
  <c r="K300" i="3" s="1"/>
  <c r="F300" i="3"/>
  <c r="G300" i="3" l="1"/>
  <c r="H300" i="3" s="1"/>
  <c r="J300" i="3" s="1"/>
  <c r="D301" i="3" s="1"/>
  <c r="I301" i="3" l="1"/>
  <c r="K301" i="3" s="1"/>
  <c r="F301" i="3"/>
  <c r="G301" i="3" l="1"/>
  <c r="H301" i="3" s="1"/>
  <c r="J301" i="3" s="1"/>
  <c r="E27" i="2" s="1"/>
  <c r="D302" i="3" l="1"/>
  <c r="I302" i="3" s="1"/>
  <c r="K302" i="3" s="1"/>
  <c r="F302" i="3" l="1"/>
  <c r="G302" i="3" s="1"/>
  <c r="H302" i="3" s="1"/>
  <c r="J302" i="3" s="1"/>
  <c r="D303" i="3" s="1"/>
  <c r="I303" i="3" l="1"/>
  <c r="K303" i="3" s="1"/>
  <c r="F303" i="3"/>
  <c r="G303" i="3" l="1"/>
  <c r="H303" i="3" s="1"/>
  <c r="J303" i="3" s="1"/>
  <c r="D304" i="3" s="1"/>
  <c r="F304" i="3" l="1"/>
  <c r="I304" i="3"/>
  <c r="K304" i="3" s="1"/>
  <c r="G304" i="3" l="1"/>
  <c r="H304" i="3" s="1"/>
  <c r="J304" i="3" s="1"/>
  <c r="D305" i="3" s="1"/>
  <c r="F305" i="3" l="1"/>
  <c r="I305" i="3"/>
  <c r="K305" i="3" s="1"/>
  <c r="G305" i="3" l="1"/>
  <c r="H305" i="3" s="1"/>
  <c r="J305" i="3" s="1"/>
  <c r="D306" i="3" s="1"/>
  <c r="F306" i="3" l="1"/>
  <c r="I306" i="3"/>
  <c r="K306" i="3" s="1"/>
  <c r="G306" i="3" l="1"/>
  <c r="H306" i="3" s="1"/>
  <c r="J306" i="3" s="1"/>
  <c r="D307" i="3" s="1"/>
  <c r="F307" i="3" l="1"/>
  <c r="I307" i="3"/>
  <c r="K307" i="3" s="1"/>
  <c r="G307" i="3" l="1"/>
  <c r="H307" i="3" s="1"/>
  <c r="J307" i="3" s="1"/>
  <c r="D308" i="3" s="1"/>
  <c r="I308" i="3" l="1"/>
  <c r="K308" i="3" s="1"/>
  <c r="F308" i="3"/>
  <c r="G308" i="3" l="1"/>
  <c r="H308" i="3" s="1"/>
  <c r="J308" i="3" s="1"/>
  <c r="D309" i="3" s="1"/>
  <c r="I309" i="3" l="1"/>
  <c r="K309" i="3" s="1"/>
  <c r="F309" i="3"/>
  <c r="G309" i="3" l="1"/>
  <c r="H309" i="3" s="1"/>
  <c r="J309" i="3" s="1"/>
  <c r="D310" i="3" s="1"/>
  <c r="I310" i="3" l="1"/>
  <c r="K310" i="3" s="1"/>
  <c r="F310" i="3"/>
  <c r="G310" i="3" l="1"/>
  <c r="H310" i="3" s="1"/>
  <c r="J310" i="3" s="1"/>
  <c r="D311" i="3" s="1"/>
  <c r="I311" i="3" l="1"/>
  <c r="K311" i="3" s="1"/>
  <c r="F311" i="3"/>
  <c r="G311" i="3" l="1"/>
  <c r="H311" i="3" s="1"/>
  <c r="J311" i="3" s="1"/>
  <c r="D312" i="3" l="1"/>
  <c r="I312" i="3" s="1"/>
  <c r="K312" i="3" s="1"/>
  <c r="F26" i="2"/>
  <c r="F312" i="3" l="1"/>
  <c r="G312" i="3" s="1"/>
  <c r="H312" i="3" s="1"/>
  <c r="J312" i="3" s="1"/>
  <c r="D313" i="3" s="1"/>
  <c r="F313" i="3" l="1"/>
  <c r="I313" i="3"/>
  <c r="K313" i="3" s="1"/>
  <c r="G313" i="3" l="1"/>
  <c r="H313" i="3" s="1"/>
  <c r="J313" i="3" s="1"/>
  <c r="E28" i="2" s="1"/>
  <c r="D314" i="3" l="1"/>
  <c r="F314" i="3" s="1"/>
  <c r="I314" i="3" l="1"/>
  <c r="K314" i="3" s="1"/>
  <c r="G314" i="3"/>
  <c r="H314" i="3" l="1"/>
  <c r="J314" i="3" s="1"/>
  <c r="D315" i="3" s="1"/>
  <c r="I315" i="3" s="1"/>
  <c r="K315" i="3" s="1"/>
  <c r="F315" i="3" l="1"/>
  <c r="G315" i="3" s="1"/>
  <c r="H315" i="3" s="1"/>
  <c r="J315" i="3" s="1"/>
  <c r="D316" i="3" s="1"/>
  <c r="I316" i="3" l="1"/>
  <c r="K316" i="3" s="1"/>
  <c r="F316" i="3"/>
  <c r="G316" i="3" l="1"/>
  <c r="H316" i="3" s="1"/>
  <c r="J316" i="3" s="1"/>
  <c r="D317" i="3" s="1"/>
  <c r="I317" i="3" l="1"/>
  <c r="K317" i="3" s="1"/>
  <c r="F317" i="3"/>
  <c r="G317" i="3" l="1"/>
  <c r="H317" i="3" s="1"/>
  <c r="J317" i="3" s="1"/>
  <c r="D318" i="3" s="1"/>
  <c r="I318" i="3" l="1"/>
  <c r="K318" i="3" s="1"/>
  <c r="F318" i="3"/>
  <c r="G318" i="3" l="1"/>
  <c r="H318" i="3" s="1"/>
  <c r="J318" i="3" s="1"/>
  <c r="D319" i="3" s="1"/>
  <c r="I319" i="3" l="1"/>
  <c r="K319" i="3" s="1"/>
  <c r="F319" i="3"/>
  <c r="G319" i="3" l="1"/>
  <c r="H319" i="3" s="1"/>
  <c r="J319" i="3" s="1"/>
  <c r="D320" i="3" s="1"/>
  <c r="I320" i="3" l="1"/>
  <c r="K320" i="3" s="1"/>
  <c r="F320" i="3"/>
  <c r="G320" i="3" l="1"/>
  <c r="H320" i="3" s="1"/>
  <c r="J320" i="3" s="1"/>
  <c r="D321" i="3" s="1"/>
  <c r="F321" i="3" l="1"/>
  <c r="I321" i="3"/>
  <c r="K321" i="3" s="1"/>
  <c r="G321" i="3" l="1"/>
  <c r="H321" i="3" s="1"/>
  <c r="J321" i="3" s="1"/>
  <c r="D322" i="3" s="1"/>
  <c r="I322" i="3" l="1"/>
  <c r="K322" i="3" s="1"/>
  <c r="F322" i="3"/>
  <c r="G322" i="3" l="1"/>
  <c r="H322" i="3" s="1"/>
  <c r="J322" i="3" s="1"/>
  <c r="D323" i="3" s="1"/>
  <c r="I323" i="3" l="1"/>
  <c r="K323" i="3" s="1"/>
  <c r="F323" i="3"/>
  <c r="G323" i="3" l="1"/>
  <c r="H323" i="3" s="1"/>
  <c r="J323" i="3" s="1"/>
  <c r="D324" i="3" s="1"/>
  <c r="I324" i="3" l="1"/>
  <c r="K324" i="3" s="1"/>
  <c r="F324" i="3"/>
  <c r="G324" i="3" l="1"/>
  <c r="H324" i="3" s="1"/>
  <c r="J324" i="3" s="1"/>
  <c r="D325" i="3" l="1"/>
  <c r="I325" i="3" s="1"/>
  <c r="K325" i="3" s="1"/>
  <c r="F27" i="2"/>
  <c r="F325" i="3" l="1"/>
  <c r="G325" i="3" s="1"/>
  <c r="H325" i="3" s="1"/>
  <c r="J325" i="3" s="1"/>
  <c r="E29" i="2" s="1"/>
  <c r="D326" i="3" l="1"/>
  <c r="I326" i="3" s="1"/>
  <c r="K326" i="3" s="1"/>
  <c r="F326" i="3" l="1"/>
  <c r="G326" i="3" s="1"/>
  <c r="H326" i="3" s="1"/>
  <c r="J326" i="3" s="1"/>
  <c r="D327" i="3" s="1"/>
  <c r="I327" i="3" l="1"/>
  <c r="K327" i="3" s="1"/>
  <c r="F327" i="3"/>
  <c r="G327" i="3" l="1"/>
  <c r="H327" i="3" s="1"/>
  <c r="J327" i="3" s="1"/>
  <c r="D328" i="3" s="1"/>
  <c r="F328" i="3" l="1"/>
  <c r="I328" i="3"/>
  <c r="K328" i="3" s="1"/>
  <c r="G328" i="3" l="1"/>
  <c r="H328" i="3" s="1"/>
  <c r="J328" i="3" s="1"/>
  <c r="D329" i="3" s="1"/>
  <c r="I329" i="3" l="1"/>
  <c r="K329" i="3" s="1"/>
  <c r="F329" i="3"/>
  <c r="G329" i="3" l="1"/>
  <c r="H329" i="3" s="1"/>
  <c r="J329" i="3" s="1"/>
  <c r="D330" i="3" s="1"/>
  <c r="I330" i="3" l="1"/>
  <c r="K330" i="3" s="1"/>
  <c r="F330" i="3"/>
  <c r="G330" i="3" l="1"/>
  <c r="H330" i="3" s="1"/>
  <c r="J330" i="3" s="1"/>
  <c r="D331" i="3" s="1"/>
  <c r="I331" i="3" l="1"/>
  <c r="K331" i="3" s="1"/>
  <c r="F331" i="3"/>
  <c r="G331" i="3" l="1"/>
  <c r="H331" i="3" s="1"/>
  <c r="J331" i="3" s="1"/>
  <c r="D332" i="3" s="1"/>
  <c r="I332" i="3" l="1"/>
  <c r="K332" i="3" s="1"/>
  <c r="F332" i="3"/>
  <c r="G332" i="3" l="1"/>
  <c r="H332" i="3" s="1"/>
  <c r="J332" i="3" s="1"/>
  <c r="D333" i="3" s="1"/>
  <c r="I333" i="3" l="1"/>
  <c r="K333" i="3" s="1"/>
  <c r="F333" i="3"/>
  <c r="G333" i="3" l="1"/>
  <c r="H333" i="3" s="1"/>
  <c r="J333" i="3" s="1"/>
  <c r="D334" i="3" s="1"/>
  <c r="F334" i="3" l="1"/>
  <c r="I334" i="3"/>
  <c r="K334" i="3" s="1"/>
  <c r="G334" i="3" l="1"/>
  <c r="H334" i="3" s="1"/>
  <c r="J334" i="3" s="1"/>
  <c r="D335" i="3" s="1"/>
  <c r="I335" i="3" l="1"/>
  <c r="K335" i="3" s="1"/>
  <c r="F335" i="3"/>
  <c r="G335" i="3" l="1"/>
  <c r="H335" i="3" s="1"/>
  <c r="J335" i="3" s="1"/>
  <c r="D336" i="3" s="1"/>
  <c r="I336" i="3" l="1"/>
  <c r="K336" i="3" s="1"/>
  <c r="F336" i="3"/>
  <c r="G336" i="3" l="1"/>
  <c r="H336" i="3" s="1"/>
  <c r="J336" i="3" s="1"/>
  <c r="D337" i="3" s="1"/>
  <c r="F337" i="3" l="1"/>
  <c r="I337" i="3"/>
  <c r="K337" i="3" s="1"/>
  <c r="G337" i="3" l="1"/>
  <c r="H337" i="3" s="1"/>
  <c r="J337" i="3" s="1"/>
  <c r="E30" i="2" s="1"/>
  <c r="D338" i="3" l="1"/>
  <c r="I338" i="3" s="1"/>
  <c r="K338" i="3" s="1"/>
  <c r="F28" i="2"/>
  <c r="F338" i="3" l="1"/>
  <c r="G338" i="3" s="1"/>
  <c r="H338" i="3" s="1"/>
  <c r="J338" i="3" s="1"/>
  <c r="D339" i="3" s="1"/>
  <c r="I339" i="3" l="1"/>
  <c r="K339" i="3" s="1"/>
  <c r="F339" i="3"/>
  <c r="G339" i="3" l="1"/>
  <c r="H339" i="3" s="1"/>
  <c r="J339" i="3" s="1"/>
  <c r="D340" i="3" s="1"/>
  <c r="F340" i="3" l="1"/>
  <c r="I340" i="3"/>
  <c r="K340" i="3" s="1"/>
  <c r="G340" i="3" l="1"/>
  <c r="H340" i="3" s="1"/>
  <c r="J340" i="3" s="1"/>
  <c r="D341" i="3" s="1"/>
  <c r="F341" i="3" l="1"/>
  <c r="I341" i="3"/>
  <c r="K341" i="3" s="1"/>
  <c r="G341" i="3" l="1"/>
  <c r="H341" i="3" s="1"/>
  <c r="J341" i="3" s="1"/>
  <c r="D342" i="3" s="1"/>
  <c r="F342" i="3" l="1"/>
  <c r="I342" i="3"/>
  <c r="K342" i="3" s="1"/>
  <c r="G342" i="3" l="1"/>
  <c r="H342" i="3" s="1"/>
  <c r="J342" i="3" s="1"/>
  <c r="D343" i="3" s="1"/>
  <c r="F343" i="3" l="1"/>
  <c r="I343" i="3"/>
  <c r="K343" i="3" s="1"/>
  <c r="G343" i="3" l="1"/>
  <c r="H343" i="3" s="1"/>
  <c r="J343" i="3" s="1"/>
  <c r="D344" i="3" s="1"/>
  <c r="I344" i="3" l="1"/>
  <c r="K344" i="3" s="1"/>
  <c r="F344" i="3"/>
  <c r="G344" i="3" l="1"/>
  <c r="H344" i="3" s="1"/>
  <c r="J344" i="3" s="1"/>
  <c r="D345" i="3" s="1"/>
  <c r="F345" i="3" l="1"/>
  <c r="I345" i="3"/>
  <c r="K345" i="3" s="1"/>
  <c r="G345" i="3" l="1"/>
  <c r="H345" i="3" s="1"/>
  <c r="J345" i="3" s="1"/>
  <c r="D346" i="3" s="1"/>
  <c r="I346" i="3" l="1"/>
  <c r="K346" i="3" s="1"/>
  <c r="F346" i="3"/>
  <c r="G346" i="3" l="1"/>
  <c r="H346" i="3" s="1"/>
  <c r="J346" i="3" s="1"/>
  <c r="D347" i="3" s="1"/>
  <c r="I347" i="3" l="1"/>
  <c r="K347" i="3" s="1"/>
  <c r="F347" i="3"/>
  <c r="G347" i="3" l="1"/>
  <c r="H347" i="3" s="1"/>
  <c r="J347" i="3" s="1"/>
  <c r="D348" i="3" s="1"/>
  <c r="I348" i="3" l="1"/>
  <c r="K348" i="3" s="1"/>
  <c r="F348" i="3"/>
  <c r="G348" i="3" l="1"/>
  <c r="H348" i="3" s="1"/>
  <c r="J348" i="3" s="1"/>
  <c r="D349" i="3" s="1"/>
  <c r="I349" i="3" l="1"/>
  <c r="K349" i="3" s="1"/>
  <c r="F349" i="3"/>
  <c r="G349" i="3" l="1"/>
  <c r="H349" i="3" s="1"/>
  <c r="J349" i="3" s="1"/>
  <c r="E31" i="2" s="1"/>
  <c r="D350" i="3" l="1"/>
  <c r="F350" i="3" s="1"/>
  <c r="F31" i="2"/>
  <c r="I350" i="3" l="1"/>
  <c r="K350" i="3" s="1"/>
  <c r="G350" i="3"/>
  <c r="H350" i="3" l="1"/>
  <c r="J350" i="3" s="1"/>
  <c r="D351" i="3" s="1"/>
  <c r="I351" i="3" s="1"/>
  <c r="K351" i="3" s="1"/>
  <c r="F29" i="2"/>
  <c r="F351" i="3" l="1"/>
  <c r="G351" i="3" s="1"/>
  <c r="H351" i="3" s="1"/>
  <c r="J351" i="3" s="1"/>
  <c r="D352" i="3" s="1"/>
  <c r="I352" i="3" l="1"/>
  <c r="K352" i="3" s="1"/>
  <c r="F352" i="3"/>
  <c r="G352" i="3" l="1"/>
  <c r="H352" i="3" s="1"/>
  <c r="J352" i="3" s="1"/>
  <c r="D353" i="3" s="1"/>
  <c r="I353" i="3" l="1"/>
  <c r="K353" i="3" s="1"/>
  <c r="F353" i="3"/>
  <c r="G353" i="3" l="1"/>
  <c r="H353" i="3" s="1"/>
  <c r="J353" i="3" s="1"/>
  <c r="D354" i="3" s="1"/>
  <c r="I354" i="3" l="1"/>
  <c r="K354" i="3" s="1"/>
  <c r="F354" i="3"/>
  <c r="G354" i="3" l="1"/>
  <c r="H354" i="3" s="1"/>
  <c r="J354" i="3" s="1"/>
  <c r="D355" i="3" s="1"/>
  <c r="I355" i="3" l="1"/>
  <c r="K355" i="3" s="1"/>
  <c r="F355" i="3"/>
  <c r="G355" i="3" l="1"/>
  <c r="H355" i="3" s="1"/>
  <c r="J355" i="3" s="1"/>
  <c r="D356" i="3" s="1"/>
  <c r="I356" i="3" l="1"/>
  <c r="K356" i="3" s="1"/>
  <c r="F356" i="3"/>
  <c r="G356" i="3" l="1"/>
  <c r="H356" i="3" s="1"/>
  <c r="J356" i="3" s="1"/>
  <c r="D357" i="3" s="1"/>
  <c r="F357" i="3" l="1"/>
  <c r="I357" i="3"/>
  <c r="K357" i="3" s="1"/>
  <c r="G357" i="3" l="1"/>
  <c r="H357" i="3" s="1"/>
  <c r="J357" i="3" s="1"/>
  <c r="D358" i="3" s="1"/>
  <c r="I358" i="3" l="1"/>
  <c r="K358" i="3" s="1"/>
  <c r="F358" i="3"/>
  <c r="G358" i="3" l="1"/>
  <c r="H358" i="3" s="1"/>
  <c r="J358" i="3" s="1"/>
  <c r="D359" i="3" s="1"/>
  <c r="I359" i="3" l="1"/>
  <c r="K359" i="3" s="1"/>
  <c r="F359" i="3"/>
  <c r="G359" i="3" l="1"/>
  <c r="H359" i="3" s="1"/>
  <c r="J359" i="3" s="1"/>
  <c r="D360" i="3" s="1"/>
  <c r="I360" i="3" l="1"/>
  <c r="F360" i="3"/>
  <c r="G360" i="3" l="1"/>
  <c r="H360" i="3" s="1"/>
  <c r="J360" i="3" s="1"/>
  <c r="D361" i="3" s="1"/>
  <c r="K360" i="3"/>
  <c r="I361" i="3" l="1"/>
  <c r="F361" i="3"/>
  <c r="G361" i="3" l="1"/>
  <c r="H361" i="3" s="1"/>
  <c r="J361" i="3" s="1"/>
  <c r="E32" i="2" s="1"/>
  <c r="K361" i="3"/>
  <c r="D362" i="3" l="1"/>
  <c r="I362" i="3" s="1"/>
  <c r="F32" i="2"/>
  <c r="F362" i="3" l="1"/>
  <c r="G362" i="3" s="1"/>
  <c r="H362" i="3" s="1"/>
  <c r="J362" i="3" s="1"/>
  <c r="D363" i="3" s="1"/>
  <c r="K362" i="3"/>
  <c r="I363" i="3" l="1"/>
  <c r="F363" i="3"/>
  <c r="G363" i="3" l="1"/>
  <c r="H363" i="3" s="1"/>
  <c r="J363" i="3" s="1"/>
  <c r="K363" i="3"/>
  <c r="D364" i="3" l="1"/>
  <c r="I364" i="3" s="1"/>
  <c r="F30" i="2"/>
  <c r="F364" i="3" l="1"/>
  <c r="G364" i="3" s="1"/>
  <c r="H364" i="3" s="1"/>
  <c r="J364" i="3" s="1"/>
  <c r="D365" i="3" s="1"/>
  <c r="K364" i="3"/>
  <c r="I365" i="3" l="1"/>
  <c r="F365" i="3"/>
  <c r="G365" i="3" l="1"/>
  <c r="H365" i="3" s="1"/>
  <c r="J365" i="3" s="1"/>
  <c r="D366" i="3" s="1"/>
  <c r="K365" i="3"/>
  <c r="I366" i="3" l="1"/>
  <c r="K366" i="3" s="1"/>
  <c r="F366" i="3"/>
  <c r="G366" i="3" l="1"/>
  <c r="H366" i="3" s="1"/>
  <c r="J366" i="3" s="1"/>
  <c r="D367" i="3" s="1"/>
  <c r="I367" i="3" l="1"/>
  <c r="K367" i="3" s="1"/>
  <c r="F367" i="3"/>
  <c r="G367" i="3" l="1"/>
  <c r="H367" i="3" s="1"/>
  <c r="J367" i="3" s="1"/>
  <c r="D368" i="3" s="1"/>
  <c r="I368" i="3" l="1"/>
  <c r="K368" i="3" s="1"/>
  <c r="F368" i="3"/>
  <c r="G368" i="3" l="1"/>
  <c r="H368" i="3" s="1"/>
  <c r="J368" i="3" s="1"/>
  <c r="D369" i="3" s="1"/>
  <c r="I369" i="3" l="1"/>
  <c r="K369" i="3" s="1"/>
  <c r="F369" i="3"/>
  <c r="G369" i="3" l="1"/>
  <c r="H369" i="3" s="1"/>
  <c r="J369" i="3" s="1"/>
  <c r="D370" i="3" s="1"/>
  <c r="I370" i="3" l="1"/>
  <c r="K370" i="3" s="1"/>
  <c r="F370" i="3"/>
  <c r="G370" i="3" l="1"/>
  <c r="H370" i="3" s="1"/>
  <c r="J370" i="3" s="1"/>
  <c r="D371" i="3" s="1"/>
  <c r="I371" i="3" l="1"/>
  <c r="K371" i="3" s="1"/>
  <c r="F371" i="3"/>
  <c r="G371" i="3" l="1"/>
  <c r="H371" i="3" s="1"/>
  <c r="J371" i="3" s="1"/>
  <c r="D372" i="3" s="1"/>
  <c r="I372" i="3" l="1"/>
  <c r="K372" i="3" s="1"/>
  <c r="F372" i="3"/>
  <c r="G372" i="3" l="1"/>
  <c r="H372" i="3" s="1"/>
  <c r="J372" i="3" s="1"/>
  <c r="D373" i="3" s="1"/>
  <c r="I373" i="3" l="1"/>
  <c r="F373" i="3"/>
  <c r="J373" i="3" l="1"/>
  <c r="G373" i="3"/>
  <c r="H373" i="3" s="1"/>
  <c r="I8" i="3"/>
  <c r="K373" i="3"/>
  <c r="I9" i="3"/>
  <c r="E33" i="2" l="1"/>
  <c r="F33" i="2" s="1"/>
</calcChain>
</file>

<file path=xl/sharedStrings.xml><?xml version="1.0" encoding="utf-8"?>
<sst xmlns="http://schemas.openxmlformats.org/spreadsheetml/2006/main" count="41" uniqueCount="40">
  <si>
    <t>Home Price</t>
  </si>
  <si>
    <t>Down Payment %</t>
  </si>
  <si>
    <t>Loan Term</t>
  </si>
  <si>
    <t>Note Rate %</t>
  </si>
  <si>
    <t>EOY</t>
  </si>
  <si>
    <t>Appreciation Rate %</t>
  </si>
  <si>
    <t>Cumulative
Interest</t>
  </si>
  <si>
    <t>Ending
Balance</t>
  </si>
  <si>
    <t>Interest</t>
  </si>
  <si>
    <t>Principal</t>
  </si>
  <si>
    <t>Total
Payment</t>
  </si>
  <si>
    <t>Extra
Payment</t>
  </si>
  <si>
    <t>Scheduled Payment</t>
  </si>
  <si>
    <t>Beginning
Balance</t>
  </si>
  <si>
    <t>Payment
Date</t>
  </si>
  <si>
    <t>Payment Number</t>
  </si>
  <si>
    <t>Optional extra payments</t>
  </si>
  <si>
    <t>Total interest</t>
  </si>
  <si>
    <t>Start date of loan</t>
  </si>
  <si>
    <t>Total early payments</t>
  </si>
  <si>
    <t>Number of payments per year</t>
  </si>
  <si>
    <t>Actual number of payments</t>
  </si>
  <si>
    <t>Loan period in years</t>
  </si>
  <si>
    <t>Scheduled number of payments</t>
  </si>
  <si>
    <t>Annual interest rate</t>
  </si>
  <si>
    <t>Scheduled payment</t>
  </si>
  <si>
    <t>Loan amount</t>
  </si>
  <si>
    <t>Loan Summary</t>
  </si>
  <si>
    <t>Enter Values</t>
  </si>
  <si>
    <t>Loan Amortization Schedule</t>
  </si>
  <si>
    <t>Down Payment $</t>
  </si>
  <si>
    <t>Loan Amount</t>
  </si>
  <si>
    <t>Loan Balance</t>
  </si>
  <si>
    <t>Owner's Equity</t>
  </si>
  <si>
    <t>Months</t>
  </si>
  <si>
    <t>Target Year</t>
  </si>
  <si>
    <t>Target Year Equity</t>
  </si>
  <si>
    <t>Questions? Email me at:</t>
  </si>
  <si>
    <t>TheCPAMortgageGuy@gmail.com</t>
  </si>
  <si>
    <t>(801) 865-1867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</si>
</sst>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
    <numFmt numFmtId="165" formatCode="0.000%"/>
    <numFmt numFmtId="166" formatCode="_(* #,##0_);_(* \(#,##0\);_(* &quot;-&quot;??_);_(@_)"/>
    <numFmt numFmtId="167" formatCode="&quot;$&quot;#,##0.00"/>
  </numFmts>
  <fonts count="27" x14ac:knownFonts="1">
    <font>
      <sz val="11"/>
      <color theme="1"/>
      <name val="Calibri"/>
      <family val="2"/>
      <scheme val="minor"/>
    </font>
    <font>
      <sz val="11"/>
      <color theme="1"/>
      <name val="Calibri"/>
      <family val="2"/>
      <scheme val="minor"/>
    </font>
    <font>
      <b/>
      <sz val="11"/>
      <color theme="3"/>
      <name val="Calibri"/>
      <family val="2"/>
      <scheme val="minor"/>
    </font>
    <font>
      <sz val="11"/>
      <color theme="1"/>
      <name val="Garamond"/>
      <family val="1"/>
    </font>
    <font>
      <b/>
      <sz val="11"/>
      <color theme="0"/>
      <name val="Garamond"/>
      <family val="1"/>
    </font>
    <font>
      <b/>
      <sz val="11"/>
      <color theme="1"/>
      <name val="Garamond"/>
      <family val="1"/>
    </font>
    <font>
      <sz val="11"/>
      <name val="Calibri"/>
      <family val="2"/>
      <scheme val="minor"/>
    </font>
    <font>
      <sz val="11"/>
      <color theme="1" tint="0.24994659260841701"/>
      <name val="Calibri"/>
      <family val="2"/>
      <scheme val="minor"/>
    </font>
    <font>
      <b/>
      <sz val="12"/>
      <color theme="1" tint="0.249977111117893"/>
      <name val="Calibri"/>
      <family val="2"/>
    </font>
    <font>
      <i/>
      <sz val="11"/>
      <color theme="1" tint="0.34998626667073579"/>
      <name val="Calibri"/>
      <family val="2"/>
      <scheme val="minor"/>
    </font>
    <font>
      <b/>
      <sz val="14"/>
      <color theme="1" tint="0.24994659260841701"/>
      <name val="Calibri"/>
      <family val="2"/>
    </font>
    <font>
      <b/>
      <sz val="16"/>
      <color rgb="FF0070C0"/>
      <name val="Calibri"/>
      <family val="2"/>
    </font>
    <font>
      <b/>
      <sz val="40"/>
      <color rgb="FF376B36"/>
      <name val="Garamond"/>
      <family val="1"/>
    </font>
    <font>
      <sz val="11"/>
      <name val="Garamond"/>
      <family val="1"/>
    </font>
    <font>
      <b/>
      <sz val="20"/>
      <color theme="4" tint="-0.499984740745262"/>
      <name val="Garamond"/>
      <family val="1"/>
    </font>
    <font>
      <b/>
      <sz val="14"/>
      <color theme="1" tint="0.24994659260841701"/>
      <name val="Garamond"/>
      <family val="1"/>
    </font>
    <font>
      <sz val="12"/>
      <color theme="1"/>
      <name val="Garamond"/>
      <family val="1"/>
    </font>
    <font>
      <sz val="12"/>
      <color theme="1" tint="0.24994659260841701"/>
      <name val="Garamond"/>
      <family val="1"/>
    </font>
    <font>
      <i/>
      <sz val="11"/>
      <color theme="1"/>
      <name val="Garamond"/>
      <family val="1"/>
    </font>
    <font>
      <sz val="11"/>
      <color theme="1" tint="0.24994659260841701"/>
      <name val="Garamond"/>
      <family val="1"/>
    </font>
    <font>
      <sz val="12"/>
      <name val="Garamond"/>
      <family val="1"/>
    </font>
    <font>
      <b/>
      <sz val="40"/>
      <color rgb="FF0070C0"/>
      <name val="Garamond"/>
      <family val="1"/>
    </font>
    <font>
      <b/>
      <sz val="14"/>
      <color rgb="FF0070C0"/>
      <name val="Garamond"/>
      <family val="1"/>
    </font>
    <font>
      <b/>
      <sz val="16"/>
      <color theme="1"/>
      <name val="Garamond"/>
      <family val="1"/>
    </font>
    <font>
      <u/>
      <sz val="11"/>
      <color theme="10"/>
      <name val="Calibri"/>
      <family val="2"/>
      <scheme val="minor"/>
    </font>
    <font>
      <b/>
      <sz val="12"/>
      <color theme="1"/>
      <name val="Garamond"/>
      <family val="1"/>
    </font>
    <font>
      <b/>
      <u/>
      <sz val="12"/>
      <color theme="10"/>
      <name val="Garamond"/>
      <family val="1"/>
    </font>
  </fonts>
  <fills count="9">
    <fill>
      <patternFill patternType="none"/>
    </fill>
    <fill>
      <patternFill patternType="gray125"/>
    </fill>
    <fill>
      <patternFill patternType="solid">
        <fgColor theme="4" tint="0.79998168889431442"/>
        <bgColor indexed="65"/>
      </patternFill>
    </fill>
    <fill>
      <patternFill patternType="solid">
        <fgColor rgb="FF00B0F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
      <patternFill patternType="solid">
        <fgColor rgb="FF0070C0"/>
        <bgColor indexed="64"/>
      </patternFill>
    </fill>
  </fills>
  <borders count="15">
    <border>
      <left/>
      <right/>
      <top/>
      <bottom/>
      <diagonal/>
    </border>
    <border>
      <left/>
      <right/>
      <top/>
      <bottom style="thin">
        <color theme="4" tint="-0.499984740745262"/>
      </bottom>
      <diagonal/>
    </border>
    <border>
      <left/>
      <right style="thin">
        <color theme="0"/>
      </right>
      <top/>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0" tint="-0.14999847407452621"/>
      </bottom>
      <diagonal/>
    </border>
    <border>
      <left/>
      <right style="thin">
        <color theme="0" tint="-0.14999847407452621"/>
      </right>
      <top style="thin">
        <color theme="2" tint="-9.9978637043366805E-2"/>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right/>
      <top style="thin">
        <color theme="2" tint="-9.9978637043366805E-2"/>
      </top>
      <bottom style="thin">
        <color theme="2" tint="-9.9978637043366805E-2"/>
      </bottom>
      <diagonal/>
    </border>
    <border>
      <left/>
      <right style="thin">
        <color theme="0" tint="-0.14999847407452621"/>
      </right>
      <top style="thin">
        <color theme="2" tint="-9.9978637043366805E-2"/>
      </top>
      <bottom style="thin">
        <color theme="2" tint="-9.9978637043366805E-2"/>
      </bottom>
      <diagonal/>
    </border>
    <border>
      <left/>
      <right/>
      <top style="thin">
        <color theme="4" tint="-0.499984740745262"/>
      </top>
      <bottom style="thin">
        <color theme="2" tint="-9.9978637043366805E-2"/>
      </bottom>
      <diagonal/>
    </border>
    <border>
      <left/>
      <right style="thin">
        <color theme="0" tint="-0.14999847407452621"/>
      </right>
      <top style="thin">
        <color rgb="FF376B36"/>
      </top>
      <bottom style="thin">
        <color theme="2" tint="-9.9978637043366805E-2"/>
      </bottom>
      <diagonal/>
    </border>
    <border>
      <left/>
      <right/>
      <top style="thin">
        <color rgb="FF376B36"/>
      </top>
      <bottom style="thin">
        <color theme="2" tint="-9.9978637043366805E-2"/>
      </bottom>
      <diagonal/>
    </border>
    <border>
      <left/>
      <right/>
      <top/>
      <bottom style="medium">
        <color theme="4" tint="-0.499984740745262"/>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7" fontId="7" fillId="6" borderId="0" applyFont="0" applyFill="0" applyBorder="0" applyProtection="0">
      <alignment horizontal="right" indent="2"/>
    </xf>
    <xf numFmtId="14" fontId="7" fillId="0" borderId="0" applyFont="0" applyFill="0" applyBorder="0" applyAlignment="0"/>
    <xf numFmtId="1" fontId="7" fillId="2" borderId="0" applyFont="0" applyFill="0" applyBorder="0" applyAlignment="0"/>
    <xf numFmtId="0" fontId="8" fillId="7" borderId="0" applyFill="0" applyProtection="0">
      <alignment horizontal="center" vertical="center" wrapText="1"/>
    </xf>
    <xf numFmtId="0" fontId="2" fillId="0" borderId="3" applyNumberFormat="0" applyFill="0" applyProtection="0">
      <alignment vertical="center"/>
    </xf>
    <xf numFmtId="167" fontId="7" fillId="6" borderId="0" applyFont="0" applyFill="0" applyBorder="0" applyAlignment="0" applyProtection="0"/>
    <xf numFmtId="0" fontId="9" fillId="0" borderId="4" applyNumberFormat="0" applyProtection="0">
      <alignment vertical="center"/>
    </xf>
    <xf numFmtId="0" fontId="7" fillId="2" borderId="0" applyNumberFormat="0" applyFont="0" applyAlignment="0">
      <alignment horizontal="center" vertical="center" wrapText="1"/>
    </xf>
    <xf numFmtId="10" fontId="6" fillId="0" borderId="0" applyFont="0" applyFill="0" applyBorder="0" applyAlignment="0" applyProtection="0"/>
    <xf numFmtId="0" fontId="10" fillId="0" borderId="14" applyNumberFormat="0" applyFill="0" applyProtection="0">
      <alignment vertical="center"/>
    </xf>
    <xf numFmtId="0" fontId="11" fillId="8" borderId="0" applyFill="0" applyBorder="0" applyProtection="0">
      <alignment horizontal="left" vertical="center" wrapText="1" indent="1"/>
    </xf>
    <xf numFmtId="0" fontId="24" fillId="0" borderId="0" applyNumberFormat="0" applyFill="0" applyBorder="0" applyAlignment="0" applyProtection="0"/>
  </cellStyleXfs>
  <cellXfs count="61">
    <xf numFmtId="0" fontId="0" fillId="0" borderId="0" xfId="0"/>
    <xf numFmtId="0" fontId="4" fillId="4" borderId="0" xfId="0" applyFont="1" applyFill="1"/>
    <xf numFmtId="0" fontId="3" fillId="0" borderId="0" xfId="0" applyFont="1"/>
    <xf numFmtId="0" fontId="3" fillId="5" borderId="0" xfId="0" applyFont="1" applyFill="1"/>
    <xf numFmtId="0" fontId="5" fillId="0" borderId="0" xfId="0" applyFont="1"/>
    <xf numFmtId="0" fontId="12" fillId="0" borderId="0" xfId="14" applyFont="1" applyFill="1" applyBorder="1" applyAlignment="1">
      <alignment vertical="center" wrapText="1"/>
    </xf>
    <xf numFmtId="0" fontId="13" fillId="0" borderId="0" xfId="3" applyFont="1"/>
    <xf numFmtId="0" fontId="14" fillId="0" borderId="1" xfId="13" applyFont="1" applyBorder="1" applyAlignment="1">
      <alignment horizontal="left" vertical="center" indent="1"/>
    </xf>
    <xf numFmtId="0" fontId="15" fillId="0" borderId="1" xfId="13" applyFont="1" applyBorder="1" applyAlignment="1">
      <alignment horizontal="left" vertical="center" indent="1"/>
    </xf>
    <xf numFmtId="0" fontId="15" fillId="0" borderId="0" xfId="13" applyFont="1" applyBorder="1">
      <alignment vertical="center"/>
    </xf>
    <xf numFmtId="0" fontId="14" fillId="0" borderId="0" xfId="13" applyFont="1" applyFill="1" applyBorder="1">
      <alignment vertical="center"/>
    </xf>
    <xf numFmtId="0" fontId="15" fillId="0" borderId="0" xfId="13" applyFont="1" applyFill="1" applyBorder="1">
      <alignment vertical="center"/>
    </xf>
    <xf numFmtId="167" fontId="17" fillId="0" borderId="13" xfId="9" applyFont="1" applyFill="1" applyBorder="1" applyAlignment="1">
      <alignment horizontal="right" vertical="center" indent="1"/>
    </xf>
    <xf numFmtId="10" fontId="17" fillId="0" borderId="9" xfId="12" applyFont="1" applyFill="1" applyBorder="1" applyAlignment="1">
      <alignment horizontal="right" vertical="center" indent="1"/>
    </xf>
    <xf numFmtId="1" fontId="17" fillId="0" borderId="9" xfId="6" applyFont="1" applyFill="1" applyBorder="1" applyAlignment="1">
      <alignment horizontal="right" vertical="center" indent="1"/>
    </xf>
    <xf numFmtId="0" fontId="16" fillId="0" borderId="7" xfId="10" applyFont="1" applyBorder="1">
      <alignment vertical="center"/>
    </xf>
    <xf numFmtId="14" fontId="17" fillId="0" borderId="5" xfId="5" applyFont="1" applyFill="1" applyBorder="1" applyAlignment="1">
      <alignment horizontal="right" vertical="center" indent="1"/>
    </xf>
    <xf numFmtId="0" fontId="18" fillId="0" borderId="0" xfId="10" applyFont="1" applyBorder="1">
      <alignment vertical="center"/>
    </xf>
    <xf numFmtId="14" fontId="19" fillId="0" borderId="0" xfId="5" applyFont="1" applyFill="1" applyBorder="1" applyAlignment="1">
      <alignment horizontal="right" indent="1"/>
    </xf>
    <xf numFmtId="167" fontId="16" fillId="0" borderId="0" xfId="9" applyFont="1" applyFill="1" applyBorder="1" applyAlignment="1">
      <alignment horizontal="right" vertical="center" indent="1"/>
    </xf>
    <xf numFmtId="0" fontId="20" fillId="0" borderId="0" xfId="3" applyFont="1"/>
    <xf numFmtId="0" fontId="13" fillId="0" borderId="2" xfId="3" applyFont="1" applyBorder="1"/>
    <xf numFmtId="0" fontId="13" fillId="0" borderId="1" xfId="3" applyFont="1" applyBorder="1" applyAlignment="1">
      <alignment vertical="center"/>
    </xf>
    <xf numFmtId="1" fontId="13" fillId="0" borderId="0" xfId="6" applyFont="1" applyFill="1"/>
    <xf numFmtId="14" fontId="13" fillId="0" borderId="0" xfId="5" applyFont="1" applyFill="1"/>
    <xf numFmtId="167" fontId="13" fillId="0" borderId="0" xfId="4" applyFont="1" applyFill="1">
      <alignment horizontal="right" indent="2"/>
    </xf>
    <xf numFmtId="0" fontId="5" fillId="0" borderId="0" xfId="0" applyFont="1" applyAlignment="1">
      <alignment horizontal="center" vertical="center" wrapText="1"/>
    </xf>
    <xf numFmtId="166" fontId="4" fillId="4" borderId="0" xfId="1" applyNumberFormat="1" applyFont="1" applyFill="1"/>
    <xf numFmtId="166" fontId="3" fillId="0" borderId="0" xfId="1" applyNumberFormat="1" applyFont="1"/>
    <xf numFmtId="166" fontId="3" fillId="5" borderId="0" xfId="1" applyNumberFormat="1" applyFont="1" applyFill="1"/>
    <xf numFmtId="0" fontId="22" fillId="0" borderId="0" xfId="7" applyFont="1" applyFill="1">
      <alignment horizontal="center" vertical="center" wrapText="1"/>
    </xf>
    <xf numFmtId="166" fontId="5" fillId="3" borderId="0" xfId="1" applyNumberFormat="1" applyFont="1" applyFill="1" applyProtection="1">
      <protection locked="0"/>
    </xf>
    <xf numFmtId="10" fontId="5" fillId="3" borderId="0" xfId="2" applyNumberFormat="1" applyFont="1" applyFill="1" applyProtection="1">
      <protection locked="0"/>
    </xf>
    <xf numFmtId="165" fontId="5" fillId="3" borderId="0" xfId="0" applyNumberFormat="1" applyFont="1" applyFill="1" applyProtection="1">
      <protection locked="0"/>
    </xf>
    <xf numFmtId="164" fontId="5" fillId="3" borderId="0" xfId="0" applyNumberFormat="1" applyFont="1" applyFill="1" applyProtection="1">
      <protection locked="0"/>
    </xf>
    <xf numFmtId="166" fontId="23" fillId="3" borderId="0" xfId="1" applyNumberFormat="1" applyFont="1" applyFill="1" applyProtection="1">
      <protection locked="0"/>
    </xf>
    <xf numFmtId="0" fontId="5" fillId="0" borderId="0" xfId="0" applyFont="1" applyAlignment="1">
      <alignment horizontal="right"/>
    </xf>
    <xf numFmtId="166" fontId="5" fillId="0" borderId="0" xfId="1" applyNumberFormat="1" applyFont="1" applyProtection="1"/>
    <xf numFmtId="0" fontId="23" fillId="0" borderId="0" xfId="0" applyFont="1" applyAlignment="1">
      <alignment horizontal="right"/>
    </xf>
    <xf numFmtId="166" fontId="23" fillId="0" borderId="0" xfId="1" applyNumberFormat="1" applyFont="1" applyProtection="1"/>
    <xf numFmtId="0" fontId="25" fillId="0" borderId="0" xfId="0" applyFont="1"/>
    <xf numFmtId="0" fontId="26" fillId="0" borderId="0" xfId="15" applyFont="1" applyProtection="1"/>
    <xf numFmtId="166" fontId="0" fillId="0" borderId="0" xfId="0" applyNumberFormat="1"/>
    <xf numFmtId="166" fontId="23" fillId="0" borderId="0" xfId="0" applyNumberFormat="1" applyFont="1"/>
    <xf numFmtId="0" fontId="16" fillId="7" borderId="13" xfId="10" applyFont="1" applyFill="1" applyBorder="1" applyAlignment="1">
      <alignment horizontal="left" vertical="center" indent="1"/>
    </xf>
    <xf numFmtId="0" fontId="16" fillId="7" borderId="12" xfId="10" applyFont="1" applyFill="1" applyBorder="1" applyAlignment="1">
      <alignment horizontal="left" vertical="center" indent="1"/>
    </xf>
    <xf numFmtId="167" fontId="17" fillId="0" borderId="11" xfId="11" applyNumberFormat="1" applyFont="1" applyFill="1" applyBorder="1" applyAlignment="1">
      <alignment horizontal="right" vertical="center" indent="1"/>
    </xf>
    <xf numFmtId="0" fontId="16" fillId="0" borderId="9" xfId="10" applyFont="1" applyBorder="1" applyAlignment="1">
      <alignment horizontal="left" vertical="center" indent="1"/>
    </xf>
    <xf numFmtId="0" fontId="16" fillId="0" borderId="10" xfId="10" applyFont="1" applyBorder="1" applyAlignment="1">
      <alignment horizontal="left" vertical="center" indent="1"/>
    </xf>
    <xf numFmtId="1" fontId="17" fillId="0" borderId="9" xfId="6" applyFont="1" applyFill="1" applyBorder="1" applyAlignment="1">
      <alignment horizontal="right" vertical="center" indent="1"/>
    </xf>
    <xf numFmtId="0" fontId="21" fillId="0" borderId="0" xfId="14" applyFont="1" applyFill="1" applyBorder="1" applyAlignment="1">
      <alignment horizontal="left" vertical="center" wrapText="1"/>
    </xf>
    <xf numFmtId="0" fontId="16" fillId="0" borderId="8" xfId="10" applyFont="1" applyBorder="1" applyAlignment="1">
      <alignment horizontal="left" vertical="center" indent="1"/>
    </xf>
    <xf numFmtId="0" fontId="16" fillId="0" borderId="7" xfId="10" applyFont="1" applyBorder="1" applyAlignment="1">
      <alignment horizontal="left" vertical="center" indent="1"/>
    </xf>
    <xf numFmtId="167" fontId="17" fillId="0" borderId="9" xfId="11" applyNumberFormat="1" applyFont="1" applyFill="1" applyBorder="1" applyAlignment="1">
      <alignment horizontal="right" vertical="center" indent="1"/>
    </xf>
    <xf numFmtId="0" fontId="22" fillId="0" borderId="0" xfId="10" applyFont="1" applyBorder="1" applyAlignment="1">
      <alignment horizontal="left" vertical="center" indent="1"/>
    </xf>
    <xf numFmtId="0" fontId="16" fillId="0" borderId="5" xfId="10" applyFont="1" applyBorder="1" applyAlignment="1">
      <alignment horizontal="left" vertical="center" indent="1"/>
    </xf>
    <xf numFmtId="0" fontId="16" fillId="0" borderId="6" xfId="10" applyFont="1" applyBorder="1" applyAlignment="1">
      <alignment horizontal="left" vertical="center" indent="1"/>
    </xf>
    <xf numFmtId="167" fontId="17" fillId="0" borderId="5" xfId="11" applyNumberFormat="1" applyFont="1" applyFill="1" applyBorder="1" applyAlignment="1">
      <alignment horizontal="right" vertical="center" indent="1"/>
    </xf>
    <xf numFmtId="167" fontId="19" fillId="0" borderId="0" xfId="11" applyNumberFormat="1" applyFont="1" applyFill="1" applyAlignment="1">
      <alignment horizontal="right" indent="1"/>
    </xf>
    <xf numFmtId="0" fontId="22" fillId="0" borderId="0" xfId="8" applyFont="1" applyFill="1" applyBorder="1" applyAlignment="1">
      <alignment horizontal="left" vertical="top" indent="1"/>
    </xf>
    <xf numFmtId="0" fontId="16" fillId="0" borderId="0" xfId="8" applyFont="1" applyFill="1" applyBorder="1" applyAlignment="1">
      <alignment horizontal="right" vertical="center" indent="1"/>
    </xf>
  </cellXfs>
  <cellStyles count="16">
    <cellStyle name="Amount" xfId="9" xr:uid="{87E57D69-2D2B-47C9-9451-B6D80EFE26C0}"/>
    <cellStyle name="Comma" xfId="1" builtinId="3"/>
    <cellStyle name="Date" xfId="5" xr:uid="{45FE6701-C4FD-4CB7-8761-DA76CF49E66F}"/>
    <cellStyle name="Explanatory Text 2" xfId="10" xr:uid="{5CA3826E-D0CF-46E4-A45E-BDD374CAD43B}"/>
    <cellStyle name="Heading 2 2" xfId="13" xr:uid="{D665A9A4-607D-4D88-8261-93446DC34488}"/>
    <cellStyle name="Heading 3 2" xfId="8" xr:uid="{D1507FF2-9B52-4DEB-B187-DB3F0F22E5AA}"/>
    <cellStyle name="Heading 4 Right aligned" xfId="14" xr:uid="{2580A9BA-7279-4FAC-8ED1-2EA108C7D381}"/>
    <cellStyle name="Hyperlink" xfId="15" builtinId="8"/>
    <cellStyle name="Loan Summary" xfId="11" xr:uid="{E135CBFE-C97F-435D-A317-6094AD999883}"/>
    <cellStyle name="Normal" xfId="0" builtinId="0"/>
    <cellStyle name="Normal 2" xfId="3" xr:uid="{933FC745-33DD-4D9E-B46B-750753821507}"/>
    <cellStyle name="Number" xfId="6" xr:uid="{D83E82A2-4E45-45D2-AC9F-61D4CCD26E39}"/>
    <cellStyle name="Percent" xfId="2" builtinId="5"/>
    <cellStyle name="Percent 2" xfId="12" xr:uid="{6BAFA403-42EA-4670-985A-7C3F80AEC6AF}"/>
    <cellStyle name="Style 6" xfId="7" xr:uid="{A5491350-4AF2-4391-8DC9-83742E6CA788}"/>
    <cellStyle name="Table Amount" xfId="4" xr:uid="{F860745D-FF0D-4037-8329-6B2AC99F9C21}"/>
  </cellStyles>
  <dxfs count="16">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name val="Garamond"/>
        <family val="1"/>
        <scheme val="none"/>
      </font>
      <fill>
        <patternFill patternType="none">
          <fgColor indexed="64"/>
          <bgColor auto="1"/>
        </patternFill>
      </fill>
    </dxf>
    <dxf>
      <font>
        <strike val="0"/>
        <outline val="0"/>
        <shadow val="0"/>
        <u val="none"/>
        <vertAlign val="baseline"/>
        <sz val="14"/>
        <color rgb="FF0070C0"/>
        <name val="Garamond"/>
        <family val="1"/>
        <scheme val="none"/>
      </font>
      <fill>
        <patternFill patternType="none">
          <fgColor indexed="64"/>
          <bgColor auto="1"/>
        </patternFill>
      </fill>
      <alignment vertical="center" textRotation="0" indent="0" justifyLastLine="0" shrinkToFit="0" readingOrder="0"/>
    </dxf>
    <dxf>
      <font>
        <color theme="0"/>
      </font>
      <fill>
        <patternFill>
          <bgColor theme="0"/>
        </patternFill>
      </fill>
      <border>
        <left/>
        <right/>
        <top/>
        <bottom/>
        <vertical/>
        <horizontal/>
      </border>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4FB05086-307F-4F34-AC75-5CF4A9113233}">
      <tableStyleElement type="wholeTable" dxfId="15"/>
      <tableStyleElement type="headerRow" dxfId="14"/>
      <tableStyleElement type="totalRow"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aramond" panose="02020404030301010803" pitchFamily="18" charset="0"/>
                <a:ea typeface="+mn-ea"/>
                <a:cs typeface="+mn-cs"/>
              </a:defRPr>
            </a:pPr>
            <a:r>
              <a:rPr lang="en-US" b="1">
                <a:latin typeface="Garamond" panose="02020404030301010803" pitchFamily="18" charset="0"/>
              </a:rPr>
              <a:t>Home</a:t>
            </a:r>
            <a:r>
              <a:rPr lang="en-US" b="1" baseline="0">
                <a:latin typeface="Garamond" panose="02020404030301010803" pitchFamily="18" charset="0"/>
              </a:rPr>
              <a:t> </a:t>
            </a:r>
            <a:r>
              <a:rPr lang="en-US" b="1">
                <a:latin typeface="Garamond" panose="02020404030301010803" pitchFamily="18" charset="0"/>
              </a:rPr>
              <a:t>Equity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aramond" panose="02020404030301010803" pitchFamily="18" charset="0"/>
              <a:ea typeface="+mn-ea"/>
              <a:cs typeface="+mn-cs"/>
            </a:defRPr>
          </a:pPr>
          <a:endParaRPr lang="en-US"/>
        </a:p>
      </c:txPr>
    </c:title>
    <c:autoTitleDeleted val="0"/>
    <c:plotArea>
      <c:layout/>
      <c:barChart>
        <c:barDir val="col"/>
        <c:grouping val="clustered"/>
        <c:varyColors val="0"/>
        <c:ser>
          <c:idx val="0"/>
          <c:order val="0"/>
          <c:tx>
            <c:strRef>
              <c:f>Data!$B$2</c:f>
              <c:strCache>
                <c:ptCount val="1"/>
                <c:pt idx="0">
                  <c:v>EOY</c:v>
                </c:pt>
              </c:strCache>
            </c:strRef>
          </c:tx>
          <c:spPr>
            <a:solidFill>
              <a:schemeClr val="accent1"/>
            </a:solidFill>
            <a:ln>
              <a:noFill/>
            </a:ln>
            <a:effectLst/>
          </c:spPr>
          <c:invertIfNegative val="0"/>
          <c:val>
            <c:numRef>
              <c:f>Data!$B$4:$B$38</c:f>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val>
          <c:extLst>
            <c:ext xmlns:c16="http://schemas.microsoft.com/office/drawing/2014/chart" uri="{C3380CC4-5D6E-409C-BE32-E72D297353CC}">
              <c16:uniqueId val="{00000000-A749-4BFD-AF12-40DBC960F841}"/>
            </c:ext>
          </c:extLst>
        </c:ser>
        <c:ser>
          <c:idx val="1"/>
          <c:order val="1"/>
          <c:tx>
            <c:strRef>
              <c:f>Data!$F$2</c:f>
              <c:strCache>
                <c:ptCount val="1"/>
                <c:pt idx="0">
                  <c:v>Owner's Equity</c:v>
                </c:pt>
              </c:strCache>
            </c:strRef>
          </c:tx>
          <c:spPr>
            <a:solidFill>
              <a:srgbClr val="0070C0"/>
            </a:solidFill>
            <a:ln w="76200">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4-A749-4BFD-AF12-40DBC960F841}"/>
                </c:ext>
              </c:extLst>
            </c:dLbl>
            <c:dLbl>
              <c:idx val="1"/>
              <c:delete val="1"/>
              <c:extLst>
                <c:ext xmlns:c15="http://schemas.microsoft.com/office/drawing/2012/chart" uri="{CE6537A1-D6FC-4f65-9D91-7224C49458BB}"/>
                <c:ext xmlns:c16="http://schemas.microsoft.com/office/drawing/2014/chart" uri="{C3380CC4-5D6E-409C-BE32-E72D297353CC}">
                  <c16:uniqueId val="{00000025-A749-4BFD-AF12-40DBC960F841}"/>
                </c:ext>
              </c:extLst>
            </c:dLbl>
            <c:dLbl>
              <c:idx val="2"/>
              <c:delete val="1"/>
              <c:extLst>
                <c:ext xmlns:c15="http://schemas.microsoft.com/office/drawing/2012/chart" uri="{CE6537A1-D6FC-4f65-9D91-7224C49458BB}"/>
                <c:ext xmlns:c16="http://schemas.microsoft.com/office/drawing/2014/chart" uri="{C3380CC4-5D6E-409C-BE32-E72D297353CC}">
                  <c16:uniqueId val="{00000026-A749-4BFD-AF12-40DBC960F841}"/>
                </c:ext>
              </c:extLst>
            </c:dLbl>
            <c:dLbl>
              <c:idx val="3"/>
              <c:delete val="1"/>
              <c:extLst>
                <c:ext xmlns:c15="http://schemas.microsoft.com/office/drawing/2012/chart" uri="{CE6537A1-D6FC-4f65-9D91-7224C49458BB}"/>
                <c:ext xmlns:c16="http://schemas.microsoft.com/office/drawing/2014/chart" uri="{C3380CC4-5D6E-409C-BE32-E72D297353CC}">
                  <c16:uniqueId val="{00000027-A749-4BFD-AF12-40DBC960F841}"/>
                </c:ext>
              </c:extLst>
            </c:dLbl>
            <c:dLbl>
              <c:idx val="5"/>
              <c:delete val="1"/>
              <c:extLst>
                <c:ext xmlns:c15="http://schemas.microsoft.com/office/drawing/2012/chart" uri="{CE6537A1-D6FC-4f65-9D91-7224C49458BB}"/>
                <c:ext xmlns:c16="http://schemas.microsoft.com/office/drawing/2014/chart" uri="{C3380CC4-5D6E-409C-BE32-E72D297353CC}">
                  <c16:uniqueId val="{00000028-A749-4BFD-AF12-40DBC960F841}"/>
                </c:ext>
              </c:extLst>
            </c:dLbl>
            <c:dLbl>
              <c:idx val="6"/>
              <c:delete val="1"/>
              <c:extLst>
                <c:ext xmlns:c15="http://schemas.microsoft.com/office/drawing/2012/chart" uri="{CE6537A1-D6FC-4f65-9D91-7224C49458BB}"/>
                <c:ext xmlns:c16="http://schemas.microsoft.com/office/drawing/2014/chart" uri="{C3380CC4-5D6E-409C-BE32-E72D297353CC}">
                  <c16:uniqueId val="{00000029-A749-4BFD-AF12-40DBC960F841}"/>
                </c:ext>
              </c:extLst>
            </c:dLbl>
            <c:dLbl>
              <c:idx val="7"/>
              <c:delete val="1"/>
              <c:extLst>
                <c:ext xmlns:c15="http://schemas.microsoft.com/office/drawing/2012/chart" uri="{CE6537A1-D6FC-4f65-9D91-7224C49458BB}"/>
                <c:ext xmlns:c16="http://schemas.microsoft.com/office/drawing/2014/chart" uri="{C3380CC4-5D6E-409C-BE32-E72D297353CC}">
                  <c16:uniqueId val="{0000002A-A749-4BFD-AF12-40DBC960F841}"/>
                </c:ext>
              </c:extLst>
            </c:dLbl>
            <c:dLbl>
              <c:idx val="8"/>
              <c:delete val="1"/>
              <c:extLst>
                <c:ext xmlns:c15="http://schemas.microsoft.com/office/drawing/2012/chart" uri="{CE6537A1-D6FC-4f65-9D91-7224C49458BB}"/>
                <c:ext xmlns:c16="http://schemas.microsoft.com/office/drawing/2014/chart" uri="{C3380CC4-5D6E-409C-BE32-E72D297353CC}">
                  <c16:uniqueId val="{0000002B-A749-4BFD-AF12-40DBC960F841}"/>
                </c:ext>
              </c:extLst>
            </c:dLbl>
            <c:dLbl>
              <c:idx val="10"/>
              <c:delete val="1"/>
              <c:extLst>
                <c:ext xmlns:c15="http://schemas.microsoft.com/office/drawing/2012/chart" uri="{CE6537A1-D6FC-4f65-9D91-7224C49458BB}"/>
                <c:ext xmlns:c16="http://schemas.microsoft.com/office/drawing/2014/chart" uri="{C3380CC4-5D6E-409C-BE32-E72D297353CC}">
                  <c16:uniqueId val="{0000002C-A749-4BFD-AF12-40DBC960F841}"/>
                </c:ext>
              </c:extLst>
            </c:dLbl>
            <c:dLbl>
              <c:idx val="11"/>
              <c:delete val="1"/>
              <c:extLst>
                <c:ext xmlns:c15="http://schemas.microsoft.com/office/drawing/2012/chart" uri="{CE6537A1-D6FC-4f65-9D91-7224C49458BB}"/>
                <c:ext xmlns:c16="http://schemas.microsoft.com/office/drawing/2014/chart" uri="{C3380CC4-5D6E-409C-BE32-E72D297353CC}">
                  <c16:uniqueId val="{0000002D-A749-4BFD-AF12-40DBC960F841}"/>
                </c:ext>
              </c:extLst>
            </c:dLbl>
            <c:dLbl>
              <c:idx val="12"/>
              <c:delete val="1"/>
              <c:extLst>
                <c:ext xmlns:c15="http://schemas.microsoft.com/office/drawing/2012/chart" uri="{CE6537A1-D6FC-4f65-9D91-7224C49458BB}"/>
                <c:ext xmlns:c16="http://schemas.microsoft.com/office/drawing/2014/chart" uri="{C3380CC4-5D6E-409C-BE32-E72D297353CC}">
                  <c16:uniqueId val="{0000002E-A749-4BFD-AF12-40DBC960F841}"/>
                </c:ext>
              </c:extLst>
            </c:dLbl>
            <c:dLbl>
              <c:idx val="13"/>
              <c:delete val="1"/>
              <c:extLst>
                <c:ext xmlns:c15="http://schemas.microsoft.com/office/drawing/2012/chart" uri="{CE6537A1-D6FC-4f65-9D91-7224C49458BB}"/>
                <c:ext xmlns:c16="http://schemas.microsoft.com/office/drawing/2014/chart" uri="{C3380CC4-5D6E-409C-BE32-E72D297353CC}">
                  <c16:uniqueId val="{0000002F-A749-4BFD-AF12-40DBC960F841}"/>
                </c:ext>
              </c:extLst>
            </c:dLbl>
            <c:dLbl>
              <c:idx val="14"/>
              <c:layout>
                <c:manualLayout>
                  <c:x val="0"/>
                  <c:y val="-3.4751281019359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A749-4BFD-AF12-40DBC960F841}"/>
                </c:ext>
              </c:extLst>
            </c:dLbl>
            <c:dLbl>
              <c:idx val="15"/>
              <c:delete val="1"/>
              <c:extLst>
                <c:ext xmlns:c15="http://schemas.microsoft.com/office/drawing/2012/chart" uri="{CE6537A1-D6FC-4f65-9D91-7224C49458BB}"/>
                <c:ext xmlns:c16="http://schemas.microsoft.com/office/drawing/2014/chart" uri="{C3380CC4-5D6E-409C-BE32-E72D297353CC}">
                  <c16:uniqueId val="{00000030-A749-4BFD-AF12-40DBC960F841}"/>
                </c:ext>
              </c:extLst>
            </c:dLbl>
            <c:dLbl>
              <c:idx val="16"/>
              <c:delete val="1"/>
              <c:extLst>
                <c:ext xmlns:c15="http://schemas.microsoft.com/office/drawing/2012/chart" uri="{CE6537A1-D6FC-4f65-9D91-7224C49458BB}"/>
                <c:ext xmlns:c16="http://schemas.microsoft.com/office/drawing/2014/chart" uri="{C3380CC4-5D6E-409C-BE32-E72D297353CC}">
                  <c16:uniqueId val="{00000031-A749-4BFD-AF12-40DBC960F841}"/>
                </c:ext>
              </c:extLst>
            </c:dLbl>
            <c:dLbl>
              <c:idx val="17"/>
              <c:delete val="1"/>
              <c:extLst>
                <c:ext xmlns:c15="http://schemas.microsoft.com/office/drawing/2012/chart" uri="{CE6537A1-D6FC-4f65-9D91-7224C49458BB}"/>
                <c:ext xmlns:c16="http://schemas.microsoft.com/office/drawing/2014/chart" uri="{C3380CC4-5D6E-409C-BE32-E72D297353CC}">
                  <c16:uniqueId val="{00000032-A749-4BFD-AF12-40DBC960F841}"/>
                </c:ext>
              </c:extLst>
            </c:dLbl>
            <c:dLbl>
              <c:idx val="18"/>
              <c:delete val="1"/>
              <c:extLst>
                <c:ext xmlns:c15="http://schemas.microsoft.com/office/drawing/2012/chart" uri="{CE6537A1-D6FC-4f65-9D91-7224C49458BB}"/>
                <c:ext xmlns:c16="http://schemas.microsoft.com/office/drawing/2014/chart" uri="{C3380CC4-5D6E-409C-BE32-E72D297353CC}">
                  <c16:uniqueId val="{00000033-A749-4BFD-AF12-40DBC960F841}"/>
                </c:ext>
              </c:extLst>
            </c:dLbl>
            <c:dLbl>
              <c:idx val="19"/>
              <c:layout>
                <c:manualLayout>
                  <c:x val="0"/>
                  <c:y val="-3.2078105556332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A749-4BFD-AF12-40DBC960F841}"/>
                </c:ext>
              </c:extLst>
            </c:dLbl>
            <c:dLbl>
              <c:idx val="20"/>
              <c:delete val="1"/>
              <c:extLst>
                <c:ext xmlns:c15="http://schemas.microsoft.com/office/drawing/2012/chart" uri="{CE6537A1-D6FC-4f65-9D91-7224C49458BB}"/>
                <c:ext xmlns:c16="http://schemas.microsoft.com/office/drawing/2014/chart" uri="{C3380CC4-5D6E-409C-BE32-E72D297353CC}">
                  <c16:uniqueId val="{00000034-A749-4BFD-AF12-40DBC960F841}"/>
                </c:ext>
              </c:extLst>
            </c:dLbl>
            <c:dLbl>
              <c:idx val="21"/>
              <c:delete val="1"/>
              <c:extLst>
                <c:ext xmlns:c15="http://schemas.microsoft.com/office/drawing/2012/chart" uri="{CE6537A1-D6FC-4f65-9D91-7224C49458BB}"/>
                <c:ext xmlns:c16="http://schemas.microsoft.com/office/drawing/2014/chart" uri="{C3380CC4-5D6E-409C-BE32-E72D297353CC}">
                  <c16:uniqueId val="{00000035-A749-4BFD-AF12-40DBC960F841}"/>
                </c:ext>
              </c:extLst>
            </c:dLbl>
            <c:dLbl>
              <c:idx val="22"/>
              <c:delete val="1"/>
              <c:extLst>
                <c:ext xmlns:c15="http://schemas.microsoft.com/office/drawing/2012/chart" uri="{CE6537A1-D6FC-4f65-9D91-7224C49458BB}"/>
                <c:ext xmlns:c16="http://schemas.microsoft.com/office/drawing/2014/chart" uri="{C3380CC4-5D6E-409C-BE32-E72D297353CC}">
                  <c16:uniqueId val="{00000036-A749-4BFD-AF12-40DBC960F841}"/>
                </c:ext>
              </c:extLst>
            </c:dLbl>
            <c:dLbl>
              <c:idx val="23"/>
              <c:delete val="1"/>
              <c:extLst>
                <c:ext xmlns:c15="http://schemas.microsoft.com/office/drawing/2012/chart" uri="{CE6537A1-D6FC-4f65-9D91-7224C49458BB}"/>
                <c:ext xmlns:c16="http://schemas.microsoft.com/office/drawing/2014/chart" uri="{C3380CC4-5D6E-409C-BE32-E72D297353CC}">
                  <c16:uniqueId val="{00000037-A749-4BFD-AF12-40DBC960F841}"/>
                </c:ext>
              </c:extLst>
            </c:dLbl>
            <c:dLbl>
              <c:idx val="24"/>
              <c:layout>
                <c:manualLayout>
                  <c:x val="-1.7390649444904069E-3"/>
                  <c:y val="-3.2078105556332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A749-4BFD-AF12-40DBC960F841}"/>
                </c:ext>
              </c:extLst>
            </c:dLbl>
            <c:dLbl>
              <c:idx val="25"/>
              <c:delete val="1"/>
              <c:extLst>
                <c:ext xmlns:c15="http://schemas.microsoft.com/office/drawing/2012/chart" uri="{CE6537A1-D6FC-4f65-9D91-7224C49458BB}"/>
                <c:ext xmlns:c16="http://schemas.microsoft.com/office/drawing/2014/chart" uri="{C3380CC4-5D6E-409C-BE32-E72D297353CC}">
                  <c16:uniqueId val="{00000038-A749-4BFD-AF12-40DBC960F841}"/>
                </c:ext>
              </c:extLst>
            </c:dLbl>
            <c:dLbl>
              <c:idx val="26"/>
              <c:delete val="1"/>
              <c:extLst>
                <c:ext xmlns:c15="http://schemas.microsoft.com/office/drawing/2012/chart" uri="{CE6537A1-D6FC-4f65-9D91-7224C49458BB}"/>
                <c:ext xmlns:c16="http://schemas.microsoft.com/office/drawing/2014/chart" uri="{C3380CC4-5D6E-409C-BE32-E72D297353CC}">
                  <c16:uniqueId val="{00000039-A749-4BFD-AF12-40DBC960F841}"/>
                </c:ext>
              </c:extLst>
            </c:dLbl>
            <c:dLbl>
              <c:idx val="27"/>
              <c:delete val="1"/>
              <c:extLst>
                <c:ext xmlns:c15="http://schemas.microsoft.com/office/drawing/2012/chart" uri="{CE6537A1-D6FC-4f65-9D91-7224C49458BB}"/>
                <c:ext xmlns:c16="http://schemas.microsoft.com/office/drawing/2014/chart" uri="{C3380CC4-5D6E-409C-BE32-E72D297353CC}">
                  <c16:uniqueId val="{0000003A-A749-4BFD-AF12-40DBC960F841}"/>
                </c:ext>
              </c:extLst>
            </c:dLbl>
            <c:dLbl>
              <c:idx val="28"/>
              <c:delete val="1"/>
              <c:extLst>
                <c:ext xmlns:c15="http://schemas.microsoft.com/office/drawing/2012/chart" uri="{CE6537A1-D6FC-4f65-9D91-7224C49458BB}"/>
                <c:ext xmlns:c16="http://schemas.microsoft.com/office/drawing/2014/chart" uri="{C3380CC4-5D6E-409C-BE32-E72D297353CC}">
                  <c16:uniqueId val="{0000003B-A749-4BFD-AF12-40DBC960F841}"/>
                </c:ext>
              </c:extLst>
            </c:dLbl>
            <c:dLbl>
              <c:idx val="29"/>
              <c:layout>
                <c:manualLayout>
                  <c:x val="0"/>
                  <c:y val="-1.871222824119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A749-4BFD-AF12-40DBC960F841}"/>
                </c:ext>
              </c:extLst>
            </c:dLbl>
            <c:dLbl>
              <c:idx val="30"/>
              <c:delete val="1"/>
              <c:extLst>
                <c:ext xmlns:c15="http://schemas.microsoft.com/office/drawing/2012/chart" uri="{CE6537A1-D6FC-4f65-9D91-7224C49458BB}"/>
                <c:ext xmlns:c16="http://schemas.microsoft.com/office/drawing/2014/chart" uri="{C3380CC4-5D6E-409C-BE32-E72D297353CC}">
                  <c16:uniqueId val="{0000003C-A749-4BFD-AF12-40DBC960F841}"/>
                </c:ext>
              </c:extLst>
            </c:dLbl>
            <c:dLbl>
              <c:idx val="31"/>
              <c:delete val="1"/>
              <c:extLst>
                <c:ext xmlns:c15="http://schemas.microsoft.com/office/drawing/2012/chart" uri="{CE6537A1-D6FC-4f65-9D91-7224C49458BB}"/>
                <c:ext xmlns:c16="http://schemas.microsoft.com/office/drawing/2014/chart" uri="{C3380CC4-5D6E-409C-BE32-E72D297353CC}">
                  <c16:uniqueId val="{0000003D-A749-4BFD-AF12-40DBC960F841}"/>
                </c:ext>
              </c:extLst>
            </c:dLbl>
            <c:dLbl>
              <c:idx val="32"/>
              <c:delete val="1"/>
              <c:extLst>
                <c:ext xmlns:c15="http://schemas.microsoft.com/office/drawing/2012/chart" uri="{CE6537A1-D6FC-4f65-9D91-7224C49458BB}"/>
                <c:ext xmlns:c16="http://schemas.microsoft.com/office/drawing/2014/chart" uri="{C3380CC4-5D6E-409C-BE32-E72D297353CC}">
                  <c16:uniqueId val="{0000003E-A749-4BFD-AF12-40DBC960F841}"/>
                </c:ext>
              </c:extLst>
            </c:dLbl>
            <c:dLbl>
              <c:idx val="33"/>
              <c:delete val="1"/>
              <c:extLst>
                <c:ext xmlns:c15="http://schemas.microsoft.com/office/drawing/2012/chart" uri="{CE6537A1-D6FC-4f65-9D91-7224C49458BB}"/>
                <c:ext xmlns:c16="http://schemas.microsoft.com/office/drawing/2014/chart" uri="{C3380CC4-5D6E-409C-BE32-E72D297353CC}">
                  <c16:uniqueId val="{0000003F-A749-4BFD-AF12-40DBC960F8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aramond" panose="02020404030301010803"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Data!$F$4:$F$38</c:f>
              <c:numCache>
                <c:formatCode>_(* #,##0_);_(* \(#,##0\);_(* "-"??_);_(@_)</c:formatCode>
                <c:ptCount val="35"/>
                <c:pt idx="0">
                  <c:v>19137.498588846065</c:v>
                </c:pt>
                <c:pt idx="1">
                  <c:v>39237.668304429331</c:v>
                </c:pt>
                <c:pt idx="2">
                  <c:v>60351.436392089061</c:v>
                </c:pt>
                <c:pt idx="3">
                  <c:v>82532.592034319532</c:v>
                </c:pt>
                <c:pt idx="4">
                  <c:v>105837.95787999575</c:v>
                </c:pt>
                <c:pt idx="5">
                  <c:v>130327.57249628654</c:v>
                </c:pt>
                <c:pt idx="6">
                  <c:v>156064.88447493268</c:v>
                </c:pt>
                <c:pt idx="7">
                  <c:v>183116.95897549274</c:v>
                </c:pt>
                <c:pt idx="8">
                  <c:v>211554.69754273351</c:v>
                </c:pt>
                <c:pt idx="9">
                  <c:v>241453.07209380949</c:v>
                </c:pt>
                <c:pt idx="10">
                  <c:v>272891.37403354596</c:v>
                </c:pt>
                <c:pt idx="11">
                  <c:v>305953.47952329804</c:v>
                </c:pt>
                <c:pt idx="12">
                  <c:v>340728.13200084766</c:v>
                </c:pt>
                <c:pt idx="13">
                  <c:v>377309.2431259547</c:v>
                </c:pt>
                <c:pt idx="14">
                  <c:v>415796.21340890112</c:v>
                </c:pt>
                <c:pt idx="15">
                  <c:v>456294.27386803855</c:v>
                </c:pt>
                <c:pt idx="16">
                  <c:v>498914.85015742481</c:v>
                </c:pt>
                <c:pt idx="17">
                  <c:v>543775.95070756646</c:v>
                </c:pt>
                <c:pt idx="18">
                  <c:v>591002.58053159527</c:v>
                </c:pt>
                <c:pt idx="19">
                  <c:v>640727.18246641115</c:v>
                </c:pt>
                <c:pt idx="20">
                  <c:v>693090.10774402518</c:v>
                </c:pt>
                <c:pt idx="21">
                  <c:v>748240.11792314192</c:v>
                </c:pt>
                <c:pt idx="22">
                  <c:v>806334.92035560799</c:v>
                </c:pt>
                <c:pt idx="23">
                  <c:v>867541.73951743369</c:v>
                </c:pt>
                <c:pt idx="24">
                  <c:v>932037.92670044827</c:v>
                </c:pt>
                <c:pt idx="25">
                  <c:v>1000011.6107390933</c:v>
                </c:pt>
                <c:pt idx="26">
                  <c:v>1071662.3926382945</c:v>
                </c:pt>
                <c:pt idx="27">
                  <c:v>1147202.087173732</c:v>
                </c:pt>
                <c:pt idx="28">
                  <c:v>1226855.514756165</c:v>
                </c:pt>
                <c:pt idx="29">
                  <c:v>1310861.3470879018</c:v>
                </c:pt>
                <c:pt idx="30">
                  <c:v>1369850.1077068574</c:v>
                </c:pt>
                <c:pt idx="31">
                  <c:v>1431493.3625536659</c:v>
                </c:pt>
                <c:pt idx="32">
                  <c:v>1495910.5638685809</c:v>
                </c:pt>
                <c:pt idx="33">
                  <c:v>1563226.5392426669</c:v>
                </c:pt>
                <c:pt idx="34">
                  <c:v>1633571.7335085869</c:v>
                </c:pt>
              </c:numCache>
            </c:numRef>
          </c:val>
          <c:extLst>
            <c:ext xmlns:c16="http://schemas.microsoft.com/office/drawing/2014/chart" uri="{C3380CC4-5D6E-409C-BE32-E72D297353CC}">
              <c16:uniqueId val="{00000001-A749-4BFD-AF12-40DBC960F841}"/>
            </c:ext>
          </c:extLst>
        </c:ser>
        <c:dLbls>
          <c:showLegendKey val="0"/>
          <c:showVal val="0"/>
          <c:showCatName val="0"/>
          <c:showSerName val="0"/>
          <c:showPercent val="0"/>
          <c:showBubbleSize val="0"/>
        </c:dLbls>
        <c:gapWidth val="1"/>
        <c:overlap val="-27"/>
        <c:axId val="1523354959"/>
        <c:axId val="1523342959"/>
      </c:barChart>
      <c:catAx>
        <c:axId val="1523354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1523342959"/>
        <c:crosses val="autoZero"/>
        <c:auto val="1"/>
        <c:lblAlgn val="ctr"/>
        <c:lblOffset val="50"/>
        <c:noMultiLvlLbl val="0"/>
      </c:catAx>
      <c:valAx>
        <c:axId val="152334295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crossAx val="1523354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bg2">
            <a:shade val="30000"/>
            <a:satMod val="115000"/>
          </a:schemeClr>
        </a:gs>
        <a:gs pos="0">
          <a:schemeClr val="bg2">
            <a:shade val="67500"/>
            <a:satMod val="115000"/>
          </a:schemeClr>
        </a:gs>
        <a:gs pos="100000">
          <a:schemeClr val="bg2">
            <a:shade val="100000"/>
            <a:satMod val="115000"/>
          </a:schemeClr>
        </a:gs>
      </a:gsLst>
      <a:lin ang="10800000" scaled="1"/>
      <a:tileRect/>
    </a:gradFill>
    <a:ln w="9525" cap="rnd"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xdr:from>
      <xdr:col>4</xdr:col>
      <xdr:colOff>256762</xdr:colOff>
      <xdr:row>0</xdr:row>
      <xdr:rowOff>179297</xdr:rowOff>
    </xdr:from>
    <xdr:to>
      <xdr:col>15</xdr:col>
      <xdr:colOff>190500</xdr:colOff>
      <xdr:row>22</xdr:row>
      <xdr:rowOff>182216</xdr:rowOff>
    </xdr:to>
    <xdr:graphicFrame macro="">
      <xdr:nvGraphicFramePr>
        <xdr:cNvPr id="2" name="Chart 1">
          <a:extLst>
            <a:ext uri="{FF2B5EF4-FFF2-40B4-BE49-F238E27FC236}">
              <a16:creationId xmlns:a16="http://schemas.microsoft.com/office/drawing/2014/main" id="{890FD25F-094A-40AB-9B15-440DC46859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64771</xdr:colOff>
      <xdr:row>14</xdr:row>
      <xdr:rowOff>85724</xdr:rowOff>
    </xdr:from>
    <xdr:to>
      <xdr:col>4</xdr:col>
      <xdr:colOff>149135</xdr:colOff>
      <xdr:row>19</xdr:row>
      <xdr:rowOff>41909</xdr:rowOff>
    </xdr:to>
    <xdr:pic>
      <xdr:nvPicPr>
        <xdr:cNvPr id="5" name="Picture 4">
          <a:extLst>
            <a:ext uri="{FF2B5EF4-FFF2-40B4-BE49-F238E27FC236}">
              <a16:creationId xmlns:a16="http://schemas.microsoft.com/office/drawing/2014/main" id="{45794591-4F2B-2067-3171-1EF329FB4E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571" y="3438524"/>
          <a:ext cx="3016159" cy="912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890905" cy="911225"/>
    <xdr:pic>
      <xdr:nvPicPr>
        <xdr:cNvPr id="2" name="Graphic 1" descr="bank building icon">
          <a:extLst>
            <a:ext uri="{FF2B5EF4-FFF2-40B4-BE49-F238E27FC236}">
              <a16:creationId xmlns:a16="http://schemas.microsoft.com/office/drawing/2014/main" id="{9AA00832-CFD9-4C7E-B57D-EACD8509C93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90550" y="190500"/>
          <a:ext cx="890905" cy="911225"/>
        </a:xfrm>
        <a:prstGeom prst="rect">
          <a:avLst/>
        </a:prstGeom>
      </xdr:spPr>
    </xdr:pic>
    <xdr:clientData/>
  </xdr:oneCellAnchor>
  <xdr:oneCellAnchor>
    <xdr:from>
      <xdr:col>1</xdr:col>
      <xdr:colOff>0</xdr:colOff>
      <xdr:row>1</xdr:row>
      <xdr:rowOff>0</xdr:rowOff>
    </xdr:from>
    <xdr:ext cx="890905" cy="911225"/>
    <xdr:pic>
      <xdr:nvPicPr>
        <xdr:cNvPr id="3" name="Graphic 2" descr="bank building icon">
          <a:extLst>
            <a:ext uri="{FF2B5EF4-FFF2-40B4-BE49-F238E27FC236}">
              <a16:creationId xmlns:a16="http://schemas.microsoft.com/office/drawing/2014/main" id="{D4888A81-A87E-4B6B-B73E-A22DA842C9C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90550" y="190500"/>
          <a:ext cx="890905" cy="9112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n%20amortization%20schedul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amortization schedule1"/>
    </sheetNames>
    <definedNames>
      <definedName name="LoanIsGood" refersTo="#REF!"/>
      <definedName name="PaymentsPerYear" refersTo="#REF!"/>
    </defined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914636-CFD3-4799-86BA-3B54E24393CC}" name="PaymentSchedule3" displayName="PaymentSchedule3" ref="B13:K375" totalsRowShown="0" headerRowDxfId="11" dataDxfId="10" headerRowCellStyle="Style 6">
  <tableColumns count="10">
    <tableColumn id="1" xr3:uid="{34276CB7-3C34-4F7B-BA90-A3E3BDDC992A}" name="Payment Number" dataDxfId="9" dataCellStyle="Number">
      <calculatedColumnFormula>IF(LoanIsGood,IF(ROW()-ROW(PaymentSchedule3[[#Headers],[Payment Number]])&gt;ScheduledNumberOfPayments,"",ROW()-ROW(PaymentSchedule3[[#Headers],[Payment Number]])),"")</calculatedColumnFormula>
    </tableColumn>
    <tableColumn id="2" xr3:uid="{1403A054-F61D-429F-B1BB-4476EC6315CE}" name="Payment_x000a_Date" dataDxfId="8" dataCellStyle="Date">
      <calculatedColumnFormula>IF(PaymentSchedule3[[#This Row],[Payment Number]]&lt;&gt;"",EOMONTH(LoanStartDate,ROW(PaymentSchedule3[[#This Row],[Payment Number]])-ROW(PaymentSchedule3[[#Headers],[Payment Number]])-2)+DAY(LoanStartDate),"")</calculatedColumnFormula>
    </tableColumn>
    <tableColumn id="3" xr3:uid="{E67FFDE2-0DC2-4D6E-AF3F-C5A588B48155}" name="Beginning_x000a_Balance" dataDxfId="7" dataCellStyle="Table Amount">
      <calculatedColumnFormula>IF(PaymentSchedule3[[#This Row],[Payment Number]]&lt;&gt;"",IF(ROW()-ROW(PaymentSchedule3[[#Headers],[Beginning
Balance]])=1,LoanAmount,INDEX(PaymentSchedule3[Ending
Balance],ROW()-ROW(PaymentSchedule3[[#Headers],[Beginning
Balance]])-1)),"")</calculatedColumnFormula>
    </tableColumn>
    <tableColumn id="4" xr3:uid="{7F890269-E34F-4DDB-A395-4C6596B64B17}" name="Scheduled Payment" dataDxfId="6" dataCellStyle="Table Amount">
      <calculatedColumnFormula>IF(PaymentSchedule3[[#This Row],[Payment Number]]&lt;&gt;"",ScheduledPayment,"")</calculatedColumnFormula>
    </tableColumn>
    <tableColumn id="5" xr3:uid="{931027E7-8C19-4466-9D4A-F9288DA86D21}" name="Extra_x000a_Payment" dataDxfId="5" dataCellStyle="Table Amount">
      <calculatedColumnFormula>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calculatedColumnFormula>
    </tableColumn>
    <tableColumn id="6" xr3:uid="{CC5B15AD-AB99-402B-813B-ED379DF9B554}" name="Total_x000a_Payment" dataDxfId="4" dataCellStyle="Table Amount">
      <calculatedColumnFormula>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calculatedColumnFormula>
    </tableColumn>
    <tableColumn id="7" xr3:uid="{56A64BC0-073E-48F7-BD63-28B35D636790}" name="Principal" dataDxfId="3" dataCellStyle="Table Amount">
      <calculatedColumnFormula>IF(PaymentSchedule3[[#This Row],[Payment Number]]&lt;&gt;"",PaymentSchedule3[[#This Row],[Total
Payment]]-PaymentSchedule3[[#This Row],[Interest]],"")</calculatedColumnFormula>
    </tableColumn>
    <tableColumn id="8" xr3:uid="{4A9CA4D4-2346-4A75-8123-A968977AF4B8}" name="Interest" dataDxfId="2" dataCellStyle="Table Amount">
      <calculatedColumnFormula>IF(PaymentSchedule3[[#This Row],[Payment Number]]&lt;&gt;"",PaymentSchedule3[[#This Row],[Beginning
Balance]]*(InterestRate/PaymentsPerYear),"")</calculatedColumnFormula>
    </tableColumn>
    <tableColumn id="9" xr3:uid="{C39E71DF-B719-4486-AA13-11B7D11F817D}" name="Ending_x000a_Balance" dataDxfId="1" dataCellStyle="Table Amount">
      <calculatedColumnFormula>IF(PaymentSchedule3[[#This Row],[Payment Number]]&lt;&gt;"",IF(PaymentSchedule3[[#This Row],[Scheduled Payment]]+PaymentSchedule3[[#This Row],[Extra
Payment]]&lt;=PaymentSchedule3[[#This Row],[Beginning
Balance]],PaymentSchedule3[[#This Row],[Beginning
Balance]]-PaymentSchedule3[[#This Row],[Principal]],0),"")</calculatedColumnFormula>
    </tableColumn>
    <tableColumn id="10" xr3:uid="{FF2DDF66-04AB-4B2F-A770-16226B363CDF}" name="Cumulative_x000a_Interest" dataDxfId="0" dataCellStyle="Table Amount">
      <calculatedColumnFormula>IF(PaymentSchedule3[[#This Row],[Payment Number]]&lt;&gt;"",SUM(INDEX(PaymentSchedule3[Interest],1,1):PaymentSchedule3[[#This Row],[Interest]]),"")</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heCPAMortgageGu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A257-1D08-47DF-9533-F2829A218623}">
  <sheetPr codeName="Sheet1">
    <pageSetUpPr fitToPage="1"/>
  </sheetPr>
  <dimension ref="B2:D28"/>
  <sheetViews>
    <sheetView showGridLines="0" tabSelected="1" zoomScale="115" zoomScaleNormal="115" workbookViewId="0">
      <selection activeCell="D3" sqref="D3"/>
    </sheetView>
  </sheetViews>
  <sheetFormatPr defaultColWidth="9.109375" defaultRowHeight="14.4" x14ac:dyDescent="0.3"/>
  <cols>
    <col min="1" max="1" width="2.88671875" customWidth="1"/>
    <col min="3" max="3" width="19.109375" bestFit="1" customWidth="1"/>
    <col min="4" max="4" width="15.6640625" bestFit="1" customWidth="1"/>
  </cols>
  <sheetData>
    <row r="2" spans="3:4" x14ac:dyDescent="0.3">
      <c r="C2" s="36" t="s">
        <v>0</v>
      </c>
      <c r="D2" s="31">
        <v>350000</v>
      </c>
    </row>
    <row r="3" spans="3:4" x14ac:dyDescent="0.3">
      <c r="C3" s="36" t="s">
        <v>1</v>
      </c>
      <c r="D3" s="32">
        <v>0</v>
      </c>
    </row>
    <row r="4" spans="3:4" x14ac:dyDescent="0.3">
      <c r="C4" s="36" t="s">
        <v>30</v>
      </c>
      <c r="D4" s="37">
        <f>SalePrice*DownPercent</f>
        <v>0</v>
      </c>
    </row>
    <row r="5" spans="3:4" x14ac:dyDescent="0.3">
      <c r="C5" s="36" t="s">
        <v>31</v>
      </c>
      <c r="D5" s="37">
        <f>SalePrice-D4</f>
        <v>350000</v>
      </c>
    </row>
    <row r="6" spans="3:4" x14ac:dyDescent="0.3">
      <c r="C6" s="36" t="s">
        <v>2</v>
      </c>
      <c r="D6" s="31">
        <v>30</v>
      </c>
    </row>
    <row r="7" spans="3:4" x14ac:dyDescent="0.3">
      <c r="C7" s="36" t="s">
        <v>3</v>
      </c>
      <c r="D7" s="33">
        <v>7.2499999999999995E-2</v>
      </c>
    </row>
    <row r="8" spans="3:4" x14ac:dyDescent="0.3">
      <c r="C8" s="36" t="s">
        <v>5</v>
      </c>
      <c r="D8" s="34">
        <v>4.4999999999999998E-2</v>
      </c>
    </row>
    <row r="10" spans="3:4" ht="21" x14ac:dyDescent="0.4">
      <c r="C10" s="38" t="s">
        <v>35</v>
      </c>
      <c r="D10" s="35">
        <v>7</v>
      </c>
    </row>
    <row r="11" spans="3:4" ht="21" x14ac:dyDescent="0.4">
      <c r="C11" s="38" t="s">
        <v>36</v>
      </c>
      <c r="D11" s="39">
        <f ca="1">_xlfn.XLOOKUP(D10,Data!$B$3:$B$37,Data!F3:F37)</f>
        <v>156064.88447493268</v>
      </c>
    </row>
    <row r="12" spans="3:4" ht="21" x14ac:dyDescent="0.4">
      <c r="C12" s="38"/>
      <c r="D12" s="39"/>
    </row>
    <row r="13" spans="3:4" ht="21" x14ac:dyDescent="0.4">
      <c r="C13" s="38"/>
      <c r="D13" s="43"/>
    </row>
    <row r="22" spans="2:4" ht="15.6" x14ac:dyDescent="0.3">
      <c r="B22" s="40" t="s">
        <v>37</v>
      </c>
    </row>
    <row r="23" spans="2:4" ht="15.6" x14ac:dyDescent="0.3">
      <c r="B23" s="41" t="s">
        <v>38</v>
      </c>
    </row>
    <row r="24" spans="2:4" ht="15.6" x14ac:dyDescent="0.3">
      <c r="B24" s="40" t="s">
        <v>39</v>
      </c>
    </row>
    <row r="28" spans="2:4" x14ac:dyDescent="0.3">
      <c r="D28" s="42"/>
    </row>
  </sheetData>
  <sheetProtection algorithmName="SHA-512" hashValue="+FtAgGDazHqHuRaWab69pJlmb+j9v9qU6M6H9RUYlWqy6n+hNMZt4ufcv7/1/cKFm7N5jDPgjjzaNuYhnpLTmQ==" saltValue="Nf3+Dp5ucIMKHURO6gLrpw==" spinCount="100000" sheet="1" selectLockedCells="1"/>
  <hyperlinks>
    <hyperlink ref="B23" r:id="rId1" xr:uid="{5D38629D-91BA-4E23-95AA-8EDEBD2688DB}"/>
  </hyperlinks>
  <pageMargins left="0.25" right="0.25" top="0.75" bottom="0.75" header="0.3" footer="0.3"/>
  <pageSetup scale="8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DAA95-A9DE-4E75-AE0C-6DBA0A41BA5A}">
  <sheetPr codeName="Sheet2">
    <tabColor rgb="FF002060"/>
  </sheetPr>
  <dimension ref="B2:F38"/>
  <sheetViews>
    <sheetView topLeftCell="A25" workbookViewId="0">
      <selection activeCell="E4" sqref="E4"/>
    </sheetView>
  </sheetViews>
  <sheetFormatPr defaultRowHeight="14.4" x14ac:dyDescent="0.3"/>
  <cols>
    <col min="4" max="4" width="11.88671875" bestFit="1" customWidth="1"/>
    <col min="5" max="5" width="13.5546875" bestFit="1" customWidth="1"/>
    <col min="6" max="6" width="14" bestFit="1" customWidth="1"/>
  </cols>
  <sheetData>
    <row r="2" spans="2:6" x14ac:dyDescent="0.3">
      <c r="B2" s="26" t="s">
        <v>4</v>
      </c>
      <c r="C2" s="26" t="s">
        <v>34</v>
      </c>
      <c r="D2" s="4" t="s">
        <v>0</v>
      </c>
      <c r="E2" s="4" t="s">
        <v>32</v>
      </c>
      <c r="F2" s="4" t="s">
        <v>33</v>
      </c>
    </row>
    <row r="3" spans="2:6" x14ac:dyDescent="0.3">
      <c r="B3" s="1">
        <v>0</v>
      </c>
      <c r="C3" s="1">
        <f>B3*12</f>
        <v>0</v>
      </c>
      <c r="D3" s="27">
        <f>SalePrice</f>
        <v>350000</v>
      </c>
      <c r="E3" s="27">
        <f>InitLoanAmt</f>
        <v>350000</v>
      </c>
      <c r="F3" s="27">
        <f>D3-E3</f>
        <v>0</v>
      </c>
    </row>
    <row r="4" spans="2:6" x14ac:dyDescent="0.3">
      <c r="B4" s="2">
        <v>1</v>
      </c>
      <c r="C4" s="2">
        <f t="shared" ref="C4:C38" si="0">B4*12</f>
        <v>12</v>
      </c>
      <c r="D4" s="28">
        <f t="shared" ref="D4:D38" si="1">D3*(1+AppreciationRate)</f>
        <v>365750</v>
      </c>
      <c r="E4" s="28">
        <f ca="1">IFERROR(_xlfn.XLOOKUP(C4,'Loan Schedule'!$B$14:$B$373,'Loan Schedule'!$J$14:$J$373),0)</f>
        <v>346612.50141115393</v>
      </c>
      <c r="F4" s="28">
        <f t="shared" ref="F4:F38" ca="1" si="2">D4-E4</f>
        <v>19137.498588846065</v>
      </c>
    </row>
    <row r="5" spans="2:6" x14ac:dyDescent="0.3">
      <c r="B5" s="2">
        <v>2</v>
      </c>
      <c r="C5" s="2">
        <f t="shared" si="0"/>
        <v>24</v>
      </c>
      <c r="D5" s="28">
        <f t="shared" si="1"/>
        <v>382208.75</v>
      </c>
      <c r="E5" s="28">
        <f ca="1">IFERROR(_xlfn.XLOOKUP(C5,'Loan Schedule'!$B$14:$B$373,'Loan Schedule'!$J$14:$J$373),0)</f>
        <v>342971.08169557067</v>
      </c>
      <c r="F5" s="28">
        <f t="shared" ca="1" si="2"/>
        <v>39237.668304429331</v>
      </c>
    </row>
    <row r="6" spans="2:6" x14ac:dyDescent="0.3">
      <c r="B6" s="2">
        <v>3</v>
      </c>
      <c r="C6" s="2">
        <f t="shared" si="0"/>
        <v>36</v>
      </c>
      <c r="D6" s="28">
        <f t="shared" si="1"/>
        <v>399408.14374999999</v>
      </c>
      <c r="E6" s="28">
        <f ca="1">IFERROR(_xlfn.XLOOKUP(C6,'Loan Schedule'!$B$14:$B$373,'Loan Schedule'!$J$14:$J$373),0)</f>
        <v>339056.70735791093</v>
      </c>
      <c r="F6" s="28">
        <f t="shared" ca="1" si="2"/>
        <v>60351.436392089061</v>
      </c>
    </row>
    <row r="7" spans="2:6" x14ac:dyDescent="0.3">
      <c r="B7" s="2">
        <v>4</v>
      </c>
      <c r="C7" s="2">
        <f t="shared" si="0"/>
        <v>48</v>
      </c>
      <c r="D7" s="28">
        <f t="shared" si="1"/>
        <v>417381.51021874999</v>
      </c>
      <c r="E7" s="28">
        <f ca="1">IFERROR(_xlfn.XLOOKUP(C7,'Loan Schedule'!$B$14:$B$373,'Loan Schedule'!$J$14:$J$373),0)</f>
        <v>334848.91818443045</v>
      </c>
      <c r="F7" s="28">
        <f t="shared" ca="1" si="2"/>
        <v>82532.592034319532</v>
      </c>
    </row>
    <row r="8" spans="2:6" x14ac:dyDescent="0.3">
      <c r="B8" s="2">
        <v>5</v>
      </c>
      <c r="C8" s="2">
        <f t="shared" si="0"/>
        <v>60</v>
      </c>
      <c r="D8" s="28">
        <f t="shared" si="1"/>
        <v>436163.67817859369</v>
      </c>
      <c r="E8" s="28">
        <f ca="1">IFERROR(_xlfn.XLOOKUP(C8,'Loan Schedule'!$B$14:$B$373,'Loan Schedule'!$J$14:$J$373),0)</f>
        <v>330325.72029859794</v>
      </c>
      <c r="F8" s="28">
        <f t="shared" ca="1" si="2"/>
        <v>105837.95787999575</v>
      </c>
    </row>
    <row r="9" spans="2:6" x14ac:dyDescent="0.3">
      <c r="B9" s="3">
        <v>6</v>
      </c>
      <c r="C9" s="3">
        <f t="shared" si="0"/>
        <v>72</v>
      </c>
      <c r="D9" s="28">
        <f t="shared" si="1"/>
        <v>455791.0436966304</v>
      </c>
      <c r="E9" s="28">
        <f ca="1">IFERROR(_xlfn.XLOOKUP(C9,'Loan Schedule'!$B$14:$B$373,'Loan Schedule'!$J$14:$J$373),0)</f>
        <v>325463.47120034386</v>
      </c>
      <c r="F9" s="29">
        <f t="shared" ca="1" si="2"/>
        <v>130327.57249628654</v>
      </c>
    </row>
    <row r="10" spans="2:6" x14ac:dyDescent="0.3">
      <c r="B10" s="3">
        <v>7</v>
      </c>
      <c r="C10" s="3">
        <f t="shared" si="0"/>
        <v>84</v>
      </c>
      <c r="D10" s="28">
        <f t="shared" si="1"/>
        <v>476301.64066297875</v>
      </c>
      <c r="E10" s="28">
        <f ca="1">IFERROR(_xlfn.XLOOKUP(C10,'Loan Schedule'!$B$14:$B$373,'Loan Schedule'!$J$14:$J$373),0)</f>
        <v>320236.75618804607</v>
      </c>
      <c r="F10" s="29">
        <f t="shared" ca="1" si="2"/>
        <v>156064.88447493268</v>
      </c>
    </row>
    <row r="11" spans="2:6" x14ac:dyDescent="0.3">
      <c r="B11" s="3">
        <v>8</v>
      </c>
      <c r="C11" s="3">
        <f t="shared" si="0"/>
        <v>96</v>
      </c>
      <c r="D11" s="28">
        <f t="shared" si="1"/>
        <v>497735.21449281275</v>
      </c>
      <c r="E11" s="28">
        <f ca="1">IFERROR(_xlfn.XLOOKUP(C11,'Loan Schedule'!$B$14:$B$373,'Loan Schedule'!$J$14:$J$373),0)</f>
        <v>314618.25551732001</v>
      </c>
      <c r="F11" s="29">
        <f t="shared" ca="1" si="2"/>
        <v>183116.95897549274</v>
      </c>
    </row>
    <row r="12" spans="2:6" x14ac:dyDescent="0.3">
      <c r="B12" s="3">
        <v>9</v>
      </c>
      <c r="C12" s="3">
        <f t="shared" si="0"/>
        <v>108</v>
      </c>
      <c r="D12" s="28">
        <f t="shared" si="1"/>
        <v>520133.29914498929</v>
      </c>
      <c r="E12" s="28">
        <f ca="1">IFERROR(_xlfn.XLOOKUP(C12,'Loan Schedule'!$B$14:$B$373,'Loan Schedule'!$J$14:$J$373),0)</f>
        <v>308578.60160225577</v>
      </c>
      <c r="F12" s="29">
        <f t="shared" ca="1" si="2"/>
        <v>211554.69754273351</v>
      </c>
    </row>
    <row r="13" spans="2:6" x14ac:dyDescent="0.3">
      <c r="B13" s="3">
        <v>10</v>
      </c>
      <c r="C13" s="3">
        <f t="shared" si="0"/>
        <v>120</v>
      </c>
      <c r="D13" s="28">
        <f t="shared" si="1"/>
        <v>543539.29760651372</v>
      </c>
      <c r="E13" s="28">
        <f ca="1">IFERROR(_xlfn.XLOOKUP(C13,'Loan Schedule'!$B$14:$B$373,'Loan Schedule'!$J$14:$J$373),0)</f>
        <v>302086.22551270423</v>
      </c>
      <c r="F13" s="29">
        <f t="shared" ca="1" si="2"/>
        <v>241453.07209380949</v>
      </c>
    </row>
    <row r="14" spans="2:6" x14ac:dyDescent="0.3">
      <c r="B14" s="2">
        <v>11</v>
      </c>
      <c r="C14" s="2">
        <f t="shared" si="0"/>
        <v>132</v>
      </c>
      <c r="D14" s="28">
        <f t="shared" si="1"/>
        <v>567998.56599880685</v>
      </c>
      <c r="E14" s="28">
        <f ca="1">IFERROR(_xlfn.XLOOKUP(C14,'Loan Schedule'!$B$14:$B$373,'Loan Schedule'!$J$14:$J$373),0)</f>
        <v>295107.19196526089</v>
      </c>
      <c r="F14" s="28">
        <f t="shared" ca="1" si="2"/>
        <v>272891.37403354596</v>
      </c>
    </row>
    <row r="15" spans="2:6" x14ac:dyDescent="0.3">
      <c r="B15" s="2">
        <v>12</v>
      </c>
      <c r="C15" s="2">
        <f t="shared" si="0"/>
        <v>144</v>
      </c>
      <c r="D15" s="28">
        <f t="shared" si="1"/>
        <v>593558.50146875309</v>
      </c>
      <c r="E15" s="28">
        <f ca="1">IFERROR(_xlfn.XLOOKUP(C15,'Loan Schedule'!$B$14:$B$373,'Loan Schedule'!$J$14:$J$373),0)</f>
        <v>287605.02194545505</v>
      </c>
      <c r="F15" s="28">
        <f t="shared" ca="1" si="2"/>
        <v>305953.47952329804</v>
      </c>
    </row>
    <row r="16" spans="2:6" x14ac:dyDescent="0.3">
      <c r="B16" s="2">
        <v>13</v>
      </c>
      <c r="C16" s="2">
        <f t="shared" si="0"/>
        <v>156</v>
      </c>
      <c r="D16" s="28">
        <f t="shared" si="1"/>
        <v>620268.63403484691</v>
      </c>
      <c r="E16" s="28">
        <f ca="1">IFERROR(_xlfn.XLOOKUP(C16,'Loan Schedule'!$B$14:$B$373,'Loan Schedule'!$J$14:$J$373),0)</f>
        <v>279540.50203399925</v>
      </c>
      <c r="F16" s="28">
        <f t="shared" ca="1" si="2"/>
        <v>340728.13200084766</v>
      </c>
    </row>
    <row r="17" spans="2:6" x14ac:dyDescent="0.3">
      <c r="B17" s="2">
        <v>14</v>
      </c>
      <c r="C17" s="2">
        <f t="shared" si="0"/>
        <v>168</v>
      </c>
      <c r="D17" s="28">
        <f t="shared" si="1"/>
        <v>648180.72256641497</v>
      </c>
      <c r="E17" s="28">
        <f ca="1">IFERROR(_xlfn.XLOOKUP(C17,'Loan Schedule'!$B$14:$B$373,'Loan Schedule'!$J$14:$J$373),0)</f>
        <v>270871.47944046027</v>
      </c>
      <c r="F17" s="28">
        <f t="shared" ca="1" si="2"/>
        <v>377309.2431259547</v>
      </c>
    </row>
    <row r="18" spans="2:6" x14ac:dyDescent="0.3">
      <c r="B18" s="2">
        <v>15</v>
      </c>
      <c r="C18" s="2">
        <f t="shared" si="0"/>
        <v>180</v>
      </c>
      <c r="D18" s="28">
        <f t="shared" si="1"/>
        <v>677348.85508190363</v>
      </c>
      <c r="E18" s="28">
        <f ca="1">IFERROR(_xlfn.XLOOKUP(C18,'Loan Schedule'!$B$14:$B$373,'Loan Schedule'!$J$14:$J$373),0)</f>
        <v>261552.64167300254</v>
      </c>
      <c r="F18" s="28">
        <f t="shared" ca="1" si="2"/>
        <v>415796.21340890112</v>
      </c>
    </row>
    <row r="19" spans="2:6" x14ac:dyDescent="0.3">
      <c r="B19" s="3">
        <v>16</v>
      </c>
      <c r="C19" s="3">
        <f t="shared" si="0"/>
        <v>192</v>
      </c>
      <c r="D19" s="28">
        <f t="shared" si="1"/>
        <v>707829.55356058921</v>
      </c>
      <c r="E19" s="28">
        <f ca="1">IFERROR(_xlfn.XLOOKUP(C19,'Loan Schedule'!$B$14:$B$373,'Loan Schedule'!$J$14:$J$373),0)</f>
        <v>251535.27969255066</v>
      </c>
      <c r="F19" s="29">
        <f t="shared" ca="1" si="2"/>
        <v>456294.27386803855</v>
      </c>
    </row>
    <row r="20" spans="2:6" x14ac:dyDescent="0.3">
      <c r="B20" s="3">
        <v>17</v>
      </c>
      <c r="C20" s="3">
        <f t="shared" si="0"/>
        <v>204</v>
      </c>
      <c r="D20" s="28">
        <f t="shared" si="1"/>
        <v>739681.88347081572</v>
      </c>
      <c r="E20" s="28">
        <f ca="1">IFERROR(_xlfn.XLOOKUP(C20,'Loan Schedule'!$B$14:$B$373,'Loan Schedule'!$J$14:$J$373),0)</f>
        <v>240767.03331339094</v>
      </c>
      <c r="F20" s="29">
        <f t="shared" ca="1" si="2"/>
        <v>498914.85015742481</v>
      </c>
    </row>
    <row r="21" spans="2:6" x14ac:dyDescent="0.3">
      <c r="B21" s="3">
        <v>18</v>
      </c>
      <c r="C21" s="3">
        <f t="shared" si="0"/>
        <v>216</v>
      </c>
      <c r="D21" s="28">
        <f t="shared" si="1"/>
        <v>772967.5682270024</v>
      </c>
      <c r="E21" s="28">
        <f ca="1">IFERROR(_xlfn.XLOOKUP(C21,'Loan Schedule'!$B$14:$B$373,'Loan Schedule'!$J$14:$J$373),0)</f>
        <v>229191.61751943597</v>
      </c>
      <c r="F21" s="29">
        <f t="shared" ca="1" si="2"/>
        <v>543775.95070756646</v>
      </c>
    </row>
    <row r="22" spans="2:6" x14ac:dyDescent="0.3">
      <c r="B22" s="3">
        <v>19</v>
      </c>
      <c r="C22" s="3">
        <f t="shared" si="0"/>
        <v>228</v>
      </c>
      <c r="D22" s="28">
        <f t="shared" si="1"/>
        <v>807751.10879721749</v>
      </c>
      <c r="E22" s="28">
        <f ca="1">IFERROR(_xlfn.XLOOKUP(C22,'Loan Schedule'!$B$14:$B$373,'Loan Schedule'!$J$14:$J$373),0)</f>
        <v>216748.52826562221</v>
      </c>
      <c r="F22" s="29">
        <f t="shared" ca="1" si="2"/>
        <v>591002.58053159527</v>
      </c>
    </row>
    <row r="23" spans="2:6" x14ac:dyDescent="0.3">
      <c r="B23" s="3">
        <v>20</v>
      </c>
      <c r="C23" s="3">
        <f t="shared" si="0"/>
        <v>240</v>
      </c>
      <c r="D23" s="28">
        <f t="shared" si="1"/>
        <v>844099.90869309218</v>
      </c>
      <c r="E23" s="28">
        <f ca="1">IFERROR(_xlfn.XLOOKUP(C23,'Loan Schedule'!$B$14:$B$373,'Loan Schedule'!$J$14:$J$373),0)</f>
        <v>203372.726226681</v>
      </c>
      <c r="F23" s="29">
        <f t="shared" ca="1" si="2"/>
        <v>640727.18246641115</v>
      </c>
    </row>
    <row r="24" spans="2:6" x14ac:dyDescent="0.3">
      <c r="B24" s="2">
        <v>21</v>
      </c>
      <c r="C24" s="2">
        <f t="shared" si="0"/>
        <v>252</v>
      </c>
      <c r="D24" s="28">
        <f t="shared" si="1"/>
        <v>882084.40458428126</v>
      </c>
      <c r="E24" s="28">
        <f ca="1">IFERROR(_xlfn.XLOOKUP(C24,'Loan Schedule'!$B$14:$B$373,'Loan Schedule'!$J$14:$J$373),0)</f>
        <v>188994.29684025605</v>
      </c>
      <c r="F24" s="28">
        <f t="shared" ca="1" si="2"/>
        <v>693090.10774402518</v>
      </c>
    </row>
    <row r="25" spans="2:6" x14ac:dyDescent="0.3">
      <c r="B25" s="2">
        <v>22</v>
      </c>
      <c r="C25" s="2">
        <f t="shared" si="0"/>
        <v>264</v>
      </c>
      <c r="D25" s="28">
        <f t="shared" si="1"/>
        <v>921778.20279057382</v>
      </c>
      <c r="E25" s="28">
        <f ca="1">IFERROR(_xlfn.XLOOKUP(C25,'Loan Schedule'!$B$14:$B$373,'Loan Schedule'!$J$14:$J$373),0)</f>
        <v>173538.08486743184</v>
      </c>
      <c r="F25" s="28">
        <f t="shared" ca="1" si="2"/>
        <v>748240.11792314192</v>
      </c>
    </row>
    <row r="26" spans="2:6" x14ac:dyDescent="0.3">
      <c r="B26" s="2">
        <v>23</v>
      </c>
      <c r="C26" s="2">
        <f t="shared" si="0"/>
        <v>276</v>
      </c>
      <c r="D26" s="28">
        <f t="shared" si="1"/>
        <v>963258.2219161496</v>
      </c>
      <c r="E26" s="28">
        <f ca="1">IFERROR(_xlfn.XLOOKUP(C26,'Loan Schedule'!$B$14:$B$373,'Loan Schedule'!$J$14:$J$373),0)</f>
        <v>156923.30156054164</v>
      </c>
      <c r="F26" s="28">
        <f t="shared" ca="1" si="2"/>
        <v>806334.92035560799</v>
      </c>
    </row>
    <row r="27" spans="2:6" x14ac:dyDescent="0.3">
      <c r="B27" s="2">
        <v>24</v>
      </c>
      <c r="C27" s="2">
        <f t="shared" si="0"/>
        <v>288</v>
      </c>
      <c r="D27" s="28">
        <f t="shared" si="1"/>
        <v>1006604.8419023763</v>
      </c>
      <c r="E27" s="28">
        <f ca="1">IFERROR(_xlfn.XLOOKUP(C27,'Loan Schedule'!$B$14:$B$373,'Loan Schedule'!$J$14:$J$373),0)</f>
        <v>139063.10238494255</v>
      </c>
      <c r="F27" s="28">
        <f t="shared" ca="1" si="2"/>
        <v>867541.73951743369</v>
      </c>
    </row>
    <row r="28" spans="2:6" x14ac:dyDescent="0.3">
      <c r="B28" s="2">
        <v>25</v>
      </c>
      <c r="C28" s="2">
        <f t="shared" si="0"/>
        <v>300</v>
      </c>
      <c r="D28" s="28">
        <f t="shared" si="1"/>
        <v>1051902.0597879831</v>
      </c>
      <c r="E28" s="28">
        <f ca="1">IFERROR(_xlfn.XLOOKUP(C28,'Loan Schedule'!$B$14:$B$373,'Loan Schedule'!$J$14:$J$373),0)</f>
        <v>119864.13308753481</v>
      </c>
      <c r="F28" s="28">
        <f t="shared" ca="1" si="2"/>
        <v>932037.92670044827</v>
      </c>
    </row>
    <row r="29" spans="2:6" x14ac:dyDescent="0.3">
      <c r="B29" s="3">
        <v>26</v>
      </c>
      <c r="C29" s="3">
        <f t="shared" si="0"/>
        <v>312</v>
      </c>
      <c r="D29" s="28">
        <f t="shared" si="1"/>
        <v>1099237.6524784423</v>
      </c>
      <c r="E29" s="28">
        <f ca="1">IFERROR(_xlfn.XLOOKUP(C29,'Loan Schedule'!$B$14:$B$373,'Loan Schedule'!$J$14:$J$373),0)</f>
        <v>99226.04173934905</v>
      </c>
      <c r="F29" s="29">
        <f t="shared" ca="1" si="2"/>
        <v>1000011.6107390933</v>
      </c>
    </row>
    <row r="30" spans="2:6" x14ac:dyDescent="0.3">
      <c r="B30" s="3">
        <v>27</v>
      </c>
      <c r="C30" s="3">
        <f t="shared" si="0"/>
        <v>324</v>
      </c>
      <c r="D30" s="28">
        <f t="shared" si="1"/>
        <v>1148703.3468399721</v>
      </c>
      <c r="E30" s="28">
        <f ca="1">IFERROR(_xlfn.XLOOKUP(C30,'Loan Schedule'!$B$14:$B$373,'Loan Schedule'!$J$14:$J$373),0)</f>
        <v>77040.954201677465</v>
      </c>
      <c r="F30" s="29">
        <f t="shared" ca="1" si="2"/>
        <v>1071662.3926382945</v>
      </c>
    </row>
    <row r="31" spans="2:6" x14ac:dyDescent="0.3">
      <c r="B31" s="3">
        <v>28</v>
      </c>
      <c r="C31" s="3">
        <f t="shared" si="0"/>
        <v>336</v>
      </c>
      <c r="D31" s="28">
        <f t="shared" si="1"/>
        <v>1200394.9974477708</v>
      </c>
      <c r="E31" s="28">
        <f ca="1">IFERROR(_xlfn.XLOOKUP(C31,'Loan Schedule'!$B$14:$B$373,'Loan Schedule'!$J$14:$J$373),0)</f>
        <v>53192.910274038906</v>
      </c>
      <c r="F31" s="29">
        <f t="shared" ca="1" si="2"/>
        <v>1147202.087173732</v>
      </c>
    </row>
    <row r="32" spans="2:6" x14ac:dyDescent="0.3">
      <c r="B32" s="3">
        <v>29</v>
      </c>
      <c r="C32" s="3">
        <f t="shared" si="0"/>
        <v>348</v>
      </c>
      <c r="D32" s="28">
        <f t="shared" si="1"/>
        <v>1254412.7723329205</v>
      </c>
      <c r="E32" s="28">
        <f ca="1">IFERROR(_xlfn.XLOOKUP(C32,'Loan Schedule'!$B$14:$B$373,'Loan Schedule'!$J$14:$J$373),0)</f>
        <v>27557.257576755506</v>
      </c>
      <c r="F32" s="29">
        <f t="shared" ca="1" si="2"/>
        <v>1226855.514756165</v>
      </c>
    </row>
    <row r="33" spans="2:6" x14ac:dyDescent="0.3">
      <c r="B33" s="3">
        <v>30</v>
      </c>
      <c r="C33" s="3">
        <f t="shared" si="0"/>
        <v>360</v>
      </c>
      <c r="D33" s="28">
        <f t="shared" si="1"/>
        <v>1310861.3470879018</v>
      </c>
      <c r="E33" s="28">
        <f ca="1">IFERROR(_xlfn.XLOOKUP(C33,'Loan Schedule'!$B$14:$B$373,'Loan Schedule'!$J$14:$J$373),0)</f>
        <v>0</v>
      </c>
      <c r="F33" s="29">
        <f t="shared" ca="1" si="2"/>
        <v>1310861.3470879018</v>
      </c>
    </row>
    <row r="34" spans="2:6" x14ac:dyDescent="0.3">
      <c r="B34" s="2">
        <v>31</v>
      </c>
      <c r="C34" s="2">
        <f t="shared" si="0"/>
        <v>372</v>
      </c>
      <c r="D34" s="28">
        <f t="shared" si="1"/>
        <v>1369850.1077068574</v>
      </c>
      <c r="E34" s="28">
        <f ca="1">IFERROR(_xlfn.XLOOKUP(C34,'Loan Schedule'!$B$14:$B$373,'Loan Schedule'!$J$14:$J$373),0)</f>
        <v>0</v>
      </c>
      <c r="F34" s="28">
        <f t="shared" ca="1" si="2"/>
        <v>1369850.1077068574</v>
      </c>
    </row>
    <row r="35" spans="2:6" x14ac:dyDescent="0.3">
      <c r="B35" s="2">
        <v>32</v>
      </c>
      <c r="C35" s="2">
        <f t="shared" si="0"/>
        <v>384</v>
      </c>
      <c r="D35" s="28">
        <f t="shared" si="1"/>
        <v>1431493.3625536659</v>
      </c>
      <c r="E35" s="28">
        <f ca="1">IFERROR(_xlfn.XLOOKUP(C35,'Loan Schedule'!$B$14:$B$373,'Loan Schedule'!$J$14:$J$373),0)</f>
        <v>0</v>
      </c>
      <c r="F35" s="28">
        <f t="shared" ca="1" si="2"/>
        <v>1431493.3625536659</v>
      </c>
    </row>
    <row r="36" spans="2:6" x14ac:dyDescent="0.3">
      <c r="B36" s="2">
        <v>33</v>
      </c>
      <c r="C36" s="2">
        <f t="shared" si="0"/>
        <v>396</v>
      </c>
      <c r="D36" s="28">
        <f t="shared" si="1"/>
        <v>1495910.5638685809</v>
      </c>
      <c r="E36" s="28">
        <f ca="1">IFERROR(_xlfn.XLOOKUP(C36,'Loan Schedule'!$B$14:$B$373,'Loan Schedule'!$J$14:$J$373),0)</f>
        <v>0</v>
      </c>
      <c r="F36" s="28">
        <f t="shared" ca="1" si="2"/>
        <v>1495910.5638685809</v>
      </c>
    </row>
    <row r="37" spans="2:6" x14ac:dyDescent="0.3">
      <c r="B37" s="2">
        <v>34</v>
      </c>
      <c r="C37" s="2">
        <f t="shared" si="0"/>
        <v>408</v>
      </c>
      <c r="D37" s="28">
        <f t="shared" si="1"/>
        <v>1563226.5392426669</v>
      </c>
      <c r="E37" s="28">
        <f ca="1">IFERROR(_xlfn.XLOOKUP(C37,'Loan Schedule'!$B$14:$B$373,'Loan Schedule'!$J$14:$J$373),0)</f>
        <v>0</v>
      </c>
      <c r="F37" s="28">
        <f t="shared" ca="1" si="2"/>
        <v>1563226.5392426669</v>
      </c>
    </row>
    <row r="38" spans="2:6" x14ac:dyDescent="0.3">
      <c r="B38" s="2">
        <v>35</v>
      </c>
      <c r="C38" s="2">
        <f t="shared" si="0"/>
        <v>420</v>
      </c>
      <c r="D38" s="28">
        <f t="shared" si="1"/>
        <v>1633571.7335085869</v>
      </c>
      <c r="E38" s="28">
        <f ca="1">IFERROR(_xlfn.XLOOKUP(C38,'Loan Schedule'!$B$14:$B$373,'Loan Schedule'!$J$14:$J$373),0)</f>
        <v>0</v>
      </c>
      <c r="F38" s="28">
        <f t="shared" ca="1" si="2"/>
        <v>1633571.7335085869</v>
      </c>
    </row>
  </sheetData>
  <sheetProtection algorithmName="SHA-512" hashValue="7edIPUFqxUY9qt/0phe0bts+CQWFKTRKs3G+Y6vPFJT8Yb300chWubUCOictCqnfk3GbmzkoGhW7cDikgEbP7g==" saltValue="tEvxpua05xIYt2/pxnZ5N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035B9-73CF-411D-BE0D-3F40D855F749}">
  <sheetPr codeName="Sheet3">
    <tabColor theme="4" tint="-0.499984740745262"/>
    <pageSetUpPr autoPageBreaks="0" fitToPage="1"/>
  </sheetPr>
  <dimension ref="B1:K375"/>
  <sheetViews>
    <sheetView showGridLines="0" zoomScaleNormal="100" workbookViewId="0">
      <selection activeCell="B14" sqref="B14"/>
    </sheetView>
  </sheetViews>
  <sheetFormatPr defaultColWidth="8.88671875" defaultRowHeight="14.4" x14ac:dyDescent="0.3"/>
  <cols>
    <col min="1" max="1" width="3.5546875" style="6" customWidth="1"/>
    <col min="2" max="2" width="12.88671875" style="6" customWidth="1"/>
    <col min="3" max="3" width="14.6640625" style="6" customWidth="1"/>
    <col min="4" max="4" width="16.6640625" style="6" customWidth="1"/>
    <col min="5" max="10" width="15.6640625" style="6" customWidth="1"/>
    <col min="11" max="11" width="17.6640625" style="6" customWidth="1"/>
    <col min="12" max="16384" width="8.88671875" style="6"/>
  </cols>
  <sheetData>
    <row r="1" spans="2:11" ht="21" customHeight="1" x14ac:dyDescent="0.3">
      <c r="B1" s="5"/>
      <c r="C1" s="5"/>
      <c r="D1" s="5"/>
      <c r="E1" s="5"/>
      <c r="F1" s="5"/>
      <c r="G1" s="5"/>
      <c r="H1" s="5"/>
      <c r="I1" s="5"/>
      <c r="J1" s="5"/>
      <c r="K1" s="5"/>
    </row>
    <row r="2" spans="2:11" ht="67.95" customHeight="1" x14ac:dyDescent="0.3">
      <c r="B2" s="5"/>
      <c r="C2" s="50" t="s">
        <v>29</v>
      </c>
      <c r="D2" s="50"/>
      <c r="E2" s="50"/>
      <c r="F2" s="50"/>
      <c r="G2" s="50"/>
      <c r="H2" s="50"/>
      <c r="I2" s="50"/>
      <c r="J2" s="50"/>
      <c r="K2" s="50"/>
    </row>
    <row r="3" spans="2:11" ht="24" customHeight="1" x14ac:dyDescent="0.3">
      <c r="B3" s="5"/>
      <c r="C3" s="5"/>
      <c r="D3" s="5"/>
      <c r="E3" s="5"/>
      <c r="F3" s="5"/>
      <c r="G3" s="5"/>
      <c r="H3" s="5"/>
      <c r="I3" s="5"/>
      <c r="J3" s="5"/>
      <c r="K3" s="5"/>
    </row>
    <row r="4" spans="2:11" ht="37.950000000000003" customHeight="1" x14ac:dyDescent="0.3">
      <c r="B4" s="7" t="s">
        <v>28</v>
      </c>
      <c r="C4" s="7"/>
      <c r="D4" s="8"/>
      <c r="E4" s="9"/>
      <c r="G4" s="10" t="s">
        <v>27</v>
      </c>
      <c r="H4" s="9"/>
      <c r="I4" s="9"/>
      <c r="J4" s="11"/>
    </row>
    <row r="5" spans="2:11" ht="24" customHeight="1" x14ac:dyDescent="0.3">
      <c r="B5" s="51" t="s">
        <v>26</v>
      </c>
      <c r="C5" s="51"/>
      <c r="D5" s="52"/>
      <c r="E5" s="12">
        <f>InitLoanAmt</f>
        <v>350000</v>
      </c>
      <c r="G5" s="44" t="s">
        <v>25</v>
      </c>
      <c r="H5" s="45"/>
      <c r="I5" s="46">
        <f ca="1">IF(LoanIsGood,-PMT(InterestRate/PaymentsPerYear,ScheduledNumberOfPayments,LoanAmount),"")</f>
        <v>2387.6169801966716</v>
      </c>
      <c r="J5" s="46"/>
      <c r="K5" s="46"/>
    </row>
    <row r="6" spans="2:11" ht="24" customHeight="1" x14ac:dyDescent="0.3">
      <c r="B6" s="51" t="s">
        <v>24</v>
      </c>
      <c r="C6" s="51"/>
      <c r="D6" s="52"/>
      <c r="E6" s="13">
        <f>NoteRate</f>
        <v>7.2499999999999995E-2</v>
      </c>
      <c r="G6" s="47" t="s">
        <v>23</v>
      </c>
      <c r="H6" s="48"/>
      <c r="I6" s="49">
        <f ca="1">IF(LoanIsGood,LoanPeriod*PaymentsPerYear,"")</f>
        <v>360</v>
      </c>
      <c r="J6" s="49"/>
      <c r="K6" s="49"/>
    </row>
    <row r="7" spans="2:11" ht="24" customHeight="1" x14ac:dyDescent="0.3">
      <c r="B7" s="51" t="s">
        <v>22</v>
      </c>
      <c r="C7" s="51"/>
      <c r="D7" s="52"/>
      <c r="E7" s="14">
        <f>LoanTerm</f>
        <v>30</v>
      </c>
      <c r="G7" s="47" t="s">
        <v>21</v>
      </c>
      <c r="H7" s="48"/>
      <c r="I7" s="49" t="str">
        <f>ActualNumberOfPayments</f>
        <v/>
      </c>
      <c r="J7" s="49"/>
      <c r="K7" s="49"/>
    </row>
    <row r="8" spans="2:11" ht="24" customHeight="1" x14ac:dyDescent="0.3">
      <c r="B8" s="51" t="s">
        <v>20</v>
      </c>
      <c r="C8" s="51"/>
      <c r="D8" s="52"/>
      <c r="E8" s="14">
        <v>12</v>
      </c>
      <c r="G8" s="47" t="s">
        <v>19</v>
      </c>
      <c r="H8" s="48"/>
      <c r="I8" s="53">
        <f ca="1">TotalEarlyPayments</f>
        <v>0</v>
      </c>
      <c r="J8" s="53"/>
      <c r="K8" s="53"/>
    </row>
    <row r="9" spans="2:11" ht="24" customHeight="1" x14ac:dyDescent="0.3">
      <c r="B9" s="51" t="s">
        <v>18</v>
      </c>
      <c r="C9" s="51"/>
      <c r="D9" s="15"/>
      <c r="E9" s="16">
        <f ca="1">TODAY()</f>
        <v>45454</v>
      </c>
      <c r="G9" s="55" t="s">
        <v>17</v>
      </c>
      <c r="H9" s="56"/>
      <c r="I9" s="57">
        <f ca="1">TotalInterest</f>
        <v>509542.11287080083</v>
      </c>
      <c r="J9" s="57"/>
      <c r="K9" s="57"/>
    </row>
    <row r="10" spans="2:11" ht="12.45" customHeight="1" x14ac:dyDescent="0.3">
      <c r="C10" s="17"/>
      <c r="D10" s="17"/>
      <c r="E10" s="18"/>
      <c r="G10" s="17"/>
      <c r="H10" s="17"/>
      <c r="I10" s="58"/>
      <c r="J10" s="58"/>
      <c r="K10" s="58"/>
    </row>
    <row r="11" spans="2:11" ht="20.7" customHeight="1" x14ac:dyDescent="0.3">
      <c r="B11" s="54" t="s">
        <v>16</v>
      </c>
      <c r="C11" s="54"/>
      <c r="D11" s="54"/>
      <c r="E11" s="19">
        <v>0</v>
      </c>
      <c r="F11" s="20"/>
      <c r="G11" s="59"/>
      <c r="H11" s="59"/>
      <c r="I11" s="60"/>
      <c r="J11" s="60"/>
      <c r="K11" s="60"/>
    </row>
    <row r="12" spans="2:11" ht="31.95" customHeight="1" x14ac:dyDescent="0.3">
      <c r="B12" s="21"/>
    </row>
    <row r="13" spans="2:11" s="22" customFormat="1" ht="48" customHeight="1" x14ac:dyDescent="0.3">
      <c r="B13" s="30" t="s">
        <v>15</v>
      </c>
      <c r="C13" s="30" t="s">
        <v>14</v>
      </c>
      <c r="D13" s="30" t="s">
        <v>13</v>
      </c>
      <c r="E13" s="30" t="s">
        <v>12</v>
      </c>
      <c r="F13" s="30" t="s">
        <v>11</v>
      </c>
      <c r="G13" s="30" t="s">
        <v>10</v>
      </c>
      <c r="H13" s="30" t="s">
        <v>9</v>
      </c>
      <c r="I13" s="30" t="s">
        <v>8</v>
      </c>
      <c r="J13" s="30" t="s">
        <v>7</v>
      </c>
      <c r="K13" s="30" t="s">
        <v>6</v>
      </c>
    </row>
    <row r="14" spans="2:11" x14ac:dyDescent="0.3">
      <c r="B14" s="23">
        <f ca="1">IF(LoanIsGood,IF(ROW()-ROW(PaymentSchedule3[[#Headers],[Payment Number]])&gt;ScheduledNumberOfPayments,"",ROW()-ROW(PaymentSchedule3[[#Headers],[Payment Number]])),"")</f>
        <v>1</v>
      </c>
      <c r="C14" s="24">
        <f ca="1">IF(PaymentSchedule3[[#This Row],[Payment Number]]&lt;&gt;"",EOMONTH(LoanStartDate,ROW(PaymentSchedule3[[#This Row],[Payment Number]])-ROW(PaymentSchedule3[[#Headers],[Payment Number]])-2)+DAY(LoanStartDate),"")</f>
        <v>45454</v>
      </c>
      <c r="D14" s="25">
        <f ca="1">IF(PaymentSchedule3[[#This Row],[Payment Number]]&lt;&gt;"",IF(ROW()-ROW(PaymentSchedule3[[#Headers],[Beginning
Balance]])=1,LoanAmount,INDEX(PaymentSchedule3[Ending
Balance],ROW()-ROW(PaymentSchedule3[[#Headers],[Beginning
Balance]])-1)),"")</f>
        <v>350000</v>
      </c>
      <c r="E14" s="25">
        <f ca="1">IF(PaymentSchedule3[[#This Row],[Payment Number]]&lt;&gt;"",ScheduledPayment,"")</f>
        <v>2387.6169801966716</v>
      </c>
      <c r="F1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 s="25">
        <f ca="1">IF(PaymentSchedule3[[#This Row],[Payment Number]]&lt;&gt;"",PaymentSchedule3[[#This Row],[Total
Payment]]-PaymentSchedule3[[#This Row],[Interest]],"")</f>
        <v>273.03364686333816</v>
      </c>
      <c r="I14" s="25">
        <f ca="1">IF(PaymentSchedule3[[#This Row],[Payment Number]]&lt;&gt;"",PaymentSchedule3[[#This Row],[Beginning
Balance]]*(InterestRate/PaymentsPerYear),"")</f>
        <v>2114.5833333333335</v>
      </c>
      <c r="J14" s="25">
        <f ca="1">IF(PaymentSchedule3[[#This Row],[Payment Number]]&lt;&gt;"",IF(PaymentSchedule3[[#This Row],[Scheduled Payment]]+PaymentSchedule3[[#This Row],[Extra
Payment]]&lt;=PaymentSchedule3[[#This Row],[Beginning
Balance]],PaymentSchedule3[[#This Row],[Beginning
Balance]]-PaymentSchedule3[[#This Row],[Principal]],0),"")</f>
        <v>349726.96635313664</v>
      </c>
      <c r="K14" s="25">
        <f ca="1">IF(PaymentSchedule3[[#This Row],[Payment Number]]&lt;&gt;"",SUM(INDEX(PaymentSchedule3[Interest],1,1):PaymentSchedule3[[#This Row],[Interest]]),"")</f>
        <v>2114.5833333333335</v>
      </c>
    </row>
    <row r="15" spans="2:11" x14ac:dyDescent="0.3">
      <c r="B15" s="23">
        <f ca="1">IF(LoanIsGood,IF(ROW()-ROW(PaymentSchedule3[[#Headers],[Payment Number]])&gt;ScheduledNumberOfPayments,"",ROW()-ROW(PaymentSchedule3[[#Headers],[Payment Number]])),"")</f>
        <v>2</v>
      </c>
      <c r="C15" s="24">
        <f ca="1">IF(PaymentSchedule3[[#This Row],[Payment Number]]&lt;&gt;"",EOMONTH(LoanStartDate,ROW(PaymentSchedule3[[#This Row],[Payment Number]])-ROW(PaymentSchedule3[[#Headers],[Payment Number]])-2)+DAY(LoanStartDate),"")</f>
        <v>45484</v>
      </c>
      <c r="D15" s="25">
        <f ca="1">IF(PaymentSchedule3[[#This Row],[Payment Number]]&lt;&gt;"",IF(ROW()-ROW(PaymentSchedule3[[#Headers],[Beginning
Balance]])=1,LoanAmount,INDEX(PaymentSchedule3[Ending
Balance],ROW()-ROW(PaymentSchedule3[[#Headers],[Beginning
Balance]])-1)),"")</f>
        <v>349726.96635313664</v>
      </c>
      <c r="E15" s="25">
        <f ca="1">IF(PaymentSchedule3[[#This Row],[Payment Number]]&lt;&gt;"",ScheduledPayment,"")</f>
        <v>2387.6169801966716</v>
      </c>
      <c r="F1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 s="25">
        <f ca="1">IF(PaymentSchedule3[[#This Row],[Payment Number]]&lt;&gt;"",PaymentSchedule3[[#This Row],[Total
Payment]]-PaymentSchedule3[[#This Row],[Interest]],"")</f>
        <v>274.68322514647116</v>
      </c>
      <c r="I15" s="25">
        <f ca="1">IF(PaymentSchedule3[[#This Row],[Payment Number]]&lt;&gt;"",PaymentSchedule3[[#This Row],[Beginning
Balance]]*(InterestRate/PaymentsPerYear),"")</f>
        <v>2112.9337550502005</v>
      </c>
      <c r="J15" s="25">
        <f ca="1">IF(PaymentSchedule3[[#This Row],[Payment Number]]&lt;&gt;"",IF(PaymentSchedule3[[#This Row],[Scheduled Payment]]+PaymentSchedule3[[#This Row],[Extra
Payment]]&lt;=PaymentSchedule3[[#This Row],[Beginning
Balance]],PaymentSchedule3[[#This Row],[Beginning
Balance]]-PaymentSchedule3[[#This Row],[Principal]],0),"")</f>
        <v>349452.28312799014</v>
      </c>
      <c r="K15" s="25">
        <f ca="1">IF(PaymentSchedule3[[#This Row],[Payment Number]]&lt;&gt;"",SUM(INDEX(PaymentSchedule3[Interest],1,1):PaymentSchedule3[[#This Row],[Interest]]),"")</f>
        <v>4227.5170883835344</v>
      </c>
    </row>
    <row r="16" spans="2:11" x14ac:dyDescent="0.3">
      <c r="B16" s="23">
        <f ca="1">IF(LoanIsGood,IF(ROW()-ROW(PaymentSchedule3[[#Headers],[Payment Number]])&gt;ScheduledNumberOfPayments,"",ROW()-ROW(PaymentSchedule3[[#Headers],[Payment Number]])),"")</f>
        <v>3</v>
      </c>
      <c r="C16" s="24">
        <f ca="1">IF(PaymentSchedule3[[#This Row],[Payment Number]]&lt;&gt;"",EOMONTH(LoanStartDate,ROW(PaymentSchedule3[[#This Row],[Payment Number]])-ROW(PaymentSchedule3[[#Headers],[Payment Number]])-2)+DAY(LoanStartDate),"")</f>
        <v>45515</v>
      </c>
      <c r="D16" s="25">
        <f ca="1">IF(PaymentSchedule3[[#This Row],[Payment Number]]&lt;&gt;"",IF(ROW()-ROW(PaymentSchedule3[[#Headers],[Beginning
Balance]])=1,LoanAmount,INDEX(PaymentSchedule3[Ending
Balance],ROW()-ROW(PaymentSchedule3[[#Headers],[Beginning
Balance]])-1)),"")</f>
        <v>349452.28312799014</v>
      </c>
      <c r="E16" s="25">
        <f ca="1">IF(PaymentSchedule3[[#This Row],[Payment Number]]&lt;&gt;"",ScheduledPayment,"")</f>
        <v>2387.6169801966716</v>
      </c>
      <c r="F1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 s="25">
        <f ca="1">IF(PaymentSchedule3[[#This Row],[Payment Number]]&lt;&gt;"",PaymentSchedule3[[#This Row],[Total
Payment]]-PaymentSchedule3[[#This Row],[Interest]],"")</f>
        <v>276.34276963173124</v>
      </c>
      <c r="I16" s="25">
        <f ca="1">IF(PaymentSchedule3[[#This Row],[Payment Number]]&lt;&gt;"",PaymentSchedule3[[#This Row],[Beginning
Balance]]*(InterestRate/PaymentsPerYear),"")</f>
        <v>2111.2742105649404</v>
      </c>
      <c r="J16" s="25">
        <f ca="1">IF(PaymentSchedule3[[#This Row],[Payment Number]]&lt;&gt;"",IF(PaymentSchedule3[[#This Row],[Scheduled Payment]]+PaymentSchedule3[[#This Row],[Extra
Payment]]&lt;=PaymentSchedule3[[#This Row],[Beginning
Balance]],PaymentSchedule3[[#This Row],[Beginning
Balance]]-PaymentSchedule3[[#This Row],[Principal]],0),"")</f>
        <v>349175.94035835844</v>
      </c>
      <c r="K16" s="25">
        <f ca="1">IF(PaymentSchedule3[[#This Row],[Payment Number]]&lt;&gt;"",SUM(INDEX(PaymentSchedule3[Interest],1,1):PaymentSchedule3[[#This Row],[Interest]]),"")</f>
        <v>6338.7912989484748</v>
      </c>
    </row>
    <row r="17" spans="2:11" x14ac:dyDescent="0.3">
      <c r="B17" s="23">
        <f ca="1">IF(LoanIsGood,IF(ROW()-ROW(PaymentSchedule3[[#Headers],[Payment Number]])&gt;ScheduledNumberOfPayments,"",ROW()-ROW(PaymentSchedule3[[#Headers],[Payment Number]])),"")</f>
        <v>4</v>
      </c>
      <c r="C17" s="24">
        <f ca="1">IF(PaymentSchedule3[[#This Row],[Payment Number]]&lt;&gt;"",EOMONTH(LoanStartDate,ROW(PaymentSchedule3[[#This Row],[Payment Number]])-ROW(PaymentSchedule3[[#Headers],[Payment Number]])-2)+DAY(LoanStartDate),"")</f>
        <v>45546</v>
      </c>
      <c r="D17" s="25">
        <f ca="1">IF(PaymentSchedule3[[#This Row],[Payment Number]]&lt;&gt;"",IF(ROW()-ROW(PaymentSchedule3[[#Headers],[Beginning
Balance]])=1,LoanAmount,INDEX(PaymentSchedule3[Ending
Balance],ROW()-ROW(PaymentSchedule3[[#Headers],[Beginning
Balance]])-1)),"")</f>
        <v>349175.94035835844</v>
      </c>
      <c r="E17" s="25">
        <f ca="1">IF(PaymentSchedule3[[#This Row],[Payment Number]]&lt;&gt;"",ScheduledPayment,"")</f>
        <v>2387.6169801966716</v>
      </c>
      <c r="F1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 s="25">
        <f ca="1">IF(PaymentSchedule3[[#This Row],[Payment Number]]&lt;&gt;"",PaymentSchedule3[[#This Row],[Total
Payment]]-PaymentSchedule3[[#This Row],[Interest]],"")</f>
        <v>278.01234053158942</v>
      </c>
      <c r="I17" s="25">
        <f ca="1">IF(PaymentSchedule3[[#This Row],[Payment Number]]&lt;&gt;"",PaymentSchedule3[[#This Row],[Beginning
Balance]]*(InterestRate/PaymentsPerYear),"")</f>
        <v>2109.6046396650822</v>
      </c>
      <c r="J17" s="25">
        <f ca="1">IF(PaymentSchedule3[[#This Row],[Payment Number]]&lt;&gt;"",IF(PaymentSchedule3[[#This Row],[Scheduled Payment]]+PaymentSchedule3[[#This Row],[Extra
Payment]]&lt;=PaymentSchedule3[[#This Row],[Beginning
Balance]],PaymentSchedule3[[#This Row],[Beginning
Balance]]-PaymentSchedule3[[#This Row],[Principal]],0),"")</f>
        <v>348897.92801782687</v>
      </c>
      <c r="K17" s="25">
        <f ca="1">IF(PaymentSchedule3[[#This Row],[Payment Number]]&lt;&gt;"",SUM(INDEX(PaymentSchedule3[Interest],1,1):PaymentSchedule3[[#This Row],[Interest]]),"")</f>
        <v>8448.3959386135575</v>
      </c>
    </row>
    <row r="18" spans="2:11" x14ac:dyDescent="0.3">
      <c r="B18" s="23">
        <f ca="1">IF(LoanIsGood,IF(ROW()-ROW(PaymentSchedule3[[#Headers],[Payment Number]])&gt;ScheduledNumberOfPayments,"",ROW()-ROW(PaymentSchedule3[[#Headers],[Payment Number]])),"")</f>
        <v>5</v>
      </c>
      <c r="C18" s="24">
        <f ca="1">IF(PaymentSchedule3[[#This Row],[Payment Number]]&lt;&gt;"",EOMONTH(LoanStartDate,ROW(PaymentSchedule3[[#This Row],[Payment Number]])-ROW(PaymentSchedule3[[#Headers],[Payment Number]])-2)+DAY(LoanStartDate),"")</f>
        <v>45576</v>
      </c>
      <c r="D18" s="25">
        <f ca="1">IF(PaymentSchedule3[[#This Row],[Payment Number]]&lt;&gt;"",IF(ROW()-ROW(PaymentSchedule3[[#Headers],[Beginning
Balance]])=1,LoanAmount,INDEX(PaymentSchedule3[Ending
Balance],ROW()-ROW(PaymentSchedule3[[#Headers],[Beginning
Balance]])-1)),"")</f>
        <v>348897.92801782687</v>
      </c>
      <c r="E18" s="25">
        <f ca="1">IF(PaymentSchedule3[[#This Row],[Payment Number]]&lt;&gt;"",ScheduledPayment,"")</f>
        <v>2387.6169801966716</v>
      </c>
      <c r="F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 s="25">
        <f ca="1">IF(PaymentSchedule3[[#This Row],[Payment Number]]&lt;&gt;"",PaymentSchedule3[[#This Row],[Total
Payment]]-PaymentSchedule3[[#This Row],[Interest]],"")</f>
        <v>279.69199842230091</v>
      </c>
      <c r="I18" s="25">
        <f ca="1">IF(PaymentSchedule3[[#This Row],[Payment Number]]&lt;&gt;"",PaymentSchedule3[[#This Row],[Beginning
Balance]]*(InterestRate/PaymentsPerYear),"")</f>
        <v>2107.9249817743707</v>
      </c>
      <c r="J18" s="25">
        <f ca="1">IF(PaymentSchedule3[[#This Row],[Payment Number]]&lt;&gt;"",IF(PaymentSchedule3[[#This Row],[Scheduled Payment]]+PaymentSchedule3[[#This Row],[Extra
Payment]]&lt;=PaymentSchedule3[[#This Row],[Beginning
Balance]],PaymentSchedule3[[#This Row],[Beginning
Balance]]-PaymentSchedule3[[#This Row],[Principal]],0),"")</f>
        <v>348618.23601940455</v>
      </c>
      <c r="K18" s="25">
        <f ca="1">IF(PaymentSchedule3[[#This Row],[Payment Number]]&lt;&gt;"",SUM(INDEX(PaymentSchedule3[Interest],1,1):PaymentSchedule3[[#This Row],[Interest]]),"")</f>
        <v>10556.320920387929</v>
      </c>
    </row>
    <row r="19" spans="2:11" x14ac:dyDescent="0.3">
      <c r="B19" s="23">
        <f ca="1">IF(LoanIsGood,IF(ROW()-ROW(PaymentSchedule3[[#Headers],[Payment Number]])&gt;ScheduledNumberOfPayments,"",ROW()-ROW(PaymentSchedule3[[#Headers],[Payment Number]])),"")</f>
        <v>6</v>
      </c>
      <c r="C19" s="24">
        <f ca="1">IF(PaymentSchedule3[[#This Row],[Payment Number]]&lt;&gt;"",EOMONTH(LoanStartDate,ROW(PaymentSchedule3[[#This Row],[Payment Number]])-ROW(PaymentSchedule3[[#Headers],[Payment Number]])-2)+DAY(LoanStartDate),"")</f>
        <v>45607</v>
      </c>
      <c r="D19" s="25">
        <f ca="1">IF(PaymentSchedule3[[#This Row],[Payment Number]]&lt;&gt;"",IF(ROW()-ROW(PaymentSchedule3[[#Headers],[Beginning
Balance]])=1,LoanAmount,INDEX(PaymentSchedule3[Ending
Balance],ROW()-ROW(PaymentSchedule3[[#Headers],[Beginning
Balance]])-1)),"")</f>
        <v>348618.23601940455</v>
      </c>
      <c r="E19" s="25">
        <f ca="1">IF(PaymentSchedule3[[#This Row],[Payment Number]]&lt;&gt;"",ScheduledPayment,"")</f>
        <v>2387.6169801966716</v>
      </c>
      <c r="F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 s="25">
        <f ca="1">IF(PaymentSchedule3[[#This Row],[Payment Number]]&lt;&gt;"",PaymentSchedule3[[#This Row],[Total
Payment]]-PaymentSchedule3[[#This Row],[Interest]],"")</f>
        <v>281.38180424610255</v>
      </c>
      <c r="I19" s="25">
        <f ca="1">IF(PaymentSchedule3[[#This Row],[Payment Number]]&lt;&gt;"",PaymentSchedule3[[#This Row],[Beginning
Balance]]*(InterestRate/PaymentsPerYear),"")</f>
        <v>2106.2351759505691</v>
      </c>
      <c r="J19" s="25">
        <f ca="1">IF(PaymentSchedule3[[#This Row],[Payment Number]]&lt;&gt;"",IF(PaymentSchedule3[[#This Row],[Scheduled Payment]]+PaymentSchedule3[[#This Row],[Extra
Payment]]&lt;=PaymentSchedule3[[#This Row],[Beginning
Balance]],PaymentSchedule3[[#This Row],[Beginning
Balance]]-PaymentSchedule3[[#This Row],[Principal]],0),"")</f>
        <v>348336.85421515844</v>
      </c>
      <c r="K19" s="25">
        <f ca="1">IF(PaymentSchedule3[[#This Row],[Payment Number]]&lt;&gt;"",SUM(INDEX(PaymentSchedule3[Interest],1,1):PaymentSchedule3[[#This Row],[Interest]]),"")</f>
        <v>12662.556096338498</v>
      </c>
    </row>
    <row r="20" spans="2:11" x14ac:dyDescent="0.3">
      <c r="B20" s="23">
        <f ca="1">IF(LoanIsGood,IF(ROW()-ROW(PaymentSchedule3[[#Headers],[Payment Number]])&gt;ScheduledNumberOfPayments,"",ROW()-ROW(PaymentSchedule3[[#Headers],[Payment Number]])),"")</f>
        <v>7</v>
      </c>
      <c r="C20" s="24">
        <f ca="1">IF(PaymentSchedule3[[#This Row],[Payment Number]]&lt;&gt;"",EOMONTH(LoanStartDate,ROW(PaymentSchedule3[[#This Row],[Payment Number]])-ROW(PaymentSchedule3[[#Headers],[Payment Number]])-2)+DAY(LoanStartDate),"")</f>
        <v>45637</v>
      </c>
      <c r="D20" s="25">
        <f ca="1">IF(PaymentSchedule3[[#This Row],[Payment Number]]&lt;&gt;"",IF(ROW()-ROW(PaymentSchedule3[[#Headers],[Beginning
Balance]])=1,LoanAmount,INDEX(PaymentSchedule3[Ending
Balance],ROW()-ROW(PaymentSchedule3[[#Headers],[Beginning
Balance]])-1)),"")</f>
        <v>348336.85421515844</v>
      </c>
      <c r="E20" s="25">
        <f ca="1">IF(PaymentSchedule3[[#This Row],[Payment Number]]&lt;&gt;"",ScheduledPayment,"")</f>
        <v>2387.6169801966716</v>
      </c>
      <c r="F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 s="25">
        <f ca="1">IF(PaymentSchedule3[[#This Row],[Payment Number]]&lt;&gt;"",PaymentSchedule3[[#This Row],[Total
Payment]]-PaymentSchedule3[[#This Row],[Interest]],"")</f>
        <v>283.08181931342278</v>
      </c>
      <c r="I20" s="25">
        <f ca="1">IF(PaymentSchedule3[[#This Row],[Payment Number]]&lt;&gt;"",PaymentSchedule3[[#This Row],[Beginning
Balance]]*(InterestRate/PaymentsPerYear),"")</f>
        <v>2104.5351608832489</v>
      </c>
      <c r="J20" s="25">
        <f ca="1">IF(PaymentSchedule3[[#This Row],[Payment Number]]&lt;&gt;"",IF(PaymentSchedule3[[#This Row],[Scheduled Payment]]+PaymentSchedule3[[#This Row],[Extra
Payment]]&lt;=PaymentSchedule3[[#This Row],[Beginning
Balance]],PaymentSchedule3[[#This Row],[Beginning
Balance]]-PaymentSchedule3[[#This Row],[Principal]],0),"")</f>
        <v>348053.77239584504</v>
      </c>
      <c r="K20" s="25">
        <f ca="1">IF(PaymentSchedule3[[#This Row],[Payment Number]]&lt;&gt;"",SUM(INDEX(PaymentSchedule3[Interest],1,1):PaymentSchedule3[[#This Row],[Interest]]),"")</f>
        <v>14767.091257221746</v>
      </c>
    </row>
    <row r="21" spans="2:11" x14ac:dyDescent="0.3">
      <c r="B21" s="23">
        <f ca="1">IF(LoanIsGood,IF(ROW()-ROW(PaymentSchedule3[[#Headers],[Payment Number]])&gt;ScheduledNumberOfPayments,"",ROW()-ROW(PaymentSchedule3[[#Headers],[Payment Number]])),"")</f>
        <v>8</v>
      </c>
      <c r="C21" s="24">
        <f ca="1">IF(PaymentSchedule3[[#This Row],[Payment Number]]&lt;&gt;"",EOMONTH(LoanStartDate,ROW(PaymentSchedule3[[#This Row],[Payment Number]])-ROW(PaymentSchedule3[[#Headers],[Payment Number]])-2)+DAY(LoanStartDate),"")</f>
        <v>45668</v>
      </c>
      <c r="D21" s="25">
        <f ca="1">IF(PaymentSchedule3[[#This Row],[Payment Number]]&lt;&gt;"",IF(ROW()-ROW(PaymentSchedule3[[#Headers],[Beginning
Balance]])=1,LoanAmount,INDEX(PaymentSchedule3[Ending
Balance],ROW()-ROW(PaymentSchedule3[[#Headers],[Beginning
Balance]])-1)),"")</f>
        <v>348053.77239584504</v>
      </c>
      <c r="E21" s="25">
        <f ca="1">IF(PaymentSchedule3[[#This Row],[Payment Number]]&lt;&gt;"",ScheduledPayment,"")</f>
        <v>2387.6169801966716</v>
      </c>
      <c r="F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 s="25">
        <f ca="1">IF(PaymentSchedule3[[#This Row],[Payment Number]]&lt;&gt;"",PaymentSchedule3[[#This Row],[Total
Payment]]-PaymentSchedule3[[#This Row],[Interest]],"")</f>
        <v>284.79210530510773</v>
      </c>
      <c r="I21" s="25">
        <f ca="1">IF(PaymentSchedule3[[#This Row],[Payment Number]]&lt;&gt;"",PaymentSchedule3[[#This Row],[Beginning
Balance]]*(InterestRate/PaymentsPerYear),"")</f>
        <v>2102.8248748915639</v>
      </c>
      <c r="J21" s="25">
        <f ca="1">IF(PaymentSchedule3[[#This Row],[Payment Number]]&lt;&gt;"",IF(PaymentSchedule3[[#This Row],[Scheduled Payment]]+PaymentSchedule3[[#This Row],[Extra
Payment]]&lt;=PaymentSchedule3[[#This Row],[Beginning
Balance]],PaymentSchedule3[[#This Row],[Beginning
Balance]]-PaymentSchedule3[[#This Row],[Principal]],0),"")</f>
        <v>347768.98029053991</v>
      </c>
      <c r="K21" s="25">
        <f ca="1">IF(PaymentSchedule3[[#This Row],[Payment Number]]&lt;&gt;"",SUM(INDEX(PaymentSchedule3[Interest],1,1):PaymentSchedule3[[#This Row],[Interest]]),"")</f>
        <v>16869.916132113311</v>
      </c>
    </row>
    <row r="22" spans="2:11" x14ac:dyDescent="0.3">
      <c r="B22" s="23">
        <f ca="1">IF(LoanIsGood,IF(ROW()-ROW(PaymentSchedule3[[#Headers],[Payment Number]])&gt;ScheduledNumberOfPayments,"",ROW()-ROW(PaymentSchedule3[[#Headers],[Payment Number]])),"")</f>
        <v>9</v>
      </c>
      <c r="C22" s="24">
        <f ca="1">IF(PaymentSchedule3[[#This Row],[Payment Number]]&lt;&gt;"",EOMONTH(LoanStartDate,ROW(PaymentSchedule3[[#This Row],[Payment Number]])-ROW(PaymentSchedule3[[#Headers],[Payment Number]])-2)+DAY(LoanStartDate),"")</f>
        <v>45699</v>
      </c>
      <c r="D22" s="25">
        <f ca="1">IF(PaymentSchedule3[[#This Row],[Payment Number]]&lt;&gt;"",IF(ROW()-ROW(PaymentSchedule3[[#Headers],[Beginning
Balance]])=1,LoanAmount,INDEX(PaymentSchedule3[Ending
Balance],ROW()-ROW(PaymentSchedule3[[#Headers],[Beginning
Balance]])-1)),"")</f>
        <v>347768.98029053991</v>
      </c>
      <c r="E22" s="25">
        <f ca="1">IF(PaymentSchedule3[[#This Row],[Payment Number]]&lt;&gt;"",ScheduledPayment,"")</f>
        <v>2387.6169801966716</v>
      </c>
      <c r="F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 s="25">
        <f ca="1">IF(PaymentSchedule3[[#This Row],[Payment Number]]&lt;&gt;"",PaymentSchedule3[[#This Row],[Total
Payment]]-PaymentSchedule3[[#This Row],[Interest]],"")</f>
        <v>286.51272427465983</v>
      </c>
      <c r="I22" s="25">
        <f ca="1">IF(PaymentSchedule3[[#This Row],[Payment Number]]&lt;&gt;"",PaymentSchedule3[[#This Row],[Beginning
Balance]]*(InterestRate/PaymentsPerYear),"")</f>
        <v>2101.1042559220118</v>
      </c>
      <c r="J22" s="25">
        <f ca="1">IF(PaymentSchedule3[[#This Row],[Payment Number]]&lt;&gt;"",IF(PaymentSchedule3[[#This Row],[Scheduled Payment]]+PaymentSchedule3[[#This Row],[Extra
Payment]]&lt;=PaymentSchedule3[[#This Row],[Beginning
Balance]],PaymentSchedule3[[#This Row],[Beginning
Balance]]-PaymentSchedule3[[#This Row],[Principal]],0),"")</f>
        <v>347482.46756626526</v>
      </c>
      <c r="K22" s="25">
        <f ca="1">IF(PaymentSchedule3[[#This Row],[Payment Number]]&lt;&gt;"",SUM(INDEX(PaymentSchedule3[Interest],1,1):PaymentSchedule3[[#This Row],[Interest]]),"")</f>
        <v>18971.020388035322</v>
      </c>
    </row>
    <row r="23" spans="2:11" x14ac:dyDescent="0.3">
      <c r="B23" s="23">
        <f ca="1">IF(LoanIsGood,IF(ROW()-ROW(PaymentSchedule3[[#Headers],[Payment Number]])&gt;ScheduledNumberOfPayments,"",ROW()-ROW(PaymentSchedule3[[#Headers],[Payment Number]])),"")</f>
        <v>10</v>
      </c>
      <c r="C23" s="24">
        <f ca="1">IF(PaymentSchedule3[[#This Row],[Payment Number]]&lt;&gt;"",EOMONTH(LoanStartDate,ROW(PaymentSchedule3[[#This Row],[Payment Number]])-ROW(PaymentSchedule3[[#Headers],[Payment Number]])-2)+DAY(LoanStartDate),"")</f>
        <v>45727</v>
      </c>
      <c r="D23" s="25">
        <f ca="1">IF(PaymentSchedule3[[#This Row],[Payment Number]]&lt;&gt;"",IF(ROW()-ROW(PaymentSchedule3[[#Headers],[Beginning
Balance]])=1,LoanAmount,INDEX(PaymentSchedule3[Ending
Balance],ROW()-ROW(PaymentSchedule3[[#Headers],[Beginning
Balance]])-1)),"")</f>
        <v>347482.46756626526</v>
      </c>
      <c r="E23" s="25">
        <f ca="1">IF(PaymentSchedule3[[#This Row],[Payment Number]]&lt;&gt;"",ScheduledPayment,"")</f>
        <v>2387.6169801966716</v>
      </c>
      <c r="F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 s="25">
        <f ca="1">IF(PaymentSchedule3[[#This Row],[Payment Number]]&lt;&gt;"",PaymentSchedule3[[#This Row],[Total
Payment]]-PaymentSchedule3[[#This Row],[Interest]],"")</f>
        <v>288.24373865048574</v>
      </c>
      <c r="I23" s="25">
        <f ca="1">IF(PaymentSchedule3[[#This Row],[Payment Number]]&lt;&gt;"",PaymentSchedule3[[#This Row],[Beginning
Balance]]*(InterestRate/PaymentsPerYear),"")</f>
        <v>2099.3732415461859</v>
      </c>
      <c r="J23" s="25">
        <f ca="1">IF(PaymentSchedule3[[#This Row],[Payment Number]]&lt;&gt;"",IF(PaymentSchedule3[[#This Row],[Scheduled Payment]]+PaymentSchedule3[[#This Row],[Extra
Payment]]&lt;=PaymentSchedule3[[#This Row],[Beginning
Balance]],PaymentSchedule3[[#This Row],[Beginning
Balance]]-PaymentSchedule3[[#This Row],[Principal]],0),"")</f>
        <v>347194.2238276148</v>
      </c>
      <c r="K23" s="25">
        <f ca="1">IF(PaymentSchedule3[[#This Row],[Payment Number]]&lt;&gt;"",SUM(INDEX(PaymentSchedule3[Interest],1,1):PaymentSchedule3[[#This Row],[Interest]]),"")</f>
        <v>21070.393629581507</v>
      </c>
    </row>
    <row r="24" spans="2:11" x14ac:dyDescent="0.3">
      <c r="B24" s="23">
        <f ca="1">IF(LoanIsGood,IF(ROW()-ROW(PaymentSchedule3[[#Headers],[Payment Number]])&gt;ScheduledNumberOfPayments,"",ROW()-ROW(PaymentSchedule3[[#Headers],[Payment Number]])),"")</f>
        <v>11</v>
      </c>
      <c r="C24" s="24">
        <f ca="1">IF(PaymentSchedule3[[#This Row],[Payment Number]]&lt;&gt;"",EOMONTH(LoanStartDate,ROW(PaymentSchedule3[[#This Row],[Payment Number]])-ROW(PaymentSchedule3[[#Headers],[Payment Number]])-2)+DAY(LoanStartDate),"")</f>
        <v>45758</v>
      </c>
      <c r="D24" s="25">
        <f ca="1">IF(PaymentSchedule3[[#This Row],[Payment Number]]&lt;&gt;"",IF(ROW()-ROW(PaymentSchedule3[[#Headers],[Beginning
Balance]])=1,LoanAmount,INDEX(PaymentSchedule3[Ending
Balance],ROW()-ROW(PaymentSchedule3[[#Headers],[Beginning
Balance]])-1)),"")</f>
        <v>347194.2238276148</v>
      </c>
      <c r="E24" s="25">
        <f ca="1">IF(PaymentSchedule3[[#This Row],[Payment Number]]&lt;&gt;"",ScheduledPayment,"")</f>
        <v>2387.6169801966716</v>
      </c>
      <c r="F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 s="25">
        <f ca="1">IF(PaymentSchedule3[[#This Row],[Payment Number]]&lt;&gt;"",PaymentSchedule3[[#This Row],[Total
Payment]]-PaymentSchedule3[[#This Row],[Interest]],"")</f>
        <v>289.98521123816545</v>
      </c>
      <c r="I24" s="25">
        <f ca="1">IF(PaymentSchedule3[[#This Row],[Payment Number]]&lt;&gt;"",PaymentSchedule3[[#This Row],[Beginning
Balance]]*(InterestRate/PaymentsPerYear),"")</f>
        <v>2097.6317689585062</v>
      </c>
      <c r="J24" s="25">
        <f ca="1">IF(PaymentSchedule3[[#This Row],[Payment Number]]&lt;&gt;"",IF(PaymentSchedule3[[#This Row],[Scheduled Payment]]+PaymentSchedule3[[#This Row],[Extra
Payment]]&lt;=PaymentSchedule3[[#This Row],[Beginning
Balance]],PaymentSchedule3[[#This Row],[Beginning
Balance]]-PaymentSchedule3[[#This Row],[Principal]],0),"")</f>
        <v>346904.23861637665</v>
      </c>
      <c r="K24" s="25">
        <f ca="1">IF(PaymentSchedule3[[#This Row],[Payment Number]]&lt;&gt;"",SUM(INDEX(PaymentSchedule3[Interest],1,1):PaymentSchedule3[[#This Row],[Interest]]),"")</f>
        <v>23168.025398540012</v>
      </c>
    </row>
    <row r="25" spans="2:11" x14ac:dyDescent="0.3">
      <c r="B25" s="23">
        <f ca="1">IF(LoanIsGood,IF(ROW()-ROW(PaymentSchedule3[[#Headers],[Payment Number]])&gt;ScheduledNumberOfPayments,"",ROW()-ROW(PaymentSchedule3[[#Headers],[Payment Number]])),"")</f>
        <v>12</v>
      </c>
      <c r="C25" s="24">
        <f ca="1">IF(PaymentSchedule3[[#This Row],[Payment Number]]&lt;&gt;"",EOMONTH(LoanStartDate,ROW(PaymentSchedule3[[#This Row],[Payment Number]])-ROW(PaymentSchedule3[[#Headers],[Payment Number]])-2)+DAY(LoanStartDate),"")</f>
        <v>45788</v>
      </c>
      <c r="D25" s="25">
        <f ca="1">IF(PaymentSchedule3[[#This Row],[Payment Number]]&lt;&gt;"",IF(ROW()-ROW(PaymentSchedule3[[#Headers],[Beginning
Balance]])=1,LoanAmount,INDEX(PaymentSchedule3[Ending
Balance],ROW()-ROW(PaymentSchedule3[[#Headers],[Beginning
Balance]])-1)),"")</f>
        <v>346904.23861637665</v>
      </c>
      <c r="E25" s="25">
        <f ca="1">IF(PaymentSchedule3[[#This Row],[Payment Number]]&lt;&gt;"",ScheduledPayment,"")</f>
        <v>2387.6169801966716</v>
      </c>
      <c r="F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 s="25">
        <f ca="1">IF(PaymentSchedule3[[#This Row],[Payment Number]]&lt;&gt;"",PaymentSchedule3[[#This Row],[Total
Payment]]-PaymentSchedule3[[#This Row],[Interest]],"")</f>
        <v>291.73720522272924</v>
      </c>
      <c r="I25" s="25">
        <f ca="1">IF(PaymentSchedule3[[#This Row],[Payment Number]]&lt;&gt;"",PaymentSchedule3[[#This Row],[Beginning
Balance]]*(InterestRate/PaymentsPerYear),"")</f>
        <v>2095.8797749739424</v>
      </c>
      <c r="J25" s="25">
        <f ca="1">IF(PaymentSchedule3[[#This Row],[Payment Number]]&lt;&gt;"",IF(PaymentSchedule3[[#This Row],[Scheduled Payment]]+PaymentSchedule3[[#This Row],[Extra
Payment]]&lt;=PaymentSchedule3[[#This Row],[Beginning
Balance]],PaymentSchedule3[[#This Row],[Beginning
Balance]]-PaymentSchedule3[[#This Row],[Principal]],0),"")</f>
        <v>346612.50141115393</v>
      </c>
      <c r="K25" s="25">
        <f ca="1">IF(PaymentSchedule3[[#This Row],[Payment Number]]&lt;&gt;"",SUM(INDEX(PaymentSchedule3[Interest],1,1):PaymentSchedule3[[#This Row],[Interest]]),"")</f>
        <v>25263.905173513955</v>
      </c>
    </row>
    <row r="26" spans="2:11" x14ac:dyDescent="0.3">
      <c r="B26" s="23">
        <f ca="1">IF(LoanIsGood,IF(ROW()-ROW(PaymentSchedule3[[#Headers],[Payment Number]])&gt;ScheduledNumberOfPayments,"",ROW()-ROW(PaymentSchedule3[[#Headers],[Payment Number]])),"")</f>
        <v>13</v>
      </c>
      <c r="C26" s="24">
        <f ca="1">IF(PaymentSchedule3[[#This Row],[Payment Number]]&lt;&gt;"",EOMONTH(LoanStartDate,ROW(PaymentSchedule3[[#This Row],[Payment Number]])-ROW(PaymentSchedule3[[#Headers],[Payment Number]])-2)+DAY(LoanStartDate),"")</f>
        <v>45819</v>
      </c>
      <c r="D26" s="25">
        <f ca="1">IF(PaymentSchedule3[[#This Row],[Payment Number]]&lt;&gt;"",IF(ROW()-ROW(PaymentSchedule3[[#Headers],[Beginning
Balance]])=1,LoanAmount,INDEX(PaymentSchedule3[Ending
Balance],ROW()-ROW(PaymentSchedule3[[#Headers],[Beginning
Balance]])-1)),"")</f>
        <v>346612.50141115393</v>
      </c>
      <c r="E26" s="25">
        <f ca="1">IF(PaymentSchedule3[[#This Row],[Payment Number]]&lt;&gt;"",ScheduledPayment,"")</f>
        <v>2387.6169801966716</v>
      </c>
      <c r="F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 s="25">
        <f ca="1">IF(PaymentSchedule3[[#This Row],[Payment Number]]&lt;&gt;"",PaymentSchedule3[[#This Row],[Total
Payment]]-PaymentSchedule3[[#This Row],[Interest]],"")</f>
        <v>293.49978417095008</v>
      </c>
      <c r="I26" s="25">
        <f ca="1">IF(PaymentSchedule3[[#This Row],[Payment Number]]&lt;&gt;"",PaymentSchedule3[[#This Row],[Beginning
Balance]]*(InterestRate/PaymentsPerYear),"")</f>
        <v>2094.1171960257216</v>
      </c>
      <c r="J26" s="25">
        <f ca="1">IF(PaymentSchedule3[[#This Row],[Payment Number]]&lt;&gt;"",IF(PaymentSchedule3[[#This Row],[Scheduled Payment]]+PaymentSchedule3[[#This Row],[Extra
Payment]]&lt;=PaymentSchedule3[[#This Row],[Beginning
Balance]],PaymentSchedule3[[#This Row],[Beginning
Balance]]-PaymentSchedule3[[#This Row],[Principal]],0),"")</f>
        <v>346319.00162698299</v>
      </c>
      <c r="K26" s="25">
        <f ca="1">IF(PaymentSchedule3[[#This Row],[Payment Number]]&lt;&gt;"",SUM(INDEX(PaymentSchedule3[Interest],1,1):PaymentSchedule3[[#This Row],[Interest]]),"")</f>
        <v>27358.022369539678</v>
      </c>
    </row>
    <row r="27" spans="2:11" x14ac:dyDescent="0.3">
      <c r="B27" s="23">
        <f ca="1">IF(LoanIsGood,IF(ROW()-ROW(PaymentSchedule3[[#Headers],[Payment Number]])&gt;ScheduledNumberOfPayments,"",ROW()-ROW(PaymentSchedule3[[#Headers],[Payment Number]])),"")</f>
        <v>14</v>
      </c>
      <c r="C27" s="24">
        <f ca="1">IF(PaymentSchedule3[[#This Row],[Payment Number]]&lt;&gt;"",EOMONTH(LoanStartDate,ROW(PaymentSchedule3[[#This Row],[Payment Number]])-ROW(PaymentSchedule3[[#Headers],[Payment Number]])-2)+DAY(LoanStartDate),"")</f>
        <v>45849</v>
      </c>
      <c r="D27" s="25">
        <f ca="1">IF(PaymentSchedule3[[#This Row],[Payment Number]]&lt;&gt;"",IF(ROW()-ROW(PaymentSchedule3[[#Headers],[Beginning
Balance]])=1,LoanAmount,INDEX(PaymentSchedule3[Ending
Balance],ROW()-ROW(PaymentSchedule3[[#Headers],[Beginning
Balance]])-1)),"")</f>
        <v>346319.00162698299</v>
      </c>
      <c r="E27" s="25">
        <f ca="1">IF(PaymentSchedule3[[#This Row],[Payment Number]]&lt;&gt;"",ScheduledPayment,"")</f>
        <v>2387.6169801966716</v>
      </c>
      <c r="F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 s="25">
        <f ca="1">IF(PaymentSchedule3[[#This Row],[Payment Number]]&lt;&gt;"",PaymentSchedule3[[#This Row],[Total
Payment]]-PaymentSchedule3[[#This Row],[Interest]],"")</f>
        <v>295.27301203364959</v>
      </c>
      <c r="I27" s="25">
        <f ca="1">IF(PaymentSchedule3[[#This Row],[Payment Number]]&lt;&gt;"",PaymentSchedule3[[#This Row],[Beginning
Balance]]*(InterestRate/PaymentsPerYear),"")</f>
        <v>2092.3439681630221</v>
      </c>
      <c r="J27" s="25">
        <f ca="1">IF(PaymentSchedule3[[#This Row],[Payment Number]]&lt;&gt;"",IF(PaymentSchedule3[[#This Row],[Scheduled Payment]]+PaymentSchedule3[[#This Row],[Extra
Payment]]&lt;=PaymentSchedule3[[#This Row],[Beginning
Balance]],PaymentSchedule3[[#This Row],[Beginning
Balance]]-PaymentSchedule3[[#This Row],[Principal]],0),"")</f>
        <v>346023.72861494933</v>
      </c>
      <c r="K27" s="25">
        <f ca="1">IF(PaymentSchedule3[[#This Row],[Payment Number]]&lt;&gt;"",SUM(INDEX(PaymentSchedule3[Interest],1,1):PaymentSchedule3[[#This Row],[Interest]]),"")</f>
        <v>29450.366337702701</v>
      </c>
    </row>
    <row r="28" spans="2:11" x14ac:dyDescent="0.3">
      <c r="B28" s="23">
        <f ca="1">IF(LoanIsGood,IF(ROW()-ROW(PaymentSchedule3[[#Headers],[Payment Number]])&gt;ScheduledNumberOfPayments,"",ROW()-ROW(PaymentSchedule3[[#Headers],[Payment Number]])),"")</f>
        <v>15</v>
      </c>
      <c r="C28" s="24">
        <f ca="1">IF(PaymentSchedule3[[#This Row],[Payment Number]]&lt;&gt;"",EOMONTH(LoanStartDate,ROW(PaymentSchedule3[[#This Row],[Payment Number]])-ROW(PaymentSchedule3[[#Headers],[Payment Number]])-2)+DAY(LoanStartDate),"")</f>
        <v>45880</v>
      </c>
      <c r="D28" s="25">
        <f ca="1">IF(PaymentSchedule3[[#This Row],[Payment Number]]&lt;&gt;"",IF(ROW()-ROW(PaymentSchedule3[[#Headers],[Beginning
Balance]])=1,LoanAmount,INDEX(PaymentSchedule3[Ending
Balance],ROW()-ROW(PaymentSchedule3[[#Headers],[Beginning
Balance]])-1)),"")</f>
        <v>346023.72861494933</v>
      </c>
      <c r="E28" s="25">
        <f ca="1">IF(PaymentSchedule3[[#This Row],[Payment Number]]&lt;&gt;"",ScheduledPayment,"")</f>
        <v>2387.6169801966716</v>
      </c>
      <c r="F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 s="25">
        <f ca="1">IF(PaymentSchedule3[[#This Row],[Payment Number]]&lt;&gt;"",PaymentSchedule3[[#This Row],[Total
Payment]]-PaymentSchedule3[[#This Row],[Interest]],"")</f>
        <v>297.0569531480196</v>
      </c>
      <c r="I28" s="25">
        <f ca="1">IF(PaymentSchedule3[[#This Row],[Payment Number]]&lt;&gt;"",PaymentSchedule3[[#This Row],[Beginning
Balance]]*(InterestRate/PaymentsPerYear),"")</f>
        <v>2090.560027048652</v>
      </c>
      <c r="J28" s="25">
        <f ca="1">IF(PaymentSchedule3[[#This Row],[Payment Number]]&lt;&gt;"",IF(PaymentSchedule3[[#This Row],[Scheduled Payment]]+PaymentSchedule3[[#This Row],[Extra
Payment]]&lt;=PaymentSchedule3[[#This Row],[Beginning
Balance]],PaymentSchedule3[[#This Row],[Beginning
Balance]]-PaymentSchedule3[[#This Row],[Principal]],0),"")</f>
        <v>345726.67166180129</v>
      </c>
      <c r="K28" s="25">
        <f ca="1">IF(PaymentSchedule3[[#This Row],[Payment Number]]&lt;&gt;"",SUM(INDEX(PaymentSchedule3[Interest],1,1):PaymentSchedule3[[#This Row],[Interest]]),"")</f>
        <v>31540.926364751351</v>
      </c>
    </row>
    <row r="29" spans="2:11" x14ac:dyDescent="0.3">
      <c r="B29" s="23">
        <f ca="1">IF(LoanIsGood,IF(ROW()-ROW(PaymentSchedule3[[#Headers],[Payment Number]])&gt;ScheduledNumberOfPayments,"",ROW()-ROW(PaymentSchedule3[[#Headers],[Payment Number]])),"")</f>
        <v>16</v>
      </c>
      <c r="C29" s="24">
        <f ca="1">IF(PaymentSchedule3[[#This Row],[Payment Number]]&lt;&gt;"",EOMONTH(LoanStartDate,ROW(PaymentSchedule3[[#This Row],[Payment Number]])-ROW(PaymentSchedule3[[#Headers],[Payment Number]])-2)+DAY(LoanStartDate),"")</f>
        <v>45911</v>
      </c>
      <c r="D29" s="25">
        <f ca="1">IF(PaymentSchedule3[[#This Row],[Payment Number]]&lt;&gt;"",IF(ROW()-ROW(PaymentSchedule3[[#Headers],[Beginning
Balance]])=1,LoanAmount,INDEX(PaymentSchedule3[Ending
Balance],ROW()-ROW(PaymentSchedule3[[#Headers],[Beginning
Balance]])-1)),"")</f>
        <v>345726.67166180129</v>
      </c>
      <c r="E29" s="25">
        <f ca="1">IF(PaymentSchedule3[[#This Row],[Payment Number]]&lt;&gt;"",ScheduledPayment,"")</f>
        <v>2387.6169801966716</v>
      </c>
      <c r="F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 s="25">
        <f ca="1">IF(PaymentSchedule3[[#This Row],[Payment Number]]&lt;&gt;"",PaymentSchedule3[[#This Row],[Total
Payment]]-PaymentSchedule3[[#This Row],[Interest]],"")</f>
        <v>298.85167223995541</v>
      </c>
      <c r="I29" s="25">
        <f ca="1">IF(PaymentSchedule3[[#This Row],[Payment Number]]&lt;&gt;"",PaymentSchedule3[[#This Row],[Beginning
Balance]]*(InterestRate/PaymentsPerYear),"")</f>
        <v>2088.7653079567162</v>
      </c>
      <c r="J29" s="25">
        <f ca="1">IF(PaymentSchedule3[[#This Row],[Payment Number]]&lt;&gt;"",IF(PaymentSchedule3[[#This Row],[Scheduled Payment]]+PaymentSchedule3[[#This Row],[Extra
Payment]]&lt;=PaymentSchedule3[[#This Row],[Beginning
Balance]],PaymentSchedule3[[#This Row],[Beginning
Balance]]-PaymentSchedule3[[#This Row],[Principal]],0),"")</f>
        <v>345427.81998956134</v>
      </c>
      <c r="K29" s="25">
        <f ca="1">IF(PaymentSchedule3[[#This Row],[Payment Number]]&lt;&gt;"",SUM(INDEX(PaymentSchedule3[Interest],1,1):PaymentSchedule3[[#This Row],[Interest]]),"")</f>
        <v>33629.691672708068</v>
      </c>
    </row>
    <row r="30" spans="2:11" x14ac:dyDescent="0.3">
      <c r="B30" s="23">
        <f ca="1">IF(LoanIsGood,IF(ROW()-ROW(PaymentSchedule3[[#Headers],[Payment Number]])&gt;ScheduledNumberOfPayments,"",ROW()-ROW(PaymentSchedule3[[#Headers],[Payment Number]])),"")</f>
        <v>17</v>
      </c>
      <c r="C30" s="24">
        <f ca="1">IF(PaymentSchedule3[[#This Row],[Payment Number]]&lt;&gt;"",EOMONTH(LoanStartDate,ROW(PaymentSchedule3[[#This Row],[Payment Number]])-ROW(PaymentSchedule3[[#Headers],[Payment Number]])-2)+DAY(LoanStartDate),"")</f>
        <v>45941</v>
      </c>
      <c r="D30" s="25">
        <f ca="1">IF(PaymentSchedule3[[#This Row],[Payment Number]]&lt;&gt;"",IF(ROW()-ROW(PaymentSchedule3[[#Headers],[Beginning
Balance]])=1,LoanAmount,INDEX(PaymentSchedule3[Ending
Balance],ROW()-ROW(PaymentSchedule3[[#Headers],[Beginning
Balance]])-1)),"")</f>
        <v>345427.81998956134</v>
      </c>
      <c r="E30" s="25">
        <f ca="1">IF(PaymentSchedule3[[#This Row],[Payment Number]]&lt;&gt;"",ScheduledPayment,"")</f>
        <v>2387.6169801966716</v>
      </c>
      <c r="F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 s="25">
        <f ca="1">IF(PaymentSchedule3[[#This Row],[Payment Number]]&lt;&gt;"",PaymentSchedule3[[#This Row],[Total
Payment]]-PaymentSchedule3[[#This Row],[Interest]],"")</f>
        <v>300.65723442640547</v>
      </c>
      <c r="I30" s="25">
        <f ca="1">IF(PaymentSchedule3[[#This Row],[Payment Number]]&lt;&gt;"",PaymentSchedule3[[#This Row],[Beginning
Balance]]*(InterestRate/PaymentsPerYear),"")</f>
        <v>2086.9597457702662</v>
      </c>
      <c r="J30" s="25">
        <f ca="1">IF(PaymentSchedule3[[#This Row],[Payment Number]]&lt;&gt;"",IF(PaymentSchedule3[[#This Row],[Scheduled Payment]]+PaymentSchedule3[[#This Row],[Extra
Payment]]&lt;=PaymentSchedule3[[#This Row],[Beginning
Balance]],PaymentSchedule3[[#This Row],[Beginning
Balance]]-PaymentSchedule3[[#This Row],[Principal]],0),"")</f>
        <v>345127.16275513492</v>
      </c>
      <c r="K30" s="25">
        <f ca="1">IF(PaymentSchedule3[[#This Row],[Payment Number]]&lt;&gt;"",SUM(INDEX(PaymentSchedule3[Interest],1,1):PaymentSchedule3[[#This Row],[Interest]]),"")</f>
        <v>35716.651418478337</v>
      </c>
    </row>
    <row r="31" spans="2:11" x14ac:dyDescent="0.3">
      <c r="B31" s="23">
        <f ca="1">IF(LoanIsGood,IF(ROW()-ROW(PaymentSchedule3[[#Headers],[Payment Number]])&gt;ScheduledNumberOfPayments,"",ROW()-ROW(PaymentSchedule3[[#Headers],[Payment Number]])),"")</f>
        <v>18</v>
      </c>
      <c r="C31" s="24">
        <f ca="1">IF(PaymentSchedule3[[#This Row],[Payment Number]]&lt;&gt;"",EOMONTH(LoanStartDate,ROW(PaymentSchedule3[[#This Row],[Payment Number]])-ROW(PaymentSchedule3[[#Headers],[Payment Number]])-2)+DAY(LoanStartDate),"")</f>
        <v>45972</v>
      </c>
      <c r="D31" s="25">
        <f ca="1">IF(PaymentSchedule3[[#This Row],[Payment Number]]&lt;&gt;"",IF(ROW()-ROW(PaymentSchedule3[[#Headers],[Beginning
Balance]])=1,LoanAmount,INDEX(PaymentSchedule3[Ending
Balance],ROW()-ROW(PaymentSchedule3[[#Headers],[Beginning
Balance]])-1)),"")</f>
        <v>345127.16275513492</v>
      </c>
      <c r="E31" s="25">
        <f ca="1">IF(PaymentSchedule3[[#This Row],[Payment Number]]&lt;&gt;"",ScheduledPayment,"")</f>
        <v>2387.6169801966716</v>
      </c>
      <c r="F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 s="25">
        <f ca="1">IF(PaymentSchedule3[[#This Row],[Payment Number]]&lt;&gt;"",PaymentSchedule3[[#This Row],[Total
Payment]]-PaymentSchedule3[[#This Row],[Interest]],"")</f>
        <v>302.47370521773155</v>
      </c>
      <c r="I31" s="25">
        <f ca="1">IF(PaymentSchedule3[[#This Row],[Payment Number]]&lt;&gt;"",PaymentSchedule3[[#This Row],[Beginning
Balance]]*(InterestRate/PaymentsPerYear),"")</f>
        <v>2085.1432749789401</v>
      </c>
      <c r="J31" s="25">
        <f ca="1">IF(PaymentSchedule3[[#This Row],[Payment Number]]&lt;&gt;"",IF(PaymentSchedule3[[#This Row],[Scheduled Payment]]+PaymentSchedule3[[#This Row],[Extra
Payment]]&lt;=PaymentSchedule3[[#This Row],[Beginning
Balance]],PaymentSchedule3[[#This Row],[Beginning
Balance]]-PaymentSchedule3[[#This Row],[Principal]],0),"")</f>
        <v>344824.68904991722</v>
      </c>
      <c r="K31" s="25">
        <f ca="1">IF(PaymentSchedule3[[#This Row],[Payment Number]]&lt;&gt;"",SUM(INDEX(PaymentSchedule3[Interest],1,1):PaymentSchedule3[[#This Row],[Interest]]),"")</f>
        <v>37801.794693457276</v>
      </c>
    </row>
    <row r="32" spans="2:11" x14ac:dyDescent="0.3">
      <c r="B32" s="23">
        <f ca="1">IF(LoanIsGood,IF(ROW()-ROW(PaymentSchedule3[[#Headers],[Payment Number]])&gt;ScheduledNumberOfPayments,"",ROW()-ROW(PaymentSchedule3[[#Headers],[Payment Number]])),"")</f>
        <v>19</v>
      </c>
      <c r="C32" s="24">
        <f ca="1">IF(PaymentSchedule3[[#This Row],[Payment Number]]&lt;&gt;"",EOMONTH(LoanStartDate,ROW(PaymentSchedule3[[#This Row],[Payment Number]])-ROW(PaymentSchedule3[[#Headers],[Payment Number]])-2)+DAY(LoanStartDate),"")</f>
        <v>46002</v>
      </c>
      <c r="D32" s="25">
        <f ca="1">IF(PaymentSchedule3[[#This Row],[Payment Number]]&lt;&gt;"",IF(ROW()-ROW(PaymentSchedule3[[#Headers],[Beginning
Balance]])=1,LoanAmount,INDEX(PaymentSchedule3[Ending
Balance],ROW()-ROW(PaymentSchedule3[[#Headers],[Beginning
Balance]])-1)),"")</f>
        <v>344824.68904991722</v>
      </c>
      <c r="E32" s="25">
        <f ca="1">IF(PaymentSchedule3[[#This Row],[Payment Number]]&lt;&gt;"",ScheduledPayment,"")</f>
        <v>2387.6169801966716</v>
      </c>
      <c r="F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 s="25">
        <f ca="1">IF(PaymentSchedule3[[#This Row],[Payment Number]]&lt;&gt;"",PaymentSchedule3[[#This Row],[Total
Payment]]-PaymentSchedule3[[#This Row],[Interest]],"")</f>
        <v>304.30115052008841</v>
      </c>
      <c r="I32" s="25">
        <f ca="1">IF(PaymentSchedule3[[#This Row],[Payment Number]]&lt;&gt;"",PaymentSchedule3[[#This Row],[Beginning
Balance]]*(InterestRate/PaymentsPerYear),"")</f>
        <v>2083.3158296765832</v>
      </c>
      <c r="J32" s="25">
        <f ca="1">IF(PaymentSchedule3[[#This Row],[Payment Number]]&lt;&gt;"",IF(PaymentSchedule3[[#This Row],[Scheduled Payment]]+PaymentSchedule3[[#This Row],[Extra
Payment]]&lt;=PaymentSchedule3[[#This Row],[Beginning
Balance]],PaymentSchedule3[[#This Row],[Beginning
Balance]]-PaymentSchedule3[[#This Row],[Principal]],0),"")</f>
        <v>344520.38789939712</v>
      </c>
      <c r="K32" s="25">
        <f ca="1">IF(PaymentSchedule3[[#This Row],[Payment Number]]&lt;&gt;"",SUM(INDEX(PaymentSchedule3[Interest],1,1):PaymentSchedule3[[#This Row],[Interest]]),"")</f>
        <v>39885.110523133859</v>
      </c>
    </row>
    <row r="33" spans="2:11" x14ac:dyDescent="0.3">
      <c r="B33" s="23">
        <f ca="1">IF(LoanIsGood,IF(ROW()-ROW(PaymentSchedule3[[#Headers],[Payment Number]])&gt;ScheduledNumberOfPayments,"",ROW()-ROW(PaymentSchedule3[[#Headers],[Payment Number]])),"")</f>
        <v>20</v>
      </c>
      <c r="C33" s="24">
        <f ca="1">IF(PaymentSchedule3[[#This Row],[Payment Number]]&lt;&gt;"",EOMONTH(LoanStartDate,ROW(PaymentSchedule3[[#This Row],[Payment Number]])-ROW(PaymentSchedule3[[#Headers],[Payment Number]])-2)+DAY(LoanStartDate),"")</f>
        <v>46033</v>
      </c>
      <c r="D33" s="25">
        <f ca="1">IF(PaymentSchedule3[[#This Row],[Payment Number]]&lt;&gt;"",IF(ROW()-ROW(PaymentSchedule3[[#Headers],[Beginning
Balance]])=1,LoanAmount,INDEX(PaymentSchedule3[Ending
Balance],ROW()-ROW(PaymentSchedule3[[#Headers],[Beginning
Balance]])-1)),"")</f>
        <v>344520.38789939712</v>
      </c>
      <c r="E33" s="25">
        <f ca="1">IF(PaymentSchedule3[[#This Row],[Payment Number]]&lt;&gt;"",ScheduledPayment,"")</f>
        <v>2387.6169801966716</v>
      </c>
      <c r="F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 s="25">
        <f ca="1">IF(PaymentSchedule3[[#This Row],[Payment Number]]&lt;&gt;"",PaymentSchedule3[[#This Row],[Total
Payment]]-PaymentSchedule3[[#This Row],[Interest]],"")</f>
        <v>306.13963663781396</v>
      </c>
      <c r="I33" s="25">
        <f ca="1">IF(PaymentSchedule3[[#This Row],[Payment Number]]&lt;&gt;"",PaymentSchedule3[[#This Row],[Beginning
Balance]]*(InterestRate/PaymentsPerYear),"")</f>
        <v>2081.4773435588577</v>
      </c>
      <c r="J33" s="25">
        <f ca="1">IF(PaymentSchedule3[[#This Row],[Payment Number]]&lt;&gt;"",IF(PaymentSchedule3[[#This Row],[Scheduled Payment]]+PaymentSchedule3[[#This Row],[Extra
Payment]]&lt;=PaymentSchedule3[[#This Row],[Beginning
Balance]],PaymentSchedule3[[#This Row],[Beginning
Balance]]-PaymentSchedule3[[#This Row],[Principal]],0),"")</f>
        <v>344214.2482627593</v>
      </c>
      <c r="K33" s="25">
        <f ca="1">IF(PaymentSchedule3[[#This Row],[Payment Number]]&lt;&gt;"",SUM(INDEX(PaymentSchedule3[Interest],1,1):PaymentSchedule3[[#This Row],[Interest]]),"")</f>
        <v>41966.587866692716</v>
      </c>
    </row>
    <row r="34" spans="2:11" x14ac:dyDescent="0.3">
      <c r="B34" s="23">
        <f ca="1">IF(LoanIsGood,IF(ROW()-ROW(PaymentSchedule3[[#Headers],[Payment Number]])&gt;ScheduledNumberOfPayments,"",ROW()-ROW(PaymentSchedule3[[#Headers],[Payment Number]])),"")</f>
        <v>21</v>
      </c>
      <c r="C34" s="24">
        <f ca="1">IF(PaymentSchedule3[[#This Row],[Payment Number]]&lt;&gt;"",EOMONTH(LoanStartDate,ROW(PaymentSchedule3[[#This Row],[Payment Number]])-ROW(PaymentSchedule3[[#Headers],[Payment Number]])-2)+DAY(LoanStartDate),"")</f>
        <v>46064</v>
      </c>
      <c r="D34" s="25">
        <f ca="1">IF(PaymentSchedule3[[#This Row],[Payment Number]]&lt;&gt;"",IF(ROW()-ROW(PaymentSchedule3[[#Headers],[Beginning
Balance]])=1,LoanAmount,INDEX(PaymentSchedule3[Ending
Balance],ROW()-ROW(PaymentSchedule3[[#Headers],[Beginning
Balance]])-1)),"")</f>
        <v>344214.2482627593</v>
      </c>
      <c r="E34" s="25">
        <f ca="1">IF(PaymentSchedule3[[#This Row],[Payment Number]]&lt;&gt;"",ScheduledPayment,"")</f>
        <v>2387.6169801966716</v>
      </c>
      <c r="F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 s="25">
        <f ca="1">IF(PaymentSchedule3[[#This Row],[Payment Number]]&lt;&gt;"",PaymentSchedule3[[#This Row],[Total
Payment]]-PaymentSchedule3[[#This Row],[Interest]],"")</f>
        <v>307.98923027583442</v>
      </c>
      <c r="I34" s="25">
        <f ca="1">IF(PaymentSchedule3[[#This Row],[Payment Number]]&lt;&gt;"",PaymentSchedule3[[#This Row],[Beginning
Balance]]*(InterestRate/PaymentsPerYear),"")</f>
        <v>2079.6277499208372</v>
      </c>
      <c r="J34" s="25">
        <f ca="1">IF(PaymentSchedule3[[#This Row],[Payment Number]]&lt;&gt;"",IF(PaymentSchedule3[[#This Row],[Scheduled Payment]]+PaymentSchedule3[[#This Row],[Extra
Payment]]&lt;=PaymentSchedule3[[#This Row],[Beginning
Balance]],PaymentSchedule3[[#This Row],[Beginning
Balance]]-PaymentSchedule3[[#This Row],[Principal]],0),"")</f>
        <v>343906.25903248345</v>
      </c>
      <c r="K34" s="25">
        <f ca="1">IF(PaymentSchedule3[[#This Row],[Payment Number]]&lt;&gt;"",SUM(INDEX(PaymentSchedule3[Interest],1,1):PaymentSchedule3[[#This Row],[Interest]]),"")</f>
        <v>44046.215616613554</v>
      </c>
    </row>
    <row r="35" spans="2:11" x14ac:dyDescent="0.3">
      <c r="B35" s="23">
        <f ca="1">IF(LoanIsGood,IF(ROW()-ROW(PaymentSchedule3[[#Headers],[Payment Number]])&gt;ScheduledNumberOfPayments,"",ROW()-ROW(PaymentSchedule3[[#Headers],[Payment Number]])),"")</f>
        <v>22</v>
      </c>
      <c r="C35" s="24">
        <f ca="1">IF(PaymentSchedule3[[#This Row],[Payment Number]]&lt;&gt;"",EOMONTH(LoanStartDate,ROW(PaymentSchedule3[[#This Row],[Payment Number]])-ROW(PaymentSchedule3[[#Headers],[Payment Number]])-2)+DAY(LoanStartDate),"")</f>
        <v>46092</v>
      </c>
      <c r="D35" s="25">
        <f ca="1">IF(PaymentSchedule3[[#This Row],[Payment Number]]&lt;&gt;"",IF(ROW()-ROW(PaymentSchedule3[[#Headers],[Beginning
Balance]])=1,LoanAmount,INDEX(PaymentSchedule3[Ending
Balance],ROW()-ROW(PaymentSchedule3[[#Headers],[Beginning
Balance]])-1)),"")</f>
        <v>343906.25903248345</v>
      </c>
      <c r="E35" s="25">
        <f ca="1">IF(PaymentSchedule3[[#This Row],[Payment Number]]&lt;&gt;"",ScheduledPayment,"")</f>
        <v>2387.6169801966716</v>
      </c>
      <c r="F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 s="25">
        <f ca="1">IF(PaymentSchedule3[[#This Row],[Payment Number]]&lt;&gt;"",PaymentSchedule3[[#This Row],[Total
Payment]]-PaymentSchedule3[[#This Row],[Interest]],"")</f>
        <v>309.84999854208399</v>
      </c>
      <c r="I35" s="25">
        <f ca="1">IF(PaymentSchedule3[[#This Row],[Payment Number]]&lt;&gt;"",PaymentSchedule3[[#This Row],[Beginning
Balance]]*(InterestRate/PaymentsPerYear),"")</f>
        <v>2077.7669816545877</v>
      </c>
      <c r="J35" s="25">
        <f ca="1">IF(PaymentSchedule3[[#This Row],[Payment Number]]&lt;&gt;"",IF(PaymentSchedule3[[#This Row],[Scheduled Payment]]+PaymentSchedule3[[#This Row],[Extra
Payment]]&lt;=PaymentSchedule3[[#This Row],[Beginning
Balance]],PaymentSchedule3[[#This Row],[Beginning
Balance]]-PaymentSchedule3[[#This Row],[Principal]],0),"")</f>
        <v>343596.40903394134</v>
      </c>
      <c r="K35" s="25">
        <f ca="1">IF(PaymentSchedule3[[#This Row],[Payment Number]]&lt;&gt;"",SUM(INDEX(PaymentSchedule3[Interest],1,1):PaymentSchedule3[[#This Row],[Interest]]),"")</f>
        <v>46123.982598268143</v>
      </c>
    </row>
    <row r="36" spans="2:11" x14ac:dyDescent="0.3">
      <c r="B36" s="23">
        <f ca="1">IF(LoanIsGood,IF(ROW()-ROW(PaymentSchedule3[[#Headers],[Payment Number]])&gt;ScheduledNumberOfPayments,"",ROW()-ROW(PaymentSchedule3[[#Headers],[Payment Number]])),"")</f>
        <v>23</v>
      </c>
      <c r="C36" s="24">
        <f ca="1">IF(PaymentSchedule3[[#This Row],[Payment Number]]&lt;&gt;"",EOMONTH(LoanStartDate,ROW(PaymentSchedule3[[#This Row],[Payment Number]])-ROW(PaymentSchedule3[[#Headers],[Payment Number]])-2)+DAY(LoanStartDate),"")</f>
        <v>46123</v>
      </c>
      <c r="D36" s="25">
        <f ca="1">IF(PaymentSchedule3[[#This Row],[Payment Number]]&lt;&gt;"",IF(ROW()-ROW(PaymentSchedule3[[#Headers],[Beginning
Balance]])=1,LoanAmount,INDEX(PaymentSchedule3[Ending
Balance],ROW()-ROW(PaymentSchedule3[[#Headers],[Beginning
Balance]])-1)),"")</f>
        <v>343596.40903394134</v>
      </c>
      <c r="E36" s="25">
        <f ca="1">IF(PaymentSchedule3[[#This Row],[Payment Number]]&lt;&gt;"",ScheduledPayment,"")</f>
        <v>2387.6169801966716</v>
      </c>
      <c r="F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 s="25">
        <f ca="1">IF(PaymentSchedule3[[#This Row],[Payment Number]]&lt;&gt;"",PaymentSchedule3[[#This Row],[Total
Payment]]-PaymentSchedule3[[#This Row],[Interest]],"")</f>
        <v>311.72200894994285</v>
      </c>
      <c r="I36" s="25">
        <f ca="1">IF(PaymentSchedule3[[#This Row],[Payment Number]]&lt;&gt;"",PaymentSchedule3[[#This Row],[Beginning
Balance]]*(InterestRate/PaymentsPerYear),"")</f>
        <v>2075.8949712467288</v>
      </c>
      <c r="J36" s="25">
        <f ca="1">IF(PaymentSchedule3[[#This Row],[Payment Number]]&lt;&gt;"",IF(PaymentSchedule3[[#This Row],[Scheduled Payment]]+PaymentSchedule3[[#This Row],[Extra
Payment]]&lt;=PaymentSchedule3[[#This Row],[Beginning
Balance]],PaymentSchedule3[[#This Row],[Beginning
Balance]]-PaymentSchedule3[[#This Row],[Principal]],0),"")</f>
        <v>343284.68702499138</v>
      </c>
      <c r="K36" s="25">
        <f ca="1">IF(PaymentSchedule3[[#This Row],[Payment Number]]&lt;&gt;"",SUM(INDEX(PaymentSchedule3[Interest],1,1):PaymentSchedule3[[#This Row],[Interest]]),"")</f>
        <v>48199.877569514872</v>
      </c>
    </row>
    <row r="37" spans="2:11" x14ac:dyDescent="0.3">
      <c r="B37" s="23">
        <f ca="1">IF(LoanIsGood,IF(ROW()-ROW(PaymentSchedule3[[#Headers],[Payment Number]])&gt;ScheduledNumberOfPayments,"",ROW()-ROW(PaymentSchedule3[[#Headers],[Payment Number]])),"")</f>
        <v>24</v>
      </c>
      <c r="C37" s="24">
        <f ca="1">IF(PaymentSchedule3[[#This Row],[Payment Number]]&lt;&gt;"",EOMONTH(LoanStartDate,ROW(PaymentSchedule3[[#This Row],[Payment Number]])-ROW(PaymentSchedule3[[#Headers],[Payment Number]])-2)+DAY(LoanStartDate),"")</f>
        <v>46153</v>
      </c>
      <c r="D37" s="25">
        <f ca="1">IF(PaymentSchedule3[[#This Row],[Payment Number]]&lt;&gt;"",IF(ROW()-ROW(PaymentSchedule3[[#Headers],[Beginning
Balance]])=1,LoanAmount,INDEX(PaymentSchedule3[Ending
Balance],ROW()-ROW(PaymentSchedule3[[#Headers],[Beginning
Balance]])-1)),"")</f>
        <v>343284.68702499138</v>
      </c>
      <c r="E37" s="25">
        <f ca="1">IF(PaymentSchedule3[[#This Row],[Payment Number]]&lt;&gt;"",ScheduledPayment,"")</f>
        <v>2387.6169801966716</v>
      </c>
      <c r="F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7" s="25">
        <f ca="1">IF(PaymentSchedule3[[#This Row],[Payment Number]]&lt;&gt;"",PaymentSchedule3[[#This Row],[Total
Payment]]-PaymentSchedule3[[#This Row],[Interest]],"")</f>
        <v>313.60532942068221</v>
      </c>
      <c r="I37" s="25">
        <f ca="1">IF(PaymentSchedule3[[#This Row],[Payment Number]]&lt;&gt;"",PaymentSchedule3[[#This Row],[Beginning
Balance]]*(InterestRate/PaymentsPerYear),"")</f>
        <v>2074.0116507759894</v>
      </c>
      <c r="J37" s="25">
        <f ca="1">IF(PaymentSchedule3[[#This Row],[Payment Number]]&lt;&gt;"",IF(PaymentSchedule3[[#This Row],[Scheduled Payment]]+PaymentSchedule3[[#This Row],[Extra
Payment]]&lt;=PaymentSchedule3[[#This Row],[Beginning
Balance]],PaymentSchedule3[[#This Row],[Beginning
Balance]]-PaymentSchedule3[[#This Row],[Principal]],0),"")</f>
        <v>342971.08169557067</v>
      </c>
      <c r="K37" s="25">
        <f ca="1">IF(PaymentSchedule3[[#This Row],[Payment Number]]&lt;&gt;"",SUM(INDEX(PaymentSchedule3[Interest],1,1):PaymentSchedule3[[#This Row],[Interest]]),"")</f>
        <v>50273.889220290861</v>
      </c>
    </row>
    <row r="38" spans="2:11" x14ac:dyDescent="0.3">
      <c r="B38" s="23">
        <f ca="1">IF(LoanIsGood,IF(ROW()-ROW(PaymentSchedule3[[#Headers],[Payment Number]])&gt;ScheduledNumberOfPayments,"",ROW()-ROW(PaymentSchedule3[[#Headers],[Payment Number]])),"")</f>
        <v>25</v>
      </c>
      <c r="C38" s="24">
        <f ca="1">IF(PaymentSchedule3[[#This Row],[Payment Number]]&lt;&gt;"",EOMONTH(LoanStartDate,ROW(PaymentSchedule3[[#This Row],[Payment Number]])-ROW(PaymentSchedule3[[#Headers],[Payment Number]])-2)+DAY(LoanStartDate),"")</f>
        <v>46184</v>
      </c>
      <c r="D38" s="25">
        <f ca="1">IF(PaymentSchedule3[[#This Row],[Payment Number]]&lt;&gt;"",IF(ROW()-ROW(PaymentSchedule3[[#Headers],[Beginning
Balance]])=1,LoanAmount,INDEX(PaymentSchedule3[Ending
Balance],ROW()-ROW(PaymentSchedule3[[#Headers],[Beginning
Balance]])-1)),"")</f>
        <v>342971.08169557067</v>
      </c>
      <c r="E38" s="25">
        <f ca="1">IF(PaymentSchedule3[[#This Row],[Payment Number]]&lt;&gt;"",ScheduledPayment,"")</f>
        <v>2387.6169801966716</v>
      </c>
      <c r="F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8" s="25">
        <f ca="1">IF(PaymentSchedule3[[#This Row],[Payment Number]]&lt;&gt;"",PaymentSchedule3[[#This Row],[Total
Payment]]-PaymentSchedule3[[#This Row],[Interest]],"")</f>
        <v>315.50002828593233</v>
      </c>
      <c r="I38" s="25">
        <f ca="1">IF(PaymentSchedule3[[#This Row],[Payment Number]]&lt;&gt;"",PaymentSchedule3[[#This Row],[Beginning
Balance]]*(InterestRate/PaymentsPerYear),"")</f>
        <v>2072.1169519107393</v>
      </c>
      <c r="J38" s="25">
        <f ca="1">IF(PaymentSchedule3[[#This Row],[Payment Number]]&lt;&gt;"",IF(PaymentSchedule3[[#This Row],[Scheduled Payment]]+PaymentSchedule3[[#This Row],[Extra
Payment]]&lt;=PaymentSchedule3[[#This Row],[Beginning
Balance]],PaymentSchedule3[[#This Row],[Beginning
Balance]]-PaymentSchedule3[[#This Row],[Principal]],0),"")</f>
        <v>342655.58166728471</v>
      </c>
      <c r="K38" s="25">
        <f ca="1">IF(PaymentSchedule3[[#This Row],[Payment Number]]&lt;&gt;"",SUM(INDEX(PaymentSchedule3[Interest],1,1):PaymentSchedule3[[#This Row],[Interest]]),"")</f>
        <v>52346.006172201603</v>
      </c>
    </row>
    <row r="39" spans="2:11" x14ac:dyDescent="0.3">
      <c r="B39" s="23">
        <f ca="1">IF(LoanIsGood,IF(ROW()-ROW(PaymentSchedule3[[#Headers],[Payment Number]])&gt;ScheduledNumberOfPayments,"",ROW()-ROW(PaymentSchedule3[[#Headers],[Payment Number]])),"")</f>
        <v>26</v>
      </c>
      <c r="C39" s="24">
        <f ca="1">IF(PaymentSchedule3[[#This Row],[Payment Number]]&lt;&gt;"",EOMONTH(LoanStartDate,ROW(PaymentSchedule3[[#This Row],[Payment Number]])-ROW(PaymentSchedule3[[#Headers],[Payment Number]])-2)+DAY(LoanStartDate),"")</f>
        <v>46214</v>
      </c>
      <c r="D39" s="25">
        <f ca="1">IF(PaymentSchedule3[[#This Row],[Payment Number]]&lt;&gt;"",IF(ROW()-ROW(PaymentSchedule3[[#Headers],[Beginning
Balance]])=1,LoanAmount,INDEX(PaymentSchedule3[Ending
Balance],ROW()-ROW(PaymentSchedule3[[#Headers],[Beginning
Balance]])-1)),"")</f>
        <v>342655.58166728471</v>
      </c>
      <c r="E39" s="25">
        <f ca="1">IF(PaymentSchedule3[[#This Row],[Payment Number]]&lt;&gt;"",ScheduledPayment,"")</f>
        <v>2387.6169801966716</v>
      </c>
      <c r="F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9" s="25">
        <f ca="1">IF(PaymentSchedule3[[#This Row],[Payment Number]]&lt;&gt;"",PaymentSchedule3[[#This Row],[Total
Payment]]-PaymentSchedule3[[#This Row],[Interest]],"")</f>
        <v>317.40617429015992</v>
      </c>
      <c r="I39" s="25">
        <f ca="1">IF(PaymentSchedule3[[#This Row],[Payment Number]]&lt;&gt;"",PaymentSchedule3[[#This Row],[Beginning
Balance]]*(InterestRate/PaymentsPerYear),"")</f>
        <v>2070.2108059065117</v>
      </c>
      <c r="J39" s="25">
        <f ca="1">IF(PaymentSchedule3[[#This Row],[Payment Number]]&lt;&gt;"",IF(PaymentSchedule3[[#This Row],[Scheduled Payment]]+PaymentSchedule3[[#This Row],[Extra
Payment]]&lt;=PaymentSchedule3[[#This Row],[Beginning
Balance]],PaymentSchedule3[[#This Row],[Beginning
Balance]]-PaymentSchedule3[[#This Row],[Principal]],0),"")</f>
        <v>342338.17549299455</v>
      </c>
      <c r="K39" s="25">
        <f ca="1">IF(PaymentSchedule3[[#This Row],[Payment Number]]&lt;&gt;"",SUM(INDEX(PaymentSchedule3[Interest],1,1):PaymentSchedule3[[#This Row],[Interest]]),"")</f>
        <v>54416.216978108117</v>
      </c>
    </row>
    <row r="40" spans="2:11" x14ac:dyDescent="0.3">
      <c r="B40" s="23">
        <f ca="1">IF(LoanIsGood,IF(ROW()-ROW(PaymentSchedule3[[#Headers],[Payment Number]])&gt;ScheduledNumberOfPayments,"",ROW()-ROW(PaymentSchedule3[[#Headers],[Payment Number]])),"")</f>
        <v>27</v>
      </c>
      <c r="C40" s="24">
        <f ca="1">IF(PaymentSchedule3[[#This Row],[Payment Number]]&lt;&gt;"",EOMONTH(LoanStartDate,ROW(PaymentSchedule3[[#This Row],[Payment Number]])-ROW(PaymentSchedule3[[#Headers],[Payment Number]])-2)+DAY(LoanStartDate),"")</f>
        <v>46245</v>
      </c>
      <c r="D40" s="25">
        <f ca="1">IF(PaymentSchedule3[[#This Row],[Payment Number]]&lt;&gt;"",IF(ROW()-ROW(PaymentSchedule3[[#Headers],[Beginning
Balance]])=1,LoanAmount,INDEX(PaymentSchedule3[Ending
Balance],ROW()-ROW(PaymentSchedule3[[#Headers],[Beginning
Balance]])-1)),"")</f>
        <v>342338.17549299455</v>
      </c>
      <c r="E40" s="25">
        <f ca="1">IF(PaymentSchedule3[[#This Row],[Payment Number]]&lt;&gt;"",ScheduledPayment,"")</f>
        <v>2387.6169801966716</v>
      </c>
      <c r="F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0" s="25">
        <f ca="1">IF(PaymentSchedule3[[#This Row],[Payment Number]]&lt;&gt;"",PaymentSchedule3[[#This Row],[Total
Payment]]-PaymentSchedule3[[#This Row],[Interest]],"")</f>
        <v>319.32383659316292</v>
      </c>
      <c r="I40" s="25">
        <f ca="1">IF(PaymentSchedule3[[#This Row],[Payment Number]]&lt;&gt;"",PaymentSchedule3[[#This Row],[Beginning
Balance]]*(InterestRate/PaymentsPerYear),"")</f>
        <v>2068.2931436035087</v>
      </c>
      <c r="J40" s="25">
        <f ca="1">IF(PaymentSchedule3[[#This Row],[Payment Number]]&lt;&gt;"",IF(PaymentSchedule3[[#This Row],[Scheduled Payment]]+PaymentSchedule3[[#This Row],[Extra
Payment]]&lt;=PaymentSchedule3[[#This Row],[Beginning
Balance]],PaymentSchedule3[[#This Row],[Beginning
Balance]]-PaymentSchedule3[[#This Row],[Principal]],0),"")</f>
        <v>342018.85165640136</v>
      </c>
      <c r="K40" s="25">
        <f ca="1">IF(PaymentSchedule3[[#This Row],[Payment Number]]&lt;&gt;"",SUM(INDEX(PaymentSchedule3[Interest],1,1):PaymentSchedule3[[#This Row],[Interest]]),"")</f>
        <v>56484.510121711624</v>
      </c>
    </row>
    <row r="41" spans="2:11" x14ac:dyDescent="0.3">
      <c r="B41" s="23">
        <f ca="1">IF(LoanIsGood,IF(ROW()-ROW(PaymentSchedule3[[#Headers],[Payment Number]])&gt;ScheduledNumberOfPayments,"",ROW()-ROW(PaymentSchedule3[[#Headers],[Payment Number]])),"")</f>
        <v>28</v>
      </c>
      <c r="C41" s="24">
        <f ca="1">IF(PaymentSchedule3[[#This Row],[Payment Number]]&lt;&gt;"",EOMONTH(LoanStartDate,ROW(PaymentSchedule3[[#This Row],[Payment Number]])-ROW(PaymentSchedule3[[#Headers],[Payment Number]])-2)+DAY(LoanStartDate),"")</f>
        <v>46276</v>
      </c>
      <c r="D41" s="25">
        <f ca="1">IF(PaymentSchedule3[[#This Row],[Payment Number]]&lt;&gt;"",IF(ROW()-ROW(PaymentSchedule3[[#Headers],[Beginning
Balance]])=1,LoanAmount,INDEX(PaymentSchedule3[Ending
Balance],ROW()-ROW(PaymentSchedule3[[#Headers],[Beginning
Balance]])-1)),"")</f>
        <v>342018.85165640136</v>
      </c>
      <c r="E41" s="25">
        <f ca="1">IF(PaymentSchedule3[[#This Row],[Payment Number]]&lt;&gt;"",ScheduledPayment,"")</f>
        <v>2387.6169801966716</v>
      </c>
      <c r="F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1" s="25">
        <f ca="1">IF(PaymentSchedule3[[#This Row],[Payment Number]]&lt;&gt;"",PaymentSchedule3[[#This Row],[Total
Payment]]-PaymentSchedule3[[#This Row],[Interest]],"")</f>
        <v>321.25308477258022</v>
      </c>
      <c r="I41" s="25">
        <f ca="1">IF(PaymentSchedule3[[#This Row],[Payment Number]]&lt;&gt;"",PaymentSchedule3[[#This Row],[Beginning
Balance]]*(InterestRate/PaymentsPerYear),"")</f>
        <v>2066.3638954240914</v>
      </c>
      <c r="J41" s="25">
        <f ca="1">IF(PaymentSchedule3[[#This Row],[Payment Number]]&lt;&gt;"",IF(PaymentSchedule3[[#This Row],[Scheduled Payment]]+PaymentSchedule3[[#This Row],[Extra
Payment]]&lt;=PaymentSchedule3[[#This Row],[Beginning
Balance]],PaymentSchedule3[[#This Row],[Beginning
Balance]]-PaymentSchedule3[[#This Row],[Principal]],0),"")</f>
        <v>341697.5985716288</v>
      </c>
      <c r="K41" s="25">
        <f ca="1">IF(PaymentSchedule3[[#This Row],[Payment Number]]&lt;&gt;"",SUM(INDEX(PaymentSchedule3[Interest],1,1):PaymentSchedule3[[#This Row],[Interest]]),"")</f>
        <v>58550.874017135713</v>
      </c>
    </row>
    <row r="42" spans="2:11" x14ac:dyDescent="0.3">
      <c r="B42" s="23">
        <f ca="1">IF(LoanIsGood,IF(ROW()-ROW(PaymentSchedule3[[#Headers],[Payment Number]])&gt;ScheduledNumberOfPayments,"",ROW()-ROW(PaymentSchedule3[[#Headers],[Payment Number]])),"")</f>
        <v>29</v>
      </c>
      <c r="C42" s="24">
        <f ca="1">IF(PaymentSchedule3[[#This Row],[Payment Number]]&lt;&gt;"",EOMONTH(LoanStartDate,ROW(PaymentSchedule3[[#This Row],[Payment Number]])-ROW(PaymentSchedule3[[#Headers],[Payment Number]])-2)+DAY(LoanStartDate),"")</f>
        <v>46306</v>
      </c>
      <c r="D42" s="25">
        <f ca="1">IF(PaymentSchedule3[[#This Row],[Payment Number]]&lt;&gt;"",IF(ROW()-ROW(PaymentSchedule3[[#Headers],[Beginning
Balance]])=1,LoanAmount,INDEX(PaymentSchedule3[Ending
Balance],ROW()-ROW(PaymentSchedule3[[#Headers],[Beginning
Balance]])-1)),"")</f>
        <v>341697.5985716288</v>
      </c>
      <c r="E42" s="25">
        <f ca="1">IF(PaymentSchedule3[[#This Row],[Payment Number]]&lt;&gt;"",ScheduledPayment,"")</f>
        <v>2387.6169801966716</v>
      </c>
      <c r="F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2" s="25">
        <f ca="1">IF(PaymentSchedule3[[#This Row],[Payment Number]]&lt;&gt;"",PaymentSchedule3[[#This Row],[Total
Payment]]-PaymentSchedule3[[#This Row],[Interest]],"")</f>
        <v>323.19398882641417</v>
      </c>
      <c r="I42" s="25">
        <f ca="1">IF(PaymentSchedule3[[#This Row],[Payment Number]]&lt;&gt;"",PaymentSchedule3[[#This Row],[Beginning
Balance]]*(InterestRate/PaymentsPerYear),"")</f>
        <v>2064.4229913702575</v>
      </c>
      <c r="J42" s="25">
        <f ca="1">IF(PaymentSchedule3[[#This Row],[Payment Number]]&lt;&gt;"",IF(PaymentSchedule3[[#This Row],[Scheduled Payment]]+PaymentSchedule3[[#This Row],[Extra
Payment]]&lt;=PaymentSchedule3[[#This Row],[Beginning
Balance]],PaymentSchedule3[[#This Row],[Beginning
Balance]]-PaymentSchedule3[[#This Row],[Principal]],0),"")</f>
        <v>341374.40458280238</v>
      </c>
      <c r="K42" s="25">
        <f ca="1">IF(PaymentSchedule3[[#This Row],[Payment Number]]&lt;&gt;"",SUM(INDEX(PaymentSchedule3[Interest],1,1):PaymentSchedule3[[#This Row],[Interest]]),"")</f>
        <v>60615.297008505971</v>
      </c>
    </row>
    <row r="43" spans="2:11" x14ac:dyDescent="0.3">
      <c r="B43" s="23">
        <f ca="1">IF(LoanIsGood,IF(ROW()-ROW(PaymentSchedule3[[#Headers],[Payment Number]])&gt;ScheduledNumberOfPayments,"",ROW()-ROW(PaymentSchedule3[[#Headers],[Payment Number]])),"")</f>
        <v>30</v>
      </c>
      <c r="C43" s="24">
        <f ca="1">IF(PaymentSchedule3[[#This Row],[Payment Number]]&lt;&gt;"",EOMONTH(LoanStartDate,ROW(PaymentSchedule3[[#This Row],[Payment Number]])-ROW(PaymentSchedule3[[#Headers],[Payment Number]])-2)+DAY(LoanStartDate),"")</f>
        <v>46337</v>
      </c>
      <c r="D43" s="25">
        <f ca="1">IF(PaymentSchedule3[[#This Row],[Payment Number]]&lt;&gt;"",IF(ROW()-ROW(PaymentSchedule3[[#Headers],[Beginning
Balance]])=1,LoanAmount,INDEX(PaymentSchedule3[Ending
Balance],ROW()-ROW(PaymentSchedule3[[#Headers],[Beginning
Balance]])-1)),"")</f>
        <v>341374.40458280238</v>
      </c>
      <c r="E43" s="25">
        <f ca="1">IF(PaymentSchedule3[[#This Row],[Payment Number]]&lt;&gt;"",ScheduledPayment,"")</f>
        <v>2387.6169801966716</v>
      </c>
      <c r="F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3" s="25">
        <f ca="1">IF(PaymentSchedule3[[#This Row],[Payment Number]]&lt;&gt;"",PaymentSchedule3[[#This Row],[Total
Payment]]-PaymentSchedule3[[#This Row],[Interest]],"")</f>
        <v>325.14661917557396</v>
      </c>
      <c r="I43" s="25">
        <f ca="1">IF(PaymentSchedule3[[#This Row],[Payment Number]]&lt;&gt;"",PaymentSchedule3[[#This Row],[Beginning
Balance]]*(InterestRate/PaymentsPerYear),"")</f>
        <v>2062.4703610210977</v>
      </c>
      <c r="J43" s="25">
        <f ca="1">IF(PaymentSchedule3[[#This Row],[Payment Number]]&lt;&gt;"",IF(PaymentSchedule3[[#This Row],[Scheduled Payment]]+PaymentSchedule3[[#This Row],[Extra
Payment]]&lt;=PaymentSchedule3[[#This Row],[Beginning
Balance]],PaymentSchedule3[[#This Row],[Beginning
Balance]]-PaymentSchedule3[[#This Row],[Principal]],0),"")</f>
        <v>341049.25796362682</v>
      </c>
      <c r="K43" s="25">
        <f ca="1">IF(PaymentSchedule3[[#This Row],[Payment Number]]&lt;&gt;"",SUM(INDEX(PaymentSchedule3[Interest],1,1):PaymentSchedule3[[#This Row],[Interest]]),"")</f>
        <v>62677.767369527071</v>
      </c>
    </row>
    <row r="44" spans="2:11" x14ac:dyDescent="0.3">
      <c r="B44" s="23">
        <f ca="1">IF(LoanIsGood,IF(ROW()-ROW(PaymentSchedule3[[#Headers],[Payment Number]])&gt;ScheduledNumberOfPayments,"",ROW()-ROW(PaymentSchedule3[[#Headers],[Payment Number]])),"")</f>
        <v>31</v>
      </c>
      <c r="C44" s="24">
        <f ca="1">IF(PaymentSchedule3[[#This Row],[Payment Number]]&lt;&gt;"",EOMONTH(LoanStartDate,ROW(PaymentSchedule3[[#This Row],[Payment Number]])-ROW(PaymentSchedule3[[#Headers],[Payment Number]])-2)+DAY(LoanStartDate),"")</f>
        <v>46367</v>
      </c>
      <c r="D44" s="25">
        <f ca="1">IF(PaymentSchedule3[[#This Row],[Payment Number]]&lt;&gt;"",IF(ROW()-ROW(PaymentSchedule3[[#Headers],[Beginning
Balance]])=1,LoanAmount,INDEX(PaymentSchedule3[Ending
Balance],ROW()-ROW(PaymentSchedule3[[#Headers],[Beginning
Balance]])-1)),"")</f>
        <v>341049.25796362682</v>
      </c>
      <c r="E44" s="25">
        <f ca="1">IF(PaymentSchedule3[[#This Row],[Payment Number]]&lt;&gt;"",ScheduledPayment,"")</f>
        <v>2387.6169801966716</v>
      </c>
      <c r="F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4" s="25">
        <f ca="1">IF(PaymentSchedule3[[#This Row],[Payment Number]]&lt;&gt;"",PaymentSchedule3[[#This Row],[Total
Payment]]-PaymentSchedule3[[#This Row],[Interest]],"")</f>
        <v>327.11104666642632</v>
      </c>
      <c r="I44" s="25">
        <f ca="1">IF(PaymentSchedule3[[#This Row],[Payment Number]]&lt;&gt;"",PaymentSchedule3[[#This Row],[Beginning
Balance]]*(InterestRate/PaymentsPerYear),"")</f>
        <v>2060.5059335302453</v>
      </c>
      <c r="J44" s="25">
        <f ca="1">IF(PaymentSchedule3[[#This Row],[Payment Number]]&lt;&gt;"",IF(PaymentSchedule3[[#This Row],[Scheduled Payment]]+PaymentSchedule3[[#This Row],[Extra
Payment]]&lt;=PaymentSchedule3[[#This Row],[Beginning
Balance]],PaymentSchedule3[[#This Row],[Beginning
Balance]]-PaymentSchedule3[[#This Row],[Principal]],0),"")</f>
        <v>340722.14691696037</v>
      </c>
      <c r="K44" s="25">
        <f ca="1">IF(PaymentSchedule3[[#This Row],[Payment Number]]&lt;&gt;"",SUM(INDEX(PaymentSchedule3[Interest],1,1):PaymentSchedule3[[#This Row],[Interest]]),"")</f>
        <v>64738.273303057314</v>
      </c>
    </row>
    <row r="45" spans="2:11" x14ac:dyDescent="0.3">
      <c r="B45" s="23">
        <f ca="1">IF(LoanIsGood,IF(ROW()-ROW(PaymentSchedule3[[#Headers],[Payment Number]])&gt;ScheduledNumberOfPayments,"",ROW()-ROW(PaymentSchedule3[[#Headers],[Payment Number]])),"")</f>
        <v>32</v>
      </c>
      <c r="C45" s="24">
        <f ca="1">IF(PaymentSchedule3[[#This Row],[Payment Number]]&lt;&gt;"",EOMONTH(LoanStartDate,ROW(PaymentSchedule3[[#This Row],[Payment Number]])-ROW(PaymentSchedule3[[#Headers],[Payment Number]])-2)+DAY(LoanStartDate),"")</f>
        <v>46398</v>
      </c>
      <c r="D45" s="25">
        <f ca="1">IF(PaymentSchedule3[[#This Row],[Payment Number]]&lt;&gt;"",IF(ROW()-ROW(PaymentSchedule3[[#Headers],[Beginning
Balance]])=1,LoanAmount,INDEX(PaymentSchedule3[Ending
Balance],ROW()-ROW(PaymentSchedule3[[#Headers],[Beginning
Balance]])-1)),"")</f>
        <v>340722.14691696037</v>
      </c>
      <c r="E45" s="25">
        <f ca="1">IF(PaymentSchedule3[[#This Row],[Payment Number]]&lt;&gt;"",ScheduledPayment,"")</f>
        <v>2387.6169801966716</v>
      </c>
      <c r="F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5" s="25">
        <f ca="1">IF(PaymentSchedule3[[#This Row],[Payment Number]]&lt;&gt;"",PaymentSchedule3[[#This Row],[Total
Payment]]-PaymentSchedule3[[#This Row],[Interest]],"")</f>
        <v>329.08734257336937</v>
      </c>
      <c r="I45" s="25">
        <f ca="1">IF(PaymentSchedule3[[#This Row],[Payment Number]]&lt;&gt;"",PaymentSchedule3[[#This Row],[Beginning
Balance]]*(InterestRate/PaymentsPerYear),"")</f>
        <v>2058.5296376233023</v>
      </c>
      <c r="J45" s="25">
        <f ca="1">IF(PaymentSchedule3[[#This Row],[Payment Number]]&lt;&gt;"",IF(PaymentSchedule3[[#This Row],[Scheduled Payment]]+PaymentSchedule3[[#This Row],[Extra
Payment]]&lt;=PaymentSchedule3[[#This Row],[Beginning
Balance]],PaymentSchedule3[[#This Row],[Beginning
Balance]]-PaymentSchedule3[[#This Row],[Principal]],0),"")</f>
        <v>340393.05957438698</v>
      </c>
      <c r="K45" s="25">
        <f ca="1">IF(PaymentSchedule3[[#This Row],[Payment Number]]&lt;&gt;"",SUM(INDEX(PaymentSchedule3[Interest],1,1):PaymentSchedule3[[#This Row],[Interest]]),"")</f>
        <v>66796.802940680616</v>
      </c>
    </row>
    <row r="46" spans="2:11" x14ac:dyDescent="0.3">
      <c r="B46" s="23">
        <f ca="1">IF(LoanIsGood,IF(ROW()-ROW(PaymentSchedule3[[#Headers],[Payment Number]])&gt;ScheduledNumberOfPayments,"",ROW()-ROW(PaymentSchedule3[[#Headers],[Payment Number]])),"")</f>
        <v>33</v>
      </c>
      <c r="C46" s="24">
        <f ca="1">IF(PaymentSchedule3[[#This Row],[Payment Number]]&lt;&gt;"",EOMONTH(LoanStartDate,ROW(PaymentSchedule3[[#This Row],[Payment Number]])-ROW(PaymentSchedule3[[#Headers],[Payment Number]])-2)+DAY(LoanStartDate),"")</f>
        <v>46429</v>
      </c>
      <c r="D46" s="25">
        <f ca="1">IF(PaymentSchedule3[[#This Row],[Payment Number]]&lt;&gt;"",IF(ROW()-ROW(PaymentSchedule3[[#Headers],[Beginning
Balance]])=1,LoanAmount,INDEX(PaymentSchedule3[Ending
Balance],ROW()-ROW(PaymentSchedule3[[#Headers],[Beginning
Balance]])-1)),"")</f>
        <v>340393.05957438698</v>
      </c>
      <c r="E46" s="25">
        <f ca="1">IF(PaymentSchedule3[[#This Row],[Payment Number]]&lt;&gt;"",ScheduledPayment,"")</f>
        <v>2387.6169801966716</v>
      </c>
      <c r="F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6" s="25">
        <f ca="1">IF(PaymentSchedule3[[#This Row],[Payment Number]]&lt;&gt;"",PaymentSchedule3[[#This Row],[Total
Payment]]-PaymentSchedule3[[#This Row],[Interest]],"")</f>
        <v>331.07557860141696</v>
      </c>
      <c r="I46" s="25">
        <f ca="1">IF(PaymentSchedule3[[#This Row],[Payment Number]]&lt;&gt;"",PaymentSchedule3[[#This Row],[Beginning
Balance]]*(InterestRate/PaymentsPerYear),"")</f>
        <v>2056.5414015952547</v>
      </c>
      <c r="J46" s="25">
        <f ca="1">IF(PaymentSchedule3[[#This Row],[Payment Number]]&lt;&gt;"",IF(PaymentSchedule3[[#This Row],[Scheduled Payment]]+PaymentSchedule3[[#This Row],[Extra
Payment]]&lt;=PaymentSchedule3[[#This Row],[Beginning
Balance]],PaymentSchedule3[[#This Row],[Beginning
Balance]]-PaymentSchedule3[[#This Row],[Principal]],0),"")</f>
        <v>340061.98399578559</v>
      </c>
      <c r="K46" s="25">
        <f ca="1">IF(PaymentSchedule3[[#This Row],[Payment Number]]&lt;&gt;"",SUM(INDEX(PaymentSchedule3[Interest],1,1):PaymentSchedule3[[#This Row],[Interest]]),"")</f>
        <v>68853.344342275872</v>
      </c>
    </row>
    <row r="47" spans="2:11" x14ac:dyDescent="0.3">
      <c r="B47" s="23">
        <f ca="1">IF(LoanIsGood,IF(ROW()-ROW(PaymentSchedule3[[#Headers],[Payment Number]])&gt;ScheduledNumberOfPayments,"",ROW()-ROW(PaymentSchedule3[[#Headers],[Payment Number]])),"")</f>
        <v>34</v>
      </c>
      <c r="C47" s="24">
        <f ca="1">IF(PaymentSchedule3[[#This Row],[Payment Number]]&lt;&gt;"",EOMONTH(LoanStartDate,ROW(PaymentSchedule3[[#This Row],[Payment Number]])-ROW(PaymentSchedule3[[#Headers],[Payment Number]])-2)+DAY(LoanStartDate),"")</f>
        <v>46457</v>
      </c>
      <c r="D47" s="25">
        <f ca="1">IF(PaymentSchedule3[[#This Row],[Payment Number]]&lt;&gt;"",IF(ROW()-ROW(PaymentSchedule3[[#Headers],[Beginning
Balance]])=1,LoanAmount,INDEX(PaymentSchedule3[Ending
Balance],ROW()-ROW(PaymentSchedule3[[#Headers],[Beginning
Balance]])-1)),"")</f>
        <v>340061.98399578559</v>
      </c>
      <c r="E47" s="25">
        <f ca="1">IF(PaymentSchedule3[[#This Row],[Payment Number]]&lt;&gt;"",ScheduledPayment,"")</f>
        <v>2387.6169801966716</v>
      </c>
      <c r="F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7" s="25">
        <f ca="1">IF(PaymentSchedule3[[#This Row],[Payment Number]]&lt;&gt;"",PaymentSchedule3[[#This Row],[Total
Payment]]-PaymentSchedule3[[#This Row],[Interest]],"")</f>
        <v>333.07582688880029</v>
      </c>
      <c r="I47" s="25">
        <f ca="1">IF(PaymentSchedule3[[#This Row],[Payment Number]]&lt;&gt;"",PaymentSchedule3[[#This Row],[Beginning
Balance]]*(InterestRate/PaymentsPerYear),"")</f>
        <v>2054.5411533078714</v>
      </c>
      <c r="J47" s="25">
        <f ca="1">IF(PaymentSchedule3[[#This Row],[Payment Number]]&lt;&gt;"",IF(PaymentSchedule3[[#This Row],[Scheduled Payment]]+PaymentSchedule3[[#This Row],[Extra
Payment]]&lt;=PaymentSchedule3[[#This Row],[Beginning
Balance]],PaymentSchedule3[[#This Row],[Beginning
Balance]]-PaymentSchedule3[[#This Row],[Principal]],0),"")</f>
        <v>339728.9081688968</v>
      </c>
      <c r="K47" s="25">
        <f ca="1">IF(PaymentSchedule3[[#This Row],[Payment Number]]&lt;&gt;"",SUM(INDEX(PaymentSchedule3[Interest],1,1):PaymentSchedule3[[#This Row],[Interest]]),"")</f>
        <v>70907.885495583745</v>
      </c>
    </row>
    <row r="48" spans="2:11" x14ac:dyDescent="0.3">
      <c r="B48" s="23">
        <f ca="1">IF(LoanIsGood,IF(ROW()-ROW(PaymentSchedule3[[#Headers],[Payment Number]])&gt;ScheduledNumberOfPayments,"",ROW()-ROW(PaymentSchedule3[[#Headers],[Payment Number]])),"")</f>
        <v>35</v>
      </c>
      <c r="C48" s="24">
        <f ca="1">IF(PaymentSchedule3[[#This Row],[Payment Number]]&lt;&gt;"",EOMONTH(LoanStartDate,ROW(PaymentSchedule3[[#This Row],[Payment Number]])-ROW(PaymentSchedule3[[#Headers],[Payment Number]])-2)+DAY(LoanStartDate),"")</f>
        <v>46488</v>
      </c>
      <c r="D48" s="25">
        <f ca="1">IF(PaymentSchedule3[[#This Row],[Payment Number]]&lt;&gt;"",IF(ROW()-ROW(PaymentSchedule3[[#Headers],[Beginning
Balance]])=1,LoanAmount,INDEX(PaymentSchedule3[Ending
Balance],ROW()-ROW(PaymentSchedule3[[#Headers],[Beginning
Balance]])-1)),"")</f>
        <v>339728.9081688968</v>
      </c>
      <c r="E48" s="25">
        <f ca="1">IF(PaymentSchedule3[[#This Row],[Payment Number]]&lt;&gt;"",ScheduledPayment,"")</f>
        <v>2387.6169801966716</v>
      </c>
      <c r="F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8" s="25">
        <f ca="1">IF(PaymentSchedule3[[#This Row],[Payment Number]]&lt;&gt;"",PaymentSchedule3[[#This Row],[Total
Payment]]-PaymentSchedule3[[#This Row],[Interest]],"")</f>
        <v>335.08816000958677</v>
      </c>
      <c r="I48" s="25">
        <f ca="1">IF(PaymentSchedule3[[#This Row],[Payment Number]]&lt;&gt;"",PaymentSchedule3[[#This Row],[Beginning
Balance]]*(InterestRate/PaymentsPerYear),"")</f>
        <v>2052.5288201870849</v>
      </c>
      <c r="J48" s="25">
        <f ca="1">IF(PaymentSchedule3[[#This Row],[Payment Number]]&lt;&gt;"",IF(PaymentSchedule3[[#This Row],[Scheduled Payment]]+PaymentSchedule3[[#This Row],[Extra
Payment]]&lt;=PaymentSchedule3[[#This Row],[Beginning
Balance]],PaymentSchedule3[[#This Row],[Beginning
Balance]]-PaymentSchedule3[[#This Row],[Principal]],0),"")</f>
        <v>339393.82000888721</v>
      </c>
      <c r="K48" s="25">
        <f ca="1">IF(PaymentSchedule3[[#This Row],[Payment Number]]&lt;&gt;"",SUM(INDEX(PaymentSchedule3[Interest],1,1):PaymentSchedule3[[#This Row],[Interest]]),"")</f>
        <v>72960.414315770831</v>
      </c>
    </row>
    <row r="49" spans="2:11" x14ac:dyDescent="0.3">
      <c r="B49" s="23">
        <f ca="1">IF(LoanIsGood,IF(ROW()-ROW(PaymentSchedule3[[#Headers],[Payment Number]])&gt;ScheduledNumberOfPayments,"",ROW()-ROW(PaymentSchedule3[[#Headers],[Payment Number]])),"")</f>
        <v>36</v>
      </c>
      <c r="C49" s="24">
        <f ca="1">IF(PaymentSchedule3[[#This Row],[Payment Number]]&lt;&gt;"",EOMONTH(LoanStartDate,ROW(PaymentSchedule3[[#This Row],[Payment Number]])-ROW(PaymentSchedule3[[#Headers],[Payment Number]])-2)+DAY(LoanStartDate),"")</f>
        <v>46518</v>
      </c>
      <c r="D49" s="25">
        <f ca="1">IF(PaymentSchedule3[[#This Row],[Payment Number]]&lt;&gt;"",IF(ROW()-ROW(PaymentSchedule3[[#Headers],[Beginning
Balance]])=1,LoanAmount,INDEX(PaymentSchedule3[Ending
Balance],ROW()-ROW(PaymentSchedule3[[#Headers],[Beginning
Balance]])-1)),"")</f>
        <v>339393.82000888721</v>
      </c>
      <c r="E49" s="25">
        <f ca="1">IF(PaymentSchedule3[[#This Row],[Payment Number]]&lt;&gt;"",ScheduledPayment,"")</f>
        <v>2387.6169801966716</v>
      </c>
      <c r="F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49" s="25">
        <f ca="1">IF(PaymentSchedule3[[#This Row],[Payment Number]]&lt;&gt;"",PaymentSchedule3[[#This Row],[Total
Payment]]-PaymentSchedule3[[#This Row],[Interest]],"")</f>
        <v>337.11265097631167</v>
      </c>
      <c r="I49" s="25">
        <f ca="1">IF(PaymentSchedule3[[#This Row],[Payment Number]]&lt;&gt;"",PaymentSchedule3[[#This Row],[Beginning
Balance]]*(InterestRate/PaymentsPerYear),"")</f>
        <v>2050.50432922036</v>
      </c>
      <c r="J49" s="25">
        <f ca="1">IF(PaymentSchedule3[[#This Row],[Payment Number]]&lt;&gt;"",IF(PaymentSchedule3[[#This Row],[Scheduled Payment]]+PaymentSchedule3[[#This Row],[Extra
Payment]]&lt;=PaymentSchedule3[[#This Row],[Beginning
Balance]],PaymentSchedule3[[#This Row],[Beginning
Balance]]-PaymentSchedule3[[#This Row],[Principal]],0),"")</f>
        <v>339056.70735791093</v>
      </c>
      <c r="K49" s="25">
        <f ca="1">IF(PaymentSchedule3[[#This Row],[Payment Number]]&lt;&gt;"",SUM(INDEX(PaymentSchedule3[Interest],1,1):PaymentSchedule3[[#This Row],[Interest]]),"")</f>
        <v>75010.918644991194</v>
      </c>
    </row>
    <row r="50" spans="2:11" x14ac:dyDescent="0.3">
      <c r="B50" s="23">
        <f ca="1">IF(LoanIsGood,IF(ROW()-ROW(PaymentSchedule3[[#Headers],[Payment Number]])&gt;ScheduledNumberOfPayments,"",ROW()-ROW(PaymentSchedule3[[#Headers],[Payment Number]])),"")</f>
        <v>37</v>
      </c>
      <c r="C50" s="24">
        <f ca="1">IF(PaymentSchedule3[[#This Row],[Payment Number]]&lt;&gt;"",EOMONTH(LoanStartDate,ROW(PaymentSchedule3[[#This Row],[Payment Number]])-ROW(PaymentSchedule3[[#Headers],[Payment Number]])-2)+DAY(LoanStartDate),"")</f>
        <v>46549</v>
      </c>
      <c r="D50" s="25">
        <f ca="1">IF(PaymentSchedule3[[#This Row],[Payment Number]]&lt;&gt;"",IF(ROW()-ROW(PaymentSchedule3[[#Headers],[Beginning
Balance]])=1,LoanAmount,INDEX(PaymentSchedule3[Ending
Balance],ROW()-ROW(PaymentSchedule3[[#Headers],[Beginning
Balance]])-1)),"")</f>
        <v>339056.70735791093</v>
      </c>
      <c r="E50" s="25">
        <f ca="1">IF(PaymentSchedule3[[#This Row],[Payment Number]]&lt;&gt;"",ScheduledPayment,"")</f>
        <v>2387.6169801966716</v>
      </c>
      <c r="F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0" s="25">
        <f ca="1">IF(PaymentSchedule3[[#This Row],[Payment Number]]&lt;&gt;"",PaymentSchedule3[[#This Row],[Total
Payment]]-PaymentSchedule3[[#This Row],[Interest]],"")</f>
        <v>339.14937324262655</v>
      </c>
      <c r="I50" s="25">
        <f ca="1">IF(PaymentSchedule3[[#This Row],[Payment Number]]&lt;&gt;"",PaymentSchedule3[[#This Row],[Beginning
Balance]]*(InterestRate/PaymentsPerYear),"")</f>
        <v>2048.4676069540451</v>
      </c>
      <c r="J50" s="25">
        <f ca="1">IF(PaymentSchedule3[[#This Row],[Payment Number]]&lt;&gt;"",IF(PaymentSchedule3[[#This Row],[Scheduled Payment]]+PaymentSchedule3[[#This Row],[Extra
Payment]]&lt;=PaymentSchedule3[[#This Row],[Beginning
Balance]],PaymentSchedule3[[#This Row],[Beginning
Balance]]-PaymentSchedule3[[#This Row],[Principal]],0),"")</f>
        <v>338717.5579846683</v>
      </c>
      <c r="K50" s="25">
        <f ca="1">IF(PaymentSchedule3[[#This Row],[Payment Number]]&lt;&gt;"",SUM(INDEX(PaymentSchedule3[Interest],1,1):PaymentSchedule3[[#This Row],[Interest]]),"")</f>
        <v>77059.386251945238</v>
      </c>
    </row>
    <row r="51" spans="2:11" x14ac:dyDescent="0.3">
      <c r="B51" s="23">
        <f ca="1">IF(LoanIsGood,IF(ROW()-ROW(PaymentSchedule3[[#Headers],[Payment Number]])&gt;ScheduledNumberOfPayments,"",ROW()-ROW(PaymentSchedule3[[#Headers],[Payment Number]])),"")</f>
        <v>38</v>
      </c>
      <c r="C51" s="24">
        <f ca="1">IF(PaymentSchedule3[[#This Row],[Payment Number]]&lt;&gt;"",EOMONTH(LoanStartDate,ROW(PaymentSchedule3[[#This Row],[Payment Number]])-ROW(PaymentSchedule3[[#Headers],[Payment Number]])-2)+DAY(LoanStartDate),"")</f>
        <v>46579</v>
      </c>
      <c r="D51" s="25">
        <f ca="1">IF(PaymentSchedule3[[#This Row],[Payment Number]]&lt;&gt;"",IF(ROW()-ROW(PaymentSchedule3[[#Headers],[Beginning
Balance]])=1,LoanAmount,INDEX(PaymentSchedule3[Ending
Balance],ROW()-ROW(PaymentSchedule3[[#Headers],[Beginning
Balance]])-1)),"")</f>
        <v>338717.5579846683</v>
      </c>
      <c r="E51" s="25">
        <f ca="1">IF(PaymentSchedule3[[#This Row],[Payment Number]]&lt;&gt;"",ScheduledPayment,"")</f>
        <v>2387.6169801966716</v>
      </c>
      <c r="F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1" s="25">
        <f ca="1">IF(PaymentSchedule3[[#This Row],[Payment Number]]&lt;&gt;"",PaymentSchedule3[[#This Row],[Total
Payment]]-PaymentSchedule3[[#This Row],[Interest]],"")</f>
        <v>341.19840070596752</v>
      </c>
      <c r="I51" s="25">
        <f ca="1">IF(PaymentSchedule3[[#This Row],[Payment Number]]&lt;&gt;"",PaymentSchedule3[[#This Row],[Beginning
Balance]]*(InterestRate/PaymentsPerYear),"")</f>
        <v>2046.4185794907041</v>
      </c>
      <c r="J51" s="25">
        <f ca="1">IF(PaymentSchedule3[[#This Row],[Payment Number]]&lt;&gt;"",IF(PaymentSchedule3[[#This Row],[Scheduled Payment]]+PaymentSchedule3[[#This Row],[Extra
Payment]]&lt;=PaymentSchedule3[[#This Row],[Beginning
Balance]],PaymentSchedule3[[#This Row],[Beginning
Balance]]-PaymentSchedule3[[#This Row],[Principal]],0),"")</f>
        <v>338376.3595839623</v>
      </c>
      <c r="K51" s="25">
        <f ca="1">IF(PaymentSchedule3[[#This Row],[Payment Number]]&lt;&gt;"",SUM(INDEX(PaymentSchedule3[Interest],1,1):PaymentSchedule3[[#This Row],[Interest]]),"")</f>
        <v>79105.804831435948</v>
      </c>
    </row>
    <row r="52" spans="2:11" x14ac:dyDescent="0.3">
      <c r="B52" s="23">
        <f ca="1">IF(LoanIsGood,IF(ROW()-ROW(PaymentSchedule3[[#Headers],[Payment Number]])&gt;ScheduledNumberOfPayments,"",ROW()-ROW(PaymentSchedule3[[#Headers],[Payment Number]])),"")</f>
        <v>39</v>
      </c>
      <c r="C52" s="24">
        <f ca="1">IF(PaymentSchedule3[[#This Row],[Payment Number]]&lt;&gt;"",EOMONTH(LoanStartDate,ROW(PaymentSchedule3[[#This Row],[Payment Number]])-ROW(PaymentSchedule3[[#Headers],[Payment Number]])-2)+DAY(LoanStartDate),"")</f>
        <v>46610</v>
      </c>
      <c r="D52" s="25">
        <f ca="1">IF(PaymentSchedule3[[#This Row],[Payment Number]]&lt;&gt;"",IF(ROW()-ROW(PaymentSchedule3[[#Headers],[Beginning
Balance]])=1,LoanAmount,INDEX(PaymentSchedule3[Ending
Balance],ROW()-ROW(PaymentSchedule3[[#Headers],[Beginning
Balance]])-1)),"")</f>
        <v>338376.3595839623</v>
      </c>
      <c r="E52" s="25">
        <f ca="1">IF(PaymentSchedule3[[#This Row],[Payment Number]]&lt;&gt;"",ScheduledPayment,"")</f>
        <v>2387.6169801966716</v>
      </c>
      <c r="F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2" s="25">
        <f ca="1">IF(PaymentSchedule3[[#This Row],[Payment Number]]&lt;&gt;"",PaymentSchedule3[[#This Row],[Total
Payment]]-PaymentSchedule3[[#This Row],[Interest]],"")</f>
        <v>343.25980771023274</v>
      </c>
      <c r="I52" s="25">
        <f ca="1">IF(PaymentSchedule3[[#This Row],[Payment Number]]&lt;&gt;"",PaymentSchedule3[[#This Row],[Beginning
Balance]]*(InterestRate/PaymentsPerYear),"")</f>
        <v>2044.3571724864389</v>
      </c>
      <c r="J52" s="25">
        <f ca="1">IF(PaymentSchedule3[[#This Row],[Payment Number]]&lt;&gt;"",IF(PaymentSchedule3[[#This Row],[Scheduled Payment]]+PaymentSchedule3[[#This Row],[Extra
Payment]]&lt;=PaymentSchedule3[[#This Row],[Beginning
Balance]],PaymentSchedule3[[#This Row],[Beginning
Balance]]-PaymentSchedule3[[#This Row],[Principal]],0),"")</f>
        <v>338033.09977625206</v>
      </c>
      <c r="K52" s="25">
        <f ca="1">IF(PaymentSchedule3[[#This Row],[Payment Number]]&lt;&gt;"",SUM(INDEX(PaymentSchedule3[Interest],1,1):PaymentSchedule3[[#This Row],[Interest]]),"")</f>
        <v>81150.162003922393</v>
      </c>
    </row>
    <row r="53" spans="2:11" x14ac:dyDescent="0.3">
      <c r="B53" s="23">
        <f ca="1">IF(LoanIsGood,IF(ROW()-ROW(PaymentSchedule3[[#Headers],[Payment Number]])&gt;ScheduledNumberOfPayments,"",ROW()-ROW(PaymentSchedule3[[#Headers],[Payment Number]])),"")</f>
        <v>40</v>
      </c>
      <c r="C53" s="24">
        <f ca="1">IF(PaymentSchedule3[[#This Row],[Payment Number]]&lt;&gt;"",EOMONTH(LoanStartDate,ROW(PaymentSchedule3[[#This Row],[Payment Number]])-ROW(PaymentSchedule3[[#Headers],[Payment Number]])-2)+DAY(LoanStartDate),"")</f>
        <v>46641</v>
      </c>
      <c r="D53" s="25">
        <f ca="1">IF(PaymentSchedule3[[#This Row],[Payment Number]]&lt;&gt;"",IF(ROW()-ROW(PaymentSchedule3[[#Headers],[Beginning
Balance]])=1,LoanAmount,INDEX(PaymentSchedule3[Ending
Balance],ROW()-ROW(PaymentSchedule3[[#Headers],[Beginning
Balance]])-1)),"")</f>
        <v>338033.09977625206</v>
      </c>
      <c r="E53" s="25">
        <f ca="1">IF(PaymentSchedule3[[#This Row],[Payment Number]]&lt;&gt;"",ScheduledPayment,"")</f>
        <v>2387.6169801966716</v>
      </c>
      <c r="F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3" s="25">
        <f ca="1">IF(PaymentSchedule3[[#This Row],[Payment Number]]&lt;&gt;"",PaymentSchedule3[[#This Row],[Total
Payment]]-PaymentSchedule3[[#This Row],[Interest]],"")</f>
        <v>345.33366904848208</v>
      </c>
      <c r="I53" s="25">
        <f ca="1">IF(PaymentSchedule3[[#This Row],[Payment Number]]&lt;&gt;"",PaymentSchedule3[[#This Row],[Beginning
Balance]]*(InterestRate/PaymentsPerYear),"")</f>
        <v>2042.2833111481896</v>
      </c>
      <c r="J53" s="25">
        <f ca="1">IF(PaymentSchedule3[[#This Row],[Payment Number]]&lt;&gt;"",IF(PaymentSchedule3[[#This Row],[Scheduled Payment]]+PaymentSchedule3[[#This Row],[Extra
Payment]]&lt;=PaymentSchedule3[[#This Row],[Beginning
Balance]],PaymentSchedule3[[#This Row],[Beginning
Balance]]-PaymentSchedule3[[#This Row],[Principal]],0),"")</f>
        <v>337687.76610720356</v>
      </c>
      <c r="K53" s="25">
        <f ca="1">IF(PaymentSchedule3[[#This Row],[Payment Number]]&lt;&gt;"",SUM(INDEX(PaymentSchedule3[Interest],1,1):PaymentSchedule3[[#This Row],[Interest]]),"")</f>
        <v>83192.445315070581</v>
      </c>
    </row>
    <row r="54" spans="2:11" x14ac:dyDescent="0.3">
      <c r="B54" s="23">
        <f ca="1">IF(LoanIsGood,IF(ROW()-ROW(PaymentSchedule3[[#Headers],[Payment Number]])&gt;ScheduledNumberOfPayments,"",ROW()-ROW(PaymentSchedule3[[#Headers],[Payment Number]])),"")</f>
        <v>41</v>
      </c>
      <c r="C54" s="24">
        <f ca="1">IF(PaymentSchedule3[[#This Row],[Payment Number]]&lt;&gt;"",EOMONTH(LoanStartDate,ROW(PaymentSchedule3[[#This Row],[Payment Number]])-ROW(PaymentSchedule3[[#Headers],[Payment Number]])-2)+DAY(LoanStartDate),"")</f>
        <v>46671</v>
      </c>
      <c r="D54" s="25">
        <f ca="1">IF(PaymentSchedule3[[#This Row],[Payment Number]]&lt;&gt;"",IF(ROW()-ROW(PaymentSchedule3[[#Headers],[Beginning
Balance]])=1,LoanAmount,INDEX(PaymentSchedule3[Ending
Balance],ROW()-ROW(PaymentSchedule3[[#Headers],[Beginning
Balance]])-1)),"")</f>
        <v>337687.76610720356</v>
      </c>
      <c r="E54" s="25">
        <f ca="1">IF(PaymentSchedule3[[#This Row],[Payment Number]]&lt;&gt;"",ScheduledPayment,"")</f>
        <v>2387.6169801966716</v>
      </c>
      <c r="F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4" s="25">
        <f ca="1">IF(PaymentSchedule3[[#This Row],[Payment Number]]&lt;&gt;"",PaymentSchedule3[[#This Row],[Total
Payment]]-PaymentSchedule3[[#This Row],[Interest]],"")</f>
        <v>347.42005996565013</v>
      </c>
      <c r="I54" s="25">
        <f ca="1">IF(PaymentSchedule3[[#This Row],[Payment Number]]&lt;&gt;"",PaymentSchedule3[[#This Row],[Beginning
Balance]]*(InterestRate/PaymentsPerYear),"")</f>
        <v>2040.1969202310215</v>
      </c>
      <c r="J54" s="25">
        <f ca="1">IF(PaymentSchedule3[[#This Row],[Payment Number]]&lt;&gt;"",IF(PaymentSchedule3[[#This Row],[Scheduled Payment]]+PaymentSchedule3[[#This Row],[Extra
Payment]]&lt;=PaymentSchedule3[[#This Row],[Beginning
Balance]],PaymentSchedule3[[#This Row],[Beginning
Balance]]-PaymentSchedule3[[#This Row],[Principal]],0),"")</f>
        <v>337340.34604723792</v>
      </c>
      <c r="K54" s="25">
        <f ca="1">IF(PaymentSchedule3[[#This Row],[Payment Number]]&lt;&gt;"",SUM(INDEX(PaymentSchedule3[Interest],1,1):PaymentSchedule3[[#This Row],[Interest]]),"")</f>
        <v>85232.64223530161</v>
      </c>
    </row>
    <row r="55" spans="2:11" x14ac:dyDescent="0.3">
      <c r="B55" s="23">
        <f ca="1">IF(LoanIsGood,IF(ROW()-ROW(PaymentSchedule3[[#Headers],[Payment Number]])&gt;ScheduledNumberOfPayments,"",ROW()-ROW(PaymentSchedule3[[#Headers],[Payment Number]])),"")</f>
        <v>42</v>
      </c>
      <c r="C55" s="24">
        <f ca="1">IF(PaymentSchedule3[[#This Row],[Payment Number]]&lt;&gt;"",EOMONTH(LoanStartDate,ROW(PaymentSchedule3[[#This Row],[Payment Number]])-ROW(PaymentSchedule3[[#Headers],[Payment Number]])-2)+DAY(LoanStartDate),"")</f>
        <v>46702</v>
      </c>
      <c r="D55" s="25">
        <f ca="1">IF(PaymentSchedule3[[#This Row],[Payment Number]]&lt;&gt;"",IF(ROW()-ROW(PaymentSchedule3[[#Headers],[Beginning
Balance]])=1,LoanAmount,INDEX(PaymentSchedule3[Ending
Balance],ROW()-ROW(PaymentSchedule3[[#Headers],[Beginning
Balance]])-1)),"")</f>
        <v>337340.34604723792</v>
      </c>
      <c r="E55" s="25">
        <f ca="1">IF(PaymentSchedule3[[#This Row],[Payment Number]]&lt;&gt;"",ScheduledPayment,"")</f>
        <v>2387.6169801966716</v>
      </c>
      <c r="F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5" s="25">
        <f ca="1">IF(PaymentSchedule3[[#This Row],[Payment Number]]&lt;&gt;"",PaymentSchedule3[[#This Row],[Total
Payment]]-PaymentSchedule3[[#This Row],[Interest]],"")</f>
        <v>349.51905616127601</v>
      </c>
      <c r="I55" s="25">
        <f ca="1">IF(PaymentSchedule3[[#This Row],[Payment Number]]&lt;&gt;"",PaymentSchedule3[[#This Row],[Beginning
Balance]]*(InterestRate/PaymentsPerYear),"")</f>
        <v>2038.0979240353956</v>
      </c>
      <c r="J55" s="25">
        <f ca="1">IF(PaymentSchedule3[[#This Row],[Payment Number]]&lt;&gt;"",IF(PaymentSchedule3[[#This Row],[Scheduled Payment]]+PaymentSchedule3[[#This Row],[Extra
Payment]]&lt;=PaymentSchedule3[[#This Row],[Beginning
Balance]],PaymentSchedule3[[#This Row],[Beginning
Balance]]-PaymentSchedule3[[#This Row],[Principal]],0),"")</f>
        <v>336990.82699107664</v>
      </c>
      <c r="K55" s="25">
        <f ca="1">IF(PaymentSchedule3[[#This Row],[Payment Number]]&lt;&gt;"",SUM(INDEX(PaymentSchedule3[Interest],1,1):PaymentSchedule3[[#This Row],[Interest]]),"")</f>
        <v>87270.740159337001</v>
      </c>
    </row>
    <row r="56" spans="2:11" x14ac:dyDescent="0.3">
      <c r="B56" s="23">
        <f ca="1">IF(LoanIsGood,IF(ROW()-ROW(PaymentSchedule3[[#Headers],[Payment Number]])&gt;ScheduledNumberOfPayments,"",ROW()-ROW(PaymentSchedule3[[#Headers],[Payment Number]])),"")</f>
        <v>43</v>
      </c>
      <c r="C56" s="24">
        <f ca="1">IF(PaymentSchedule3[[#This Row],[Payment Number]]&lt;&gt;"",EOMONTH(LoanStartDate,ROW(PaymentSchedule3[[#This Row],[Payment Number]])-ROW(PaymentSchedule3[[#Headers],[Payment Number]])-2)+DAY(LoanStartDate),"")</f>
        <v>46732</v>
      </c>
      <c r="D56" s="25">
        <f ca="1">IF(PaymentSchedule3[[#This Row],[Payment Number]]&lt;&gt;"",IF(ROW()-ROW(PaymentSchedule3[[#Headers],[Beginning
Balance]])=1,LoanAmount,INDEX(PaymentSchedule3[Ending
Balance],ROW()-ROW(PaymentSchedule3[[#Headers],[Beginning
Balance]])-1)),"")</f>
        <v>336990.82699107664</v>
      </c>
      <c r="E56" s="25">
        <f ca="1">IF(PaymentSchedule3[[#This Row],[Payment Number]]&lt;&gt;"",ScheduledPayment,"")</f>
        <v>2387.6169801966716</v>
      </c>
      <c r="F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6" s="25">
        <f ca="1">IF(PaymentSchedule3[[#This Row],[Payment Number]]&lt;&gt;"",PaymentSchedule3[[#This Row],[Total
Payment]]-PaymentSchedule3[[#This Row],[Interest]],"")</f>
        <v>351.63073379225034</v>
      </c>
      <c r="I56" s="25">
        <f ca="1">IF(PaymentSchedule3[[#This Row],[Payment Number]]&lt;&gt;"",PaymentSchedule3[[#This Row],[Beginning
Balance]]*(InterestRate/PaymentsPerYear),"")</f>
        <v>2035.9862464044213</v>
      </c>
      <c r="J56" s="25">
        <f ca="1">IF(PaymentSchedule3[[#This Row],[Payment Number]]&lt;&gt;"",IF(PaymentSchedule3[[#This Row],[Scheduled Payment]]+PaymentSchedule3[[#This Row],[Extra
Payment]]&lt;=PaymentSchedule3[[#This Row],[Beginning
Balance]],PaymentSchedule3[[#This Row],[Beginning
Balance]]-PaymentSchedule3[[#This Row],[Principal]],0),"")</f>
        <v>336639.19625728438</v>
      </c>
      <c r="K56" s="25">
        <f ca="1">IF(PaymentSchedule3[[#This Row],[Payment Number]]&lt;&gt;"",SUM(INDEX(PaymentSchedule3[Interest],1,1):PaymentSchedule3[[#This Row],[Interest]]),"")</f>
        <v>89306.726405741429</v>
      </c>
    </row>
    <row r="57" spans="2:11" x14ac:dyDescent="0.3">
      <c r="B57" s="23">
        <f ca="1">IF(LoanIsGood,IF(ROW()-ROW(PaymentSchedule3[[#Headers],[Payment Number]])&gt;ScheduledNumberOfPayments,"",ROW()-ROW(PaymentSchedule3[[#Headers],[Payment Number]])),"")</f>
        <v>44</v>
      </c>
      <c r="C57" s="24">
        <f ca="1">IF(PaymentSchedule3[[#This Row],[Payment Number]]&lt;&gt;"",EOMONTH(LoanStartDate,ROW(PaymentSchedule3[[#This Row],[Payment Number]])-ROW(PaymentSchedule3[[#Headers],[Payment Number]])-2)+DAY(LoanStartDate),"")</f>
        <v>46763</v>
      </c>
      <c r="D57" s="25">
        <f ca="1">IF(PaymentSchedule3[[#This Row],[Payment Number]]&lt;&gt;"",IF(ROW()-ROW(PaymentSchedule3[[#Headers],[Beginning
Balance]])=1,LoanAmount,INDEX(PaymentSchedule3[Ending
Balance],ROW()-ROW(PaymentSchedule3[[#Headers],[Beginning
Balance]])-1)),"")</f>
        <v>336639.19625728438</v>
      </c>
      <c r="E57" s="25">
        <f ca="1">IF(PaymentSchedule3[[#This Row],[Payment Number]]&lt;&gt;"",ScheduledPayment,"")</f>
        <v>2387.6169801966716</v>
      </c>
      <c r="F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7" s="25">
        <f ca="1">IF(PaymentSchedule3[[#This Row],[Payment Number]]&lt;&gt;"",PaymentSchedule3[[#This Row],[Total
Payment]]-PaymentSchedule3[[#This Row],[Interest]],"")</f>
        <v>353.75516947557867</v>
      </c>
      <c r="I57" s="25">
        <f ca="1">IF(PaymentSchedule3[[#This Row],[Payment Number]]&lt;&gt;"",PaymentSchedule3[[#This Row],[Beginning
Balance]]*(InterestRate/PaymentsPerYear),"")</f>
        <v>2033.861810721093</v>
      </c>
      <c r="J57" s="25">
        <f ca="1">IF(PaymentSchedule3[[#This Row],[Payment Number]]&lt;&gt;"",IF(PaymentSchedule3[[#This Row],[Scheduled Payment]]+PaymentSchedule3[[#This Row],[Extra
Payment]]&lt;=PaymentSchedule3[[#This Row],[Beginning
Balance]],PaymentSchedule3[[#This Row],[Beginning
Balance]]-PaymentSchedule3[[#This Row],[Principal]],0),"")</f>
        <v>336285.44108780881</v>
      </c>
      <c r="K57" s="25">
        <f ca="1">IF(PaymentSchedule3[[#This Row],[Payment Number]]&lt;&gt;"",SUM(INDEX(PaymentSchedule3[Interest],1,1):PaymentSchedule3[[#This Row],[Interest]]),"")</f>
        <v>91340.588216462522</v>
      </c>
    </row>
    <row r="58" spans="2:11" x14ac:dyDescent="0.3">
      <c r="B58" s="23">
        <f ca="1">IF(LoanIsGood,IF(ROW()-ROW(PaymentSchedule3[[#Headers],[Payment Number]])&gt;ScheduledNumberOfPayments,"",ROW()-ROW(PaymentSchedule3[[#Headers],[Payment Number]])),"")</f>
        <v>45</v>
      </c>
      <c r="C58" s="24">
        <f ca="1">IF(PaymentSchedule3[[#This Row],[Payment Number]]&lt;&gt;"",EOMONTH(LoanStartDate,ROW(PaymentSchedule3[[#This Row],[Payment Number]])-ROW(PaymentSchedule3[[#Headers],[Payment Number]])-2)+DAY(LoanStartDate),"")</f>
        <v>46794</v>
      </c>
      <c r="D58" s="25">
        <f ca="1">IF(PaymentSchedule3[[#This Row],[Payment Number]]&lt;&gt;"",IF(ROW()-ROW(PaymentSchedule3[[#Headers],[Beginning
Balance]])=1,LoanAmount,INDEX(PaymentSchedule3[Ending
Balance],ROW()-ROW(PaymentSchedule3[[#Headers],[Beginning
Balance]])-1)),"")</f>
        <v>336285.44108780881</v>
      </c>
      <c r="E58" s="25">
        <f ca="1">IF(PaymentSchedule3[[#This Row],[Payment Number]]&lt;&gt;"",ScheduledPayment,"")</f>
        <v>2387.6169801966716</v>
      </c>
      <c r="F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8" s="25">
        <f ca="1">IF(PaymentSchedule3[[#This Row],[Payment Number]]&lt;&gt;"",PaymentSchedule3[[#This Row],[Total
Payment]]-PaymentSchedule3[[#This Row],[Interest]],"")</f>
        <v>355.89244029116003</v>
      </c>
      <c r="I58" s="25">
        <f ca="1">IF(PaymentSchedule3[[#This Row],[Payment Number]]&lt;&gt;"",PaymentSchedule3[[#This Row],[Beginning
Balance]]*(InterestRate/PaymentsPerYear),"")</f>
        <v>2031.7245399055116</v>
      </c>
      <c r="J58" s="25">
        <f ca="1">IF(PaymentSchedule3[[#This Row],[Payment Number]]&lt;&gt;"",IF(PaymentSchedule3[[#This Row],[Scheduled Payment]]+PaymentSchedule3[[#This Row],[Extra
Payment]]&lt;=PaymentSchedule3[[#This Row],[Beginning
Balance]],PaymentSchedule3[[#This Row],[Beginning
Balance]]-PaymentSchedule3[[#This Row],[Principal]],0),"")</f>
        <v>335929.54864751763</v>
      </c>
      <c r="K58" s="25">
        <f ca="1">IF(PaymentSchedule3[[#This Row],[Payment Number]]&lt;&gt;"",SUM(INDEX(PaymentSchedule3[Interest],1,1):PaymentSchedule3[[#This Row],[Interest]]),"")</f>
        <v>93372.312756368032</v>
      </c>
    </row>
    <row r="59" spans="2:11" x14ac:dyDescent="0.3">
      <c r="B59" s="23">
        <f ca="1">IF(LoanIsGood,IF(ROW()-ROW(PaymentSchedule3[[#Headers],[Payment Number]])&gt;ScheduledNumberOfPayments,"",ROW()-ROW(PaymentSchedule3[[#Headers],[Payment Number]])),"")</f>
        <v>46</v>
      </c>
      <c r="C59" s="24">
        <f ca="1">IF(PaymentSchedule3[[#This Row],[Payment Number]]&lt;&gt;"",EOMONTH(LoanStartDate,ROW(PaymentSchedule3[[#This Row],[Payment Number]])-ROW(PaymentSchedule3[[#Headers],[Payment Number]])-2)+DAY(LoanStartDate),"")</f>
        <v>46823</v>
      </c>
      <c r="D59" s="25">
        <f ca="1">IF(PaymentSchedule3[[#This Row],[Payment Number]]&lt;&gt;"",IF(ROW()-ROW(PaymentSchedule3[[#Headers],[Beginning
Balance]])=1,LoanAmount,INDEX(PaymentSchedule3[Ending
Balance],ROW()-ROW(PaymentSchedule3[[#Headers],[Beginning
Balance]])-1)),"")</f>
        <v>335929.54864751763</v>
      </c>
      <c r="E59" s="25">
        <f ca="1">IF(PaymentSchedule3[[#This Row],[Payment Number]]&lt;&gt;"",ScheduledPayment,"")</f>
        <v>2387.6169801966716</v>
      </c>
      <c r="F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59" s="25">
        <f ca="1">IF(PaymentSchedule3[[#This Row],[Payment Number]]&lt;&gt;"",PaymentSchedule3[[#This Row],[Total
Payment]]-PaymentSchedule3[[#This Row],[Interest]],"")</f>
        <v>358.04262378458611</v>
      </c>
      <c r="I59" s="25">
        <f ca="1">IF(PaymentSchedule3[[#This Row],[Payment Number]]&lt;&gt;"",PaymentSchedule3[[#This Row],[Beginning
Balance]]*(InterestRate/PaymentsPerYear),"")</f>
        <v>2029.5743564120855</v>
      </c>
      <c r="J59" s="25">
        <f ca="1">IF(PaymentSchedule3[[#This Row],[Payment Number]]&lt;&gt;"",IF(PaymentSchedule3[[#This Row],[Scheduled Payment]]+PaymentSchedule3[[#This Row],[Extra
Payment]]&lt;=PaymentSchedule3[[#This Row],[Beginning
Balance]],PaymentSchedule3[[#This Row],[Beginning
Balance]]-PaymentSchedule3[[#This Row],[Principal]],0),"")</f>
        <v>335571.50602373306</v>
      </c>
      <c r="K59" s="25">
        <f ca="1">IF(PaymentSchedule3[[#This Row],[Payment Number]]&lt;&gt;"",SUM(INDEX(PaymentSchedule3[Interest],1,1):PaymentSchedule3[[#This Row],[Interest]]),"")</f>
        <v>95401.88711278011</v>
      </c>
    </row>
    <row r="60" spans="2:11" x14ac:dyDescent="0.3">
      <c r="B60" s="23">
        <f ca="1">IF(LoanIsGood,IF(ROW()-ROW(PaymentSchedule3[[#Headers],[Payment Number]])&gt;ScheduledNumberOfPayments,"",ROW()-ROW(PaymentSchedule3[[#Headers],[Payment Number]])),"")</f>
        <v>47</v>
      </c>
      <c r="C60" s="24">
        <f ca="1">IF(PaymentSchedule3[[#This Row],[Payment Number]]&lt;&gt;"",EOMONTH(LoanStartDate,ROW(PaymentSchedule3[[#This Row],[Payment Number]])-ROW(PaymentSchedule3[[#Headers],[Payment Number]])-2)+DAY(LoanStartDate),"")</f>
        <v>46854</v>
      </c>
      <c r="D60" s="25">
        <f ca="1">IF(PaymentSchedule3[[#This Row],[Payment Number]]&lt;&gt;"",IF(ROW()-ROW(PaymentSchedule3[[#Headers],[Beginning
Balance]])=1,LoanAmount,INDEX(PaymentSchedule3[Ending
Balance],ROW()-ROW(PaymentSchedule3[[#Headers],[Beginning
Balance]])-1)),"")</f>
        <v>335571.50602373306</v>
      </c>
      <c r="E60" s="25">
        <f ca="1">IF(PaymentSchedule3[[#This Row],[Payment Number]]&lt;&gt;"",ScheduledPayment,"")</f>
        <v>2387.6169801966716</v>
      </c>
      <c r="F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0" s="25">
        <f ca="1">IF(PaymentSchedule3[[#This Row],[Payment Number]]&lt;&gt;"",PaymentSchedule3[[#This Row],[Total
Payment]]-PaymentSchedule3[[#This Row],[Interest]],"")</f>
        <v>360.20579796995116</v>
      </c>
      <c r="I60" s="25">
        <f ca="1">IF(PaymentSchedule3[[#This Row],[Payment Number]]&lt;&gt;"",PaymentSchedule3[[#This Row],[Beginning
Balance]]*(InterestRate/PaymentsPerYear),"")</f>
        <v>2027.4111822267205</v>
      </c>
      <c r="J60" s="25">
        <f ca="1">IF(PaymentSchedule3[[#This Row],[Payment Number]]&lt;&gt;"",IF(PaymentSchedule3[[#This Row],[Scheduled Payment]]+PaymentSchedule3[[#This Row],[Extra
Payment]]&lt;=PaymentSchedule3[[#This Row],[Beginning
Balance]],PaymentSchedule3[[#This Row],[Beginning
Balance]]-PaymentSchedule3[[#This Row],[Principal]],0),"")</f>
        <v>335211.30022576312</v>
      </c>
      <c r="K60" s="25">
        <f ca="1">IF(PaymentSchedule3[[#This Row],[Payment Number]]&lt;&gt;"",SUM(INDEX(PaymentSchedule3[Interest],1,1):PaymentSchedule3[[#This Row],[Interest]]),"")</f>
        <v>97429.298295006825</v>
      </c>
    </row>
    <row r="61" spans="2:11" x14ac:dyDescent="0.3">
      <c r="B61" s="23">
        <f ca="1">IF(LoanIsGood,IF(ROW()-ROW(PaymentSchedule3[[#Headers],[Payment Number]])&gt;ScheduledNumberOfPayments,"",ROW()-ROW(PaymentSchedule3[[#Headers],[Payment Number]])),"")</f>
        <v>48</v>
      </c>
      <c r="C61" s="24">
        <f ca="1">IF(PaymentSchedule3[[#This Row],[Payment Number]]&lt;&gt;"",EOMONTH(LoanStartDate,ROW(PaymentSchedule3[[#This Row],[Payment Number]])-ROW(PaymentSchedule3[[#Headers],[Payment Number]])-2)+DAY(LoanStartDate),"")</f>
        <v>46884</v>
      </c>
      <c r="D61" s="25">
        <f ca="1">IF(PaymentSchedule3[[#This Row],[Payment Number]]&lt;&gt;"",IF(ROW()-ROW(PaymentSchedule3[[#Headers],[Beginning
Balance]])=1,LoanAmount,INDEX(PaymentSchedule3[Ending
Balance],ROW()-ROW(PaymentSchedule3[[#Headers],[Beginning
Balance]])-1)),"")</f>
        <v>335211.30022576312</v>
      </c>
      <c r="E61" s="25">
        <f ca="1">IF(PaymentSchedule3[[#This Row],[Payment Number]]&lt;&gt;"",ScheduledPayment,"")</f>
        <v>2387.6169801966716</v>
      </c>
      <c r="F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1" s="25">
        <f ca="1">IF(PaymentSchedule3[[#This Row],[Payment Number]]&lt;&gt;"",PaymentSchedule3[[#This Row],[Total
Payment]]-PaymentSchedule3[[#This Row],[Interest]],"")</f>
        <v>362.38204133268619</v>
      </c>
      <c r="I61" s="25">
        <f ca="1">IF(PaymentSchedule3[[#This Row],[Payment Number]]&lt;&gt;"",PaymentSchedule3[[#This Row],[Beginning
Balance]]*(InterestRate/PaymentsPerYear),"")</f>
        <v>2025.2349388639855</v>
      </c>
      <c r="J61" s="25">
        <f ca="1">IF(PaymentSchedule3[[#This Row],[Payment Number]]&lt;&gt;"",IF(PaymentSchedule3[[#This Row],[Scheduled Payment]]+PaymentSchedule3[[#This Row],[Extra
Payment]]&lt;=PaymentSchedule3[[#This Row],[Beginning
Balance]],PaymentSchedule3[[#This Row],[Beginning
Balance]]-PaymentSchedule3[[#This Row],[Principal]],0),"")</f>
        <v>334848.91818443045</v>
      </c>
      <c r="K61" s="25">
        <f ca="1">IF(PaymentSchedule3[[#This Row],[Payment Number]]&lt;&gt;"",SUM(INDEX(PaymentSchedule3[Interest],1,1):PaymentSchedule3[[#This Row],[Interest]]),"")</f>
        <v>99454.53323387081</v>
      </c>
    </row>
    <row r="62" spans="2:11" x14ac:dyDescent="0.3">
      <c r="B62" s="23">
        <f ca="1">IF(LoanIsGood,IF(ROW()-ROW(PaymentSchedule3[[#Headers],[Payment Number]])&gt;ScheduledNumberOfPayments,"",ROW()-ROW(PaymentSchedule3[[#Headers],[Payment Number]])),"")</f>
        <v>49</v>
      </c>
      <c r="C62" s="24">
        <f ca="1">IF(PaymentSchedule3[[#This Row],[Payment Number]]&lt;&gt;"",EOMONTH(LoanStartDate,ROW(PaymentSchedule3[[#This Row],[Payment Number]])-ROW(PaymentSchedule3[[#Headers],[Payment Number]])-2)+DAY(LoanStartDate),"")</f>
        <v>46915</v>
      </c>
      <c r="D62" s="25">
        <f ca="1">IF(PaymentSchedule3[[#This Row],[Payment Number]]&lt;&gt;"",IF(ROW()-ROW(PaymentSchedule3[[#Headers],[Beginning
Balance]])=1,LoanAmount,INDEX(PaymentSchedule3[Ending
Balance],ROW()-ROW(PaymentSchedule3[[#Headers],[Beginning
Balance]])-1)),"")</f>
        <v>334848.91818443045</v>
      </c>
      <c r="E62" s="25">
        <f ca="1">IF(PaymentSchedule3[[#This Row],[Payment Number]]&lt;&gt;"",ScheduledPayment,"")</f>
        <v>2387.6169801966716</v>
      </c>
      <c r="F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2" s="25">
        <f ca="1">IF(PaymentSchedule3[[#This Row],[Payment Number]]&lt;&gt;"",PaymentSchedule3[[#This Row],[Total
Payment]]-PaymentSchedule3[[#This Row],[Interest]],"")</f>
        <v>364.5714328324043</v>
      </c>
      <c r="I62" s="25">
        <f ca="1">IF(PaymentSchedule3[[#This Row],[Payment Number]]&lt;&gt;"",PaymentSchedule3[[#This Row],[Beginning
Balance]]*(InterestRate/PaymentsPerYear),"")</f>
        <v>2023.0455473642673</v>
      </c>
      <c r="J62" s="25">
        <f ca="1">IF(PaymentSchedule3[[#This Row],[Payment Number]]&lt;&gt;"",IF(PaymentSchedule3[[#This Row],[Scheduled Payment]]+PaymentSchedule3[[#This Row],[Extra
Payment]]&lt;=PaymentSchedule3[[#This Row],[Beginning
Balance]],PaymentSchedule3[[#This Row],[Beginning
Balance]]-PaymentSchedule3[[#This Row],[Principal]],0),"")</f>
        <v>334484.34675159806</v>
      </c>
      <c r="K62" s="25">
        <f ca="1">IF(PaymentSchedule3[[#This Row],[Payment Number]]&lt;&gt;"",SUM(INDEX(PaymentSchedule3[Interest],1,1):PaymentSchedule3[[#This Row],[Interest]]),"")</f>
        <v>101477.57878123508</v>
      </c>
    </row>
    <row r="63" spans="2:11" x14ac:dyDescent="0.3">
      <c r="B63" s="23">
        <f ca="1">IF(LoanIsGood,IF(ROW()-ROW(PaymentSchedule3[[#Headers],[Payment Number]])&gt;ScheduledNumberOfPayments,"",ROW()-ROW(PaymentSchedule3[[#Headers],[Payment Number]])),"")</f>
        <v>50</v>
      </c>
      <c r="C63" s="24">
        <f ca="1">IF(PaymentSchedule3[[#This Row],[Payment Number]]&lt;&gt;"",EOMONTH(LoanStartDate,ROW(PaymentSchedule3[[#This Row],[Payment Number]])-ROW(PaymentSchedule3[[#Headers],[Payment Number]])-2)+DAY(LoanStartDate),"")</f>
        <v>46945</v>
      </c>
      <c r="D63" s="25">
        <f ca="1">IF(PaymentSchedule3[[#This Row],[Payment Number]]&lt;&gt;"",IF(ROW()-ROW(PaymentSchedule3[[#Headers],[Beginning
Balance]])=1,LoanAmount,INDEX(PaymentSchedule3[Ending
Balance],ROW()-ROW(PaymentSchedule3[[#Headers],[Beginning
Balance]])-1)),"")</f>
        <v>334484.34675159806</v>
      </c>
      <c r="E63" s="25">
        <f ca="1">IF(PaymentSchedule3[[#This Row],[Payment Number]]&lt;&gt;"",ScheduledPayment,"")</f>
        <v>2387.6169801966716</v>
      </c>
      <c r="F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3" s="25">
        <f ca="1">IF(PaymentSchedule3[[#This Row],[Payment Number]]&lt;&gt;"",PaymentSchedule3[[#This Row],[Total
Payment]]-PaymentSchedule3[[#This Row],[Interest]],"")</f>
        <v>366.77405190576678</v>
      </c>
      <c r="I63" s="25">
        <f ca="1">IF(PaymentSchedule3[[#This Row],[Payment Number]]&lt;&gt;"",PaymentSchedule3[[#This Row],[Beginning
Balance]]*(InterestRate/PaymentsPerYear),"")</f>
        <v>2020.8429282909049</v>
      </c>
      <c r="J63" s="25">
        <f ca="1">IF(PaymentSchedule3[[#This Row],[Payment Number]]&lt;&gt;"",IF(PaymentSchedule3[[#This Row],[Scheduled Payment]]+PaymentSchedule3[[#This Row],[Extra
Payment]]&lt;=PaymentSchedule3[[#This Row],[Beginning
Balance]],PaymentSchedule3[[#This Row],[Beginning
Balance]]-PaymentSchedule3[[#This Row],[Principal]],0),"")</f>
        <v>334117.57269969227</v>
      </c>
      <c r="K63" s="25">
        <f ca="1">IF(PaymentSchedule3[[#This Row],[Payment Number]]&lt;&gt;"",SUM(INDEX(PaymentSchedule3[Interest],1,1):PaymentSchedule3[[#This Row],[Interest]]),"")</f>
        <v>103498.42170952598</v>
      </c>
    </row>
    <row r="64" spans="2:11" x14ac:dyDescent="0.3">
      <c r="B64" s="23">
        <f ca="1">IF(LoanIsGood,IF(ROW()-ROW(PaymentSchedule3[[#Headers],[Payment Number]])&gt;ScheduledNumberOfPayments,"",ROW()-ROW(PaymentSchedule3[[#Headers],[Payment Number]])),"")</f>
        <v>51</v>
      </c>
      <c r="C64" s="24">
        <f ca="1">IF(PaymentSchedule3[[#This Row],[Payment Number]]&lt;&gt;"",EOMONTH(LoanStartDate,ROW(PaymentSchedule3[[#This Row],[Payment Number]])-ROW(PaymentSchedule3[[#Headers],[Payment Number]])-2)+DAY(LoanStartDate),"")</f>
        <v>46976</v>
      </c>
      <c r="D64" s="25">
        <f ca="1">IF(PaymentSchedule3[[#This Row],[Payment Number]]&lt;&gt;"",IF(ROW()-ROW(PaymentSchedule3[[#Headers],[Beginning
Balance]])=1,LoanAmount,INDEX(PaymentSchedule3[Ending
Balance],ROW()-ROW(PaymentSchedule3[[#Headers],[Beginning
Balance]])-1)),"")</f>
        <v>334117.57269969227</v>
      </c>
      <c r="E64" s="25">
        <f ca="1">IF(PaymentSchedule3[[#This Row],[Payment Number]]&lt;&gt;"",ScheduledPayment,"")</f>
        <v>2387.6169801966716</v>
      </c>
      <c r="F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4" s="25">
        <f ca="1">IF(PaymentSchedule3[[#This Row],[Payment Number]]&lt;&gt;"",PaymentSchedule3[[#This Row],[Total
Payment]]-PaymentSchedule3[[#This Row],[Interest]],"")</f>
        <v>368.98997846936413</v>
      </c>
      <c r="I64" s="25">
        <f ca="1">IF(PaymentSchedule3[[#This Row],[Payment Number]]&lt;&gt;"",PaymentSchedule3[[#This Row],[Beginning
Balance]]*(InterestRate/PaymentsPerYear),"")</f>
        <v>2018.6270017273075</v>
      </c>
      <c r="J64" s="25">
        <f ca="1">IF(PaymentSchedule3[[#This Row],[Payment Number]]&lt;&gt;"",IF(PaymentSchedule3[[#This Row],[Scheduled Payment]]+PaymentSchedule3[[#This Row],[Extra
Payment]]&lt;=PaymentSchedule3[[#This Row],[Beginning
Balance]],PaymentSchedule3[[#This Row],[Beginning
Balance]]-PaymentSchedule3[[#This Row],[Principal]],0),"")</f>
        <v>333748.58272122289</v>
      </c>
      <c r="K64" s="25">
        <f ca="1">IF(PaymentSchedule3[[#This Row],[Payment Number]]&lt;&gt;"",SUM(INDEX(PaymentSchedule3[Interest],1,1):PaymentSchedule3[[#This Row],[Interest]]),"")</f>
        <v>105517.04871125329</v>
      </c>
    </row>
    <row r="65" spans="2:11" x14ac:dyDescent="0.3">
      <c r="B65" s="23">
        <f ca="1">IF(LoanIsGood,IF(ROW()-ROW(PaymentSchedule3[[#Headers],[Payment Number]])&gt;ScheduledNumberOfPayments,"",ROW()-ROW(PaymentSchedule3[[#Headers],[Payment Number]])),"")</f>
        <v>52</v>
      </c>
      <c r="C65" s="24">
        <f ca="1">IF(PaymentSchedule3[[#This Row],[Payment Number]]&lt;&gt;"",EOMONTH(LoanStartDate,ROW(PaymentSchedule3[[#This Row],[Payment Number]])-ROW(PaymentSchedule3[[#Headers],[Payment Number]])-2)+DAY(LoanStartDate),"")</f>
        <v>47007</v>
      </c>
      <c r="D65" s="25">
        <f ca="1">IF(PaymentSchedule3[[#This Row],[Payment Number]]&lt;&gt;"",IF(ROW()-ROW(PaymentSchedule3[[#Headers],[Beginning
Balance]])=1,LoanAmount,INDEX(PaymentSchedule3[Ending
Balance],ROW()-ROW(PaymentSchedule3[[#Headers],[Beginning
Balance]])-1)),"")</f>
        <v>333748.58272122289</v>
      </c>
      <c r="E65" s="25">
        <f ca="1">IF(PaymentSchedule3[[#This Row],[Payment Number]]&lt;&gt;"",ScheduledPayment,"")</f>
        <v>2387.6169801966716</v>
      </c>
      <c r="F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5" s="25">
        <f ca="1">IF(PaymentSchedule3[[#This Row],[Payment Number]]&lt;&gt;"",PaymentSchedule3[[#This Row],[Total
Payment]]-PaymentSchedule3[[#This Row],[Interest]],"")</f>
        <v>371.21929292261666</v>
      </c>
      <c r="I65" s="25">
        <f ca="1">IF(PaymentSchedule3[[#This Row],[Payment Number]]&lt;&gt;"",PaymentSchedule3[[#This Row],[Beginning
Balance]]*(InterestRate/PaymentsPerYear),"")</f>
        <v>2016.397687274055</v>
      </c>
      <c r="J65" s="25">
        <f ca="1">IF(PaymentSchedule3[[#This Row],[Payment Number]]&lt;&gt;"",IF(PaymentSchedule3[[#This Row],[Scheduled Payment]]+PaymentSchedule3[[#This Row],[Extra
Payment]]&lt;=PaymentSchedule3[[#This Row],[Beginning
Balance]],PaymentSchedule3[[#This Row],[Beginning
Balance]]-PaymentSchedule3[[#This Row],[Principal]],0),"")</f>
        <v>333377.36342830025</v>
      </c>
      <c r="K65" s="25">
        <f ca="1">IF(PaymentSchedule3[[#This Row],[Payment Number]]&lt;&gt;"",SUM(INDEX(PaymentSchedule3[Interest],1,1):PaymentSchedule3[[#This Row],[Interest]]),"")</f>
        <v>107533.44639852735</v>
      </c>
    </row>
    <row r="66" spans="2:11" x14ac:dyDescent="0.3">
      <c r="B66" s="23">
        <f ca="1">IF(LoanIsGood,IF(ROW()-ROW(PaymentSchedule3[[#Headers],[Payment Number]])&gt;ScheduledNumberOfPayments,"",ROW()-ROW(PaymentSchedule3[[#Headers],[Payment Number]])),"")</f>
        <v>53</v>
      </c>
      <c r="C66" s="24">
        <f ca="1">IF(PaymentSchedule3[[#This Row],[Payment Number]]&lt;&gt;"",EOMONTH(LoanStartDate,ROW(PaymentSchedule3[[#This Row],[Payment Number]])-ROW(PaymentSchedule3[[#Headers],[Payment Number]])-2)+DAY(LoanStartDate),"")</f>
        <v>47037</v>
      </c>
      <c r="D66" s="25">
        <f ca="1">IF(PaymentSchedule3[[#This Row],[Payment Number]]&lt;&gt;"",IF(ROW()-ROW(PaymentSchedule3[[#Headers],[Beginning
Balance]])=1,LoanAmount,INDEX(PaymentSchedule3[Ending
Balance],ROW()-ROW(PaymentSchedule3[[#Headers],[Beginning
Balance]])-1)),"")</f>
        <v>333377.36342830025</v>
      </c>
      <c r="E66" s="25">
        <f ca="1">IF(PaymentSchedule3[[#This Row],[Payment Number]]&lt;&gt;"",ScheduledPayment,"")</f>
        <v>2387.6169801966716</v>
      </c>
      <c r="F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6" s="25">
        <f ca="1">IF(PaymentSchedule3[[#This Row],[Payment Number]]&lt;&gt;"",PaymentSchedule3[[#This Row],[Total
Payment]]-PaymentSchedule3[[#This Row],[Interest]],"")</f>
        <v>373.46207615069102</v>
      </c>
      <c r="I66" s="25">
        <f ca="1">IF(PaymentSchedule3[[#This Row],[Payment Number]]&lt;&gt;"",PaymentSchedule3[[#This Row],[Beginning
Balance]]*(InterestRate/PaymentsPerYear),"")</f>
        <v>2014.1549040459806</v>
      </c>
      <c r="J66" s="25">
        <f ca="1">IF(PaymentSchedule3[[#This Row],[Payment Number]]&lt;&gt;"",IF(PaymentSchedule3[[#This Row],[Scheduled Payment]]+PaymentSchedule3[[#This Row],[Extra
Payment]]&lt;=PaymentSchedule3[[#This Row],[Beginning
Balance]],PaymentSchedule3[[#This Row],[Beginning
Balance]]-PaymentSchedule3[[#This Row],[Principal]],0),"")</f>
        <v>333003.90135214955</v>
      </c>
      <c r="K66" s="25">
        <f ca="1">IF(PaymentSchedule3[[#This Row],[Payment Number]]&lt;&gt;"",SUM(INDEX(PaymentSchedule3[Interest],1,1):PaymentSchedule3[[#This Row],[Interest]]),"")</f>
        <v>109547.60130257333</v>
      </c>
    </row>
    <row r="67" spans="2:11" x14ac:dyDescent="0.3">
      <c r="B67" s="23">
        <f ca="1">IF(LoanIsGood,IF(ROW()-ROW(PaymentSchedule3[[#Headers],[Payment Number]])&gt;ScheduledNumberOfPayments,"",ROW()-ROW(PaymentSchedule3[[#Headers],[Payment Number]])),"")</f>
        <v>54</v>
      </c>
      <c r="C67" s="24">
        <f ca="1">IF(PaymentSchedule3[[#This Row],[Payment Number]]&lt;&gt;"",EOMONTH(LoanStartDate,ROW(PaymentSchedule3[[#This Row],[Payment Number]])-ROW(PaymentSchedule3[[#Headers],[Payment Number]])-2)+DAY(LoanStartDate),"")</f>
        <v>47068</v>
      </c>
      <c r="D67" s="25">
        <f ca="1">IF(PaymentSchedule3[[#This Row],[Payment Number]]&lt;&gt;"",IF(ROW()-ROW(PaymentSchedule3[[#Headers],[Beginning
Balance]])=1,LoanAmount,INDEX(PaymentSchedule3[Ending
Balance],ROW()-ROW(PaymentSchedule3[[#Headers],[Beginning
Balance]])-1)),"")</f>
        <v>333003.90135214955</v>
      </c>
      <c r="E67" s="25">
        <f ca="1">IF(PaymentSchedule3[[#This Row],[Payment Number]]&lt;&gt;"",ScheduledPayment,"")</f>
        <v>2387.6169801966716</v>
      </c>
      <c r="F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7" s="25">
        <f ca="1">IF(PaymentSchedule3[[#This Row],[Payment Number]]&lt;&gt;"",PaymentSchedule3[[#This Row],[Total
Payment]]-PaymentSchedule3[[#This Row],[Interest]],"")</f>
        <v>375.71840952743491</v>
      </c>
      <c r="I67" s="25">
        <f ca="1">IF(PaymentSchedule3[[#This Row],[Payment Number]]&lt;&gt;"",PaymentSchedule3[[#This Row],[Beginning
Balance]]*(InterestRate/PaymentsPerYear),"")</f>
        <v>2011.8985706692367</v>
      </c>
      <c r="J67" s="25">
        <f ca="1">IF(PaymentSchedule3[[#This Row],[Payment Number]]&lt;&gt;"",IF(PaymentSchedule3[[#This Row],[Scheduled Payment]]+PaymentSchedule3[[#This Row],[Extra
Payment]]&lt;=PaymentSchedule3[[#This Row],[Beginning
Balance]],PaymentSchedule3[[#This Row],[Beginning
Balance]]-PaymentSchedule3[[#This Row],[Principal]],0),"")</f>
        <v>332628.18294262211</v>
      </c>
      <c r="K67" s="25">
        <f ca="1">IF(PaymentSchedule3[[#This Row],[Payment Number]]&lt;&gt;"",SUM(INDEX(PaymentSchedule3[Interest],1,1):PaymentSchedule3[[#This Row],[Interest]]),"")</f>
        <v>111559.49987324256</v>
      </c>
    </row>
    <row r="68" spans="2:11" x14ac:dyDescent="0.3">
      <c r="B68" s="23">
        <f ca="1">IF(LoanIsGood,IF(ROW()-ROW(PaymentSchedule3[[#Headers],[Payment Number]])&gt;ScheduledNumberOfPayments,"",ROW()-ROW(PaymentSchedule3[[#Headers],[Payment Number]])),"")</f>
        <v>55</v>
      </c>
      <c r="C68" s="24">
        <f ca="1">IF(PaymentSchedule3[[#This Row],[Payment Number]]&lt;&gt;"",EOMONTH(LoanStartDate,ROW(PaymentSchedule3[[#This Row],[Payment Number]])-ROW(PaymentSchedule3[[#Headers],[Payment Number]])-2)+DAY(LoanStartDate),"")</f>
        <v>47098</v>
      </c>
      <c r="D68" s="25">
        <f ca="1">IF(PaymentSchedule3[[#This Row],[Payment Number]]&lt;&gt;"",IF(ROW()-ROW(PaymentSchedule3[[#Headers],[Beginning
Balance]])=1,LoanAmount,INDEX(PaymentSchedule3[Ending
Balance],ROW()-ROW(PaymentSchedule3[[#Headers],[Beginning
Balance]])-1)),"")</f>
        <v>332628.18294262211</v>
      </c>
      <c r="E68" s="25">
        <f ca="1">IF(PaymentSchedule3[[#This Row],[Payment Number]]&lt;&gt;"",ScheduledPayment,"")</f>
        <v>2387.6169801966716</v>
      </c>
      <c r="F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8" s="25">
        <f ca="1">IF(PaymentSchedule3[[#This Row],[Payment Number]]&lt;&gt;"",PaymentSchedule3[[#This Row],[Total
Payment]]-PaymentSchedule3[[#This Row],[Interest]],"")</f>
        <v>377.98837491832978</v>
      </c>
      <c r="I68" s="25">
        <f ca="1">IF(PaymentSchedule3[[#This Row],[Payment Number]]&lt;&gt;"",PaymentSchedule3[[#This Row],[Beginning
Balance]]*(InterestRate/PaymentsPerYear),"")</f>
        <v>2009.6286052783419</v>
      </c>
      <c r="J68" s="25">
        <f ca="1">IF(PaymentSchedule3[[#This Row],[Payment Number]]&lt;&gt;"",IF(PaymentSchedule3[[#This Row],[Scheduled Payment]]+PaymentSchedule3[[#This Row],[Extra
Payment]]&lt;=PaymentSchedule3[[#This Row],[Beginning
Balance]],PaymentSchedule3[[#This Row],[Beginning
Balance]]-PaymentSchedule3[[#This Row],[Principal]],0),"")</f>
        <v>332250.19456770376</v>
      </c>
      <c r="K68" s="25">
        <f ca="1">IF(PaymentSchedule3[[#This Row],[Payment Number]]&lt;&gt;"",SUM(INDEX(PaymentSchedule3[Interest],1,1):PaymentSchedule3[[#This Row],[Interest]]),"")</f>
        <v>113569.1284785209</v>
      </c>
    </row>
    <row r="69" spans="2:11" x14ac:dyDescent="0.3">
      <c r="B69" s="23">
        <f ca="1">IF(LoanIsGood,IF(ROW()-ROW(PaymentSchedule3[[#Headers],[Payment Number]])&gt;ScheduledNumberOfPayments,"",ROW()-ROW(PaymentSchedule3[[#Headers],[Payment Number]])),"")</f>
        <v>56</v>
      </c>
      <c r="C69" s="24">
        <f ca="1">IF(PaymentSchedule3[[#This Row],[Payment Number]]&lt;&gt;"",EOMONTH(LoanStartDate,ROW(PaymentSchedule3[[#This Row],[Payment Number]])-ROW(PaymentSchedule3[[#Headers],[Payment Number]])-2)+DAY(LoanStartDate),"")</f>
        <v>47129</v>
      </c>
      <c r="D69" s="25">
        <f ca="1">IF(PaymentSchedule3[[#This Row],[Payment Number]]&lt;&gt;"",IF(ROW()-ROW(PaymentSchedule3[[#Headers],[Beginning
Balance]])=1,LoanAmount,INDEX(PaymentSchedule3[Ending
Balance],ROW()-ROW(PaymentSchedule3[[#Headers],[Beginning
Balance]])-1)),"")</f>
        <v>332250.19456770376</v>
      </c>
      <c r="E69" s="25">
        <f ca="1">IF(PaymentSchedule3[[#This Row],[Payment Number]]&lt;&gt;"",ScheduledPayment,"")</f>
        <v>2387.6169801966716</v>
      </c>
      <c r="F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69" s="25">
        <f ca="1">IF(PaymentSchedule3[[#This Row],[Payment Number]]&lt;&gt;"",PaymentSchedule3[[#This Row],[Total
Payment]]-PaymentSchedule3[[#This Row],[Interest]],"")</f>
        <v>380.27205468346142</v>
      </c>
      <c r="I69" s="25">
        <f ca="1">IF(PaymentSchedule3[[#This Row],[Payment Number]]&lt;&gt;"",PaymentSchedule3[[#This Row],[Beginning
Balance]]*(InterestRate/PaymentsPerYear),"")</f>
        <v>2007.3449255132102</v>
      </c>
      <c r="J69" s="25">
        <f ca="1">IF(PaymentSchedule3[[#This Row],[Payment Number]]&lt;&gt;"",IF(PaymentSchedule3[[#This Row],[Scheduled Payment]]+PaymentSchedule3[[#This Row],[Extra
Payment]]&lt;=PaymentSchedule3[[#This Row],[Beginning
Balance]],PaymentSchedule3[[#This Row],[Beginning
Balance]]-PaymentSchedule3[[#This Row],[Principal]],0),"")</f>
        <v>331869.92251302028</v>
      </c>
      <c r="K69" s="25">
        <f ca="1">IF(PaymentSchedule3[[#This Row],[Payment Number]]&lt;&gt;"",SUM(INDEX(PaymentSchedule3[Interest],1,1):PaymentSchedule3[[#This Row],[Interest]]),"")</f>
        <v>115576.47340403411</v>
      </c>
    </row>
    <row r="70" spans="2:11" x14ac:dyDescent="0.3">
      <c r="B70" s="23">
        <f ca="1">IF(LoanIsGood,IF(ROW()-ROW(PaymentSchedule3[[#Headers],[Payment Number]])&gt;ScheduledNumberOfPayments,"",ROW()-ROW(PaymentSchedule3[[#Headers],[Payment Number]])),"")</f>
        <v>57</v>
      </c>
      <c r="C70" s="24">
        <f ca="1">IF(PaymentSchedule3[[#This Row],[Payment Number]]&lt;&gt;"",EOMONTH(LoanStartDate,ROW(PaymentSchedule3[[#This Row],[Payment Number]])-ROW(PaymentSchedule3[[#Headers],[Payment Number]])-2)+DAY(LoanStartDate),"")</f>
        <v>47160</v>
      </c>
      <c r="D70" s="25">
        <f ca="1">IF(PaymentSchedule3[[#This Row],[Payment Number]]&lt;&gt;"",IF(ROW()-ROW(PaymentSchedule3[[#Headers],[Beginning
Balance]])=1,LoanAmount,INDEX(PaymentSchedule3[Ending
Balance],ROW()-ROW(PaymentSchedule3[[#Headers],[Beginning
Balance]])-1)),"")</f>
        <v>331869.92251302028</v>
      </c>
      <c r="E70" s="25">
        <f ca="1">IF(PaymentSchedule3[[#This Row],[Payment Number]]&lt;&gt;"",ScheduledPayment,"")</f>
        <v>2387.6169801966716</v>
      </c>
      <c r="F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0" s="25">
        <f ca="1">IF(PaymentSchedule3[[#This Row],[Payment Number]]&lt;&gt;"",PaymentSchedule3[[#This Row],[Total
Payment]]-PaymentSchedule3[[#This Row],[Interest]],"")</f>
        <v>382.56953168050745</v>
      </c>
      <c r="I70" s="25">
        <f ca="1">IF(PaymentSchedule3[[#This Row],[Payment Number]]&lt;&gt;"",PaymentSchedule3[[#This Row],[Beginning
Balance]]*(InterestRate/PaymentsPerYear),"")</f>
        <v>2005.0474485161642</v>
      </c>
      <c r="J70" s="25">
        <f ca="1">IF(PaymentSchedule3[[#This Row],[Payment Number]]&lt;&gt;"",IF(PaymentSchedule3[[#This Row],[Scheduled Payment]]+PaymentSchedule3[[#This Row],[Extra
Payment]]&lt;=PaymentSchedule3[[#This Row],[Beginning
Balance]],PaymentSchedule3[[#This Row],[Beginning
Balance]]-PaymentSchedule3[[#This Row],[Principal]],0),"")</f>
        <v>331487.35298133979</v>
      </c>
      <c r="K70" s="25">
        <f ca="1">IF(PaymentSchedule3[[#This Row],[Payment Number]]&lt;&gt;"",SUM(INDEX(PaymentSchedule3[Interest],1,1):PaymentSchedule3[[#This Row],[Interest]]),"")</f>
        <v>117581.52085255028</v>
      </c>
    </row>
    <row r="71" spans="2:11" x14ac:dyDescent="0.3">
      <c r="B71" s="23">
        <f ca="1">IF(LoanIsGood,IF(ROW()-ROW(PaymentSchedule3[[#Headers],[Payment Number]])&gt;ScheduledNumberOfPayments,"",ROW()-ROW(PaymentSchedule3[[#Headers],[Payment Number]])),"")</f>
        <v>58</v>
      </c>
      <c r="C71" s="24">
        <f ca="1">IF(PaymentSchedule3[[#This Row],[Payment Number]]&lt;&gt;"",EOMONTH(LoanStartDate,ROW(PaymentSchedule3[[#This Row],[Payment Number]])-ROW(PaymentSchedule3[[#Headers],[Payment Number]])-2)+DAY(LoanStartDate),"")</f>
        <v>47188</v>
      </c>
      <c r="D71" s="25">
        <f ca="1">IF(PaymentSchedule3[[#This Row],[Payment Number]]&lt;&gt;"",IF(ROW()-ROW(PaymentSchedule3[[#Headers],[Beginning
Balance]])=1,LoanAmount,INDEX(PaymentSchedule3[Ending
Balance],ROW()-ROW(PaymentSchedule3[[#Headers],[Beginning
Balance]])-1)),"")</f>
        <v>331487.35298133979</v>
      </c>
      <c r="E71" s="25">
        <f ca="1">IF(PaymentSchedule3[[#This Row],[Payment Number]]&lt;&gt;"",ScheduledPayment,"")</f>
        <v>2387.6169801966716</v>
      </c>
      <c r="F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1" s="25">
        <f ca="1">IF(PaymentSchedule3[[#This Row],[Payment Number]]&lt;&gt;"",PaymentSchedule3[[#This Row],[Total
Payment]]-PaymentSchedule3[[#This Row],[Interest]],"")</f>
        <v>384.8808892677439</v>
      </c>
      <c r="I71" s="25">
        <f ca="1">IF(PaymentSchedule3[[#This Row],[Payment Number]]&lt;&gt;"",PaymentSchedule3[[#This Row],[Beginning
Balance]]*(InterestRate/PaymentsPerYear),"")</f>
        <v>2002.7360909289278</v>
      </c>
      <c r="J71" s="25">
        <f ca="1">IF(PaymentSchedule3[[#This Row],[Payment Number]]&lt;&gt;"",IF(PaymentSchedule3[[#This Row],[Scheduled Payment]]+PaymentSchedule3[[#This Row],[Extra
Payment]]&lt;=PaymentSchedule3[[#This Row],[Beginning
Balance]],PaymentSchedule3[[#This Row],[Beginning
Balance]]-PaymentSchedule3[[#This Row],[Principal]],0),"")</f>
        <v>331102.47209207207</v>
      </c>
      <c r="K71" s="25">
        <f ca="1">IF(PaymentSchedule3[[#This Row],[Payment Number]]&lt;&gt;"",SUM(INDEX(PaymentSchedule3[Interest],1,1):PaymentSchedule3[[#This Row],[Interest]]),"")</f>
        <v>119584.25694347921</v>
      </c>
    </row>
    <row r="72" spans="2:11" x14ac:dyDescent="0.3">
      <c r="B72" s="23">
        <f ca="1">IF(LoanIsGood,IF(ROW()-ROW(PaymentSchedule3[[#Headers],[Payment Number]])&gt;ScheduledNumberOfPayments,"",ROW()-ROW(PaymentSchedule3[[#Headers],[Payment Number]])),"")</f>
        <v>59</v>
      </c>
      <c r="C72" s="24">
        <f ca="1">IF(PaymentSchedule3[[#This Row],[Payment Number]]&lt;&gt;"",EOMONTH(LoanStartDate,ROW(PaymentSchedule3[[#This Row],[Payment Number]])-ROW(PaymentSchedule3[[#Headers],[Payment Number]])-2)+DAY(LoanStartDate),"")</f>
        <v>47219</v>
      </c>
      <c r="D72" s="25">
        <f ca="1">IF(PaymentSchedule3[[#This Row],[Payment Number]]&lt;&gt;"",IF(ROW()-ROW(PaymentSchedule3[[#Headers],[Beginning
Balance]])=1,LoanAmount,INDEX(PaymentSchedule3[Ending
Balance],ROW()-ROW(PaymentSchedule3[[#Headers],[Beginning
Balance]])-1)),"")</f>
        <v>331102.47209207207</v>
      </c>
      <c r="E72" s="25">
        <f ca="1">IF(PaymentSchedule3[[#This Row],[Payment Number]]&lt;&gt;"",ScheduledPayment,"")</f>
        <v>2387.6169801966716</v>
      </c>
      <c r="F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2" s="25">
        <f ca="1">IF(PaymentSchedule3[[#This Row],[Payment Number]]&lt;&gt;"",PaymentSchedule3[[#This Row],[Total
Payment]]-PaymentSchedule3[[#This Row],[Interest]],"")</f>
        <v>387.20621130706968</v>
      </c>
      <c r="I72" s="25">
        <f ca="1">IF(PaymentSchedule3[[#This Row],[Payment Number]]&lt;&gt;"",PaymentSchedule3[[#This Row],[Beginning
Balance]]*(InterestRate/PaymentsPerYear),"")</f>
        <v>2000.410768889602</v>
      </c>
      <c r="J72" s="25">
        <f ca="1">IF(PaymentSchedule3[[#This Row],[Payment Number]]&lt;&gt;"",IF(PaymentSchedule3[[#This Row],[Scheduled Payment]]+PaymentSchedule3[[#This Row],[Extra
Payment]]&lt;=PaymentSchedule3[[#This Row],[Beginning
Balance]],PaymentSchedule3[[#This Row],[Beginning
Balance]]-PaymentSchedule3[[#This Row],[Principal]],0),"")</f>
        <v>330715.26588076499</v>
      </c>
      <c r="K72" s="25">
        <f ca="1">IF(PaymentSchedule3[[#This Row],[Payment Number]]&lt;&gt;"",SUM(INDEX(PaymentSchedule3[Interest],1,1):PaymentSchedule3[[#This Row],[Interest]]),"")</f>
        <v>121584.66771236881</v>
      </c>
    </row>
    <row r="73" spans="2:11" x14ac:dyDescent="0.3">
      <c r="B73" s="23">
        <f ca="1">IF(LoanIsGood,IF(ROW()-ROW(PaymentSchedule3[[#Headers],[Payment Number]])&gt;ScheduledNumberOfPayments,"",ROW()-ROW(PaymentSchedule3[[#Headers],[Payment Number]])),"")</f>
        <v>60</v>
      </c>
      <c r="C73" s="24">
        <f ca="1">IF(PaymentSchedule3[[#This Row],[Payment Number]]&lt;&gt;"",EOMONTH(LoanStartDate,ROW(PaymentSchedule3[[#This Row],[Payment Number]])-ROW(PaymentSchedule3[[#Headers],[Payment Number]])-2)+DAY(LoanStartDate),"")</f>
        <v>47249</v>
      </c>
      <c r="D73" s="25">
        <f ca="1">IF(PaymentSchedule3[[#This Row],[Payment Number]]&lt;&gt;"",IF(ROW()-ROW(PaymentSchedule3[[#Headers],[Beginning
Balance]])=1,LoanAmount,INDEX(PaymentSchedule3[Ending
Balance],ROW()-ROW(PaymentSchedule3[[#Headers],[Beginning
Balance]])-1)),"")</f>
        <v>330715.26588076499</v>
      </c>
      <c r="E73" s="25">
        <f ca="1">IF(PaymentSchedule3[[#This Row],[Payment Number]]&lt;&gt;"",ScheduledPayment,"")</f>
        <v>2387.6169801966716</v>
      </c>
      <c r="F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3" s="25">
        <f ca="1">IF(PaymentSchedule3[[#This Row],[Payment Number]]&lt;&gt;"",PaymentSchedule3[[#This Row],[Total
Payment]]-PaymentSchedule3[[#This Row],[Interest]],"")</f>
        <v>389.54558216704982</v>
      </c>
      <c r="I73" s="25">
        <f ca="1">IF(PaymentSchedule3[[#This Row],[Payment Number]]&lt;&gt;"",PaymentSchedule3[[#This Row],[Beginning
Balance]]*(InterestRate/PaymentsPerYear),"")</f>
        <v>1998.0713980296218</v>
      </c>
      <c r="J73" s="25">
        <f ca="1">IF(PaymentSchedule3[[#This Row],[Payment Number]]&lt;&gt;"",IF(PaymentSchedule3[[#This Row],[Scheduled Payment]]+PaymentSchedule3[[#This Row],[Extra
Payment]]&lt;=PaymentSchedule3[[#This Row],[Beginning
Balance]],PaymentSchedule3[[#This Row],[Beginning
Balance]]-PaymentSchedule3[[#This Row],[Principal]],0),"")</f>
        <v>330325.72029859794</v>
      </c>
      <c r="K73" s="25">
        <f ca="1">IF(PaymentSchedule3[[#This Row],[Payment Number]]&lt;&gt;"",SUM(INDEX(PaymentSchedule3[Interest],1,1):PaymentSchedule3[[#This Row],[Interest]]),"")</f>
        <v>123582.73911039844</v>
      </c>
    </row>
    <row r="74" spans="2:11" x14ac:dyDescent="0.3">
      <c r="B74" s="23">
        <f ca="1">IF(LoanIsGood,IF(ROW()-ROW(PaymentSchedule3[[#Headers],[Payment Number]])&gt;ScheduledNumberOfPayments,"",ROW()-ROW(PaymentSchedule3[[#Headers],[Payment Number]])),"")</f>
        <v>61</v>
      </c>
      <c r="C74" s="24">
        <f ca="1">IF(PaymentSchedule3[[#This Row],[Payment Number]]&lt;&gt;"",EOMONTH(LoanStartDate,ROW(PaymentSchedule3[[#This Row],[Payment Number]])-ROW(PaymentSchedule3[[#Headers],[Payment Number]])-2)+DAY(LoanStartDate),"")</f>
        <v>47280</v>
      </c>
      <c r="D74" s="25">
        <f ca="1">IF(PaymentSchedule3[[#This Row],[Payment Number]]&lt;&gt;"",IF(ROW()-ROW(PaymentSchedule3[[#Headers],[Beginning
Balance]])=1,LoanAmount,INDEX(PaymentSchedule3[Ending
Balance],ROW()-ROW(PaymentSchedule3[[#Headers],[Beginning
Balance]])-1)),"")</f>
        <v>330325.72029859794</v>
      </c>
      <c r="E74" s="25">
        <f ca="1">IF(PaymentSchedule3[[#This Row],[Payment Number]]&lt;&gt;"",ScheduledPayment,"")</f>
        <v>2387.6169801966716</v>
      </c>
      <c r="F7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4" s="25">
        <f ca="1">IF(PaymentSchedule3[[#This Row],[Payment Number]]&lt;&gt;"",PaymentSchedule3[[#This Row],[Total
Payment]]-PaymentSchedule3[[#This Row],[Interest]],"")</f>
        <v>391.89908672597585</v>
      </c>
      <c r="I74" s="25">
        <f ca="1">IF(PaymentSchedule3[[#This Row],[Payment Number]]&lt;&gt;"",PaymentSchedule3[[#This Row],[Beginning
Balance]]*(InterestRate/PaymentsPerYear),"")</f>
        <v>1995.7178934706958</v>
      </c>
      <c r="J74" s="25">
        <f ca="1">IF(PaymentSchedule3[[#This Row],[Payment Number]]&lt;&gt;"",IF(PaymentSchedule3[[#This Row],[Scheduled Payment]]+PaymentSchedule3[[#This Row],[Extra
Payment]]&lt;=PaymentSchedule3[[#This Row],[Beginning
Balance]],PaymentSchedule3[[#This Row],[Beginning
Balance]]-PaymentSchedule3[[#This Row],[Principal]],0),"")</f>
        <v>329933.82121187198</v>
      </c>
      <c r="K74" s="25">
        <f ca="1">IF(PaymentSchedule3[[#This Row],[Payment Number]]&lt;&gt;"",SUM(INDEX(PaymentSchedule3[Interest],1,1):PaymentSchedule3[[#This Row],[Interest]]),"")</f>
        <v>125578.45700386913</v>
      </c>
    </row>
    <row r="75" spans="2:11" x14ac:dyDescent="0.3">
      <c r="B75" s="23">
        <f ca="1">IF(LoanIsGood,IF(ROW()-ROW(PaymentSchedule3[[#Headers],[Payment Number]])&gt;ScheduledNumberOfPayments,"",ROW()-ROW(PaymentSchedule3[[#Headers],[Payment Number]])),"")</f>
        <v>62</v>
      </c>
      <c r="C75" s="24">
        <f ca="1">IF(PaymentSchedule3[[#This Row],[Payment Number]]&lt;&gt;"",EOMONTH(LoanStartDate,ROW(PaymentSchedule3[[#This Row],[Payment Number]])-ROW(PaymentSchedule3[[#Headers],[Payment Number]])-2)+DAY(LoanStartDate),"")</f>
        <v>47310</v>
      </c>
      <c r="D75" s="25">
        <f ca="1">IF(PaymentSchedule3[[#This Row],[Payment Number]]&lt;&gt;"",IF(ROW()-ROW(PaymentSchedule3[[#Headers],[Beginning
Balance]])=1,LoanAmount,INDEX(PaymentSchedule3[Ending
Balance],ROW()-ROW(PaymentSchedule3[[#Headers],[Beginning
Balance]])-1)),"")</f>
        <v>329933.82121187198</v>
      </c>
      <c r="E75" s="25">
        <f ca="1">IF(PaymentSchedule3[[#This Row],[Payment Number]]&lt;&gt;"",ScheduledPayment,"")</f>
        <v>2387.6169801966716</v>
      </c>
      <c r="F7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5" s="25">
        <f ca="1">IF(PaymentSchedule3[[#This Row],[Payment Number]]&lt;&gt;"",PaymentSchedule3[[#This Row],[Total
Payment]]-PaymentSchedule3[[#This Row],[Interest]],"")</f>
        <v>394.26681037494518</v>
      </c>
      <c r="I75" s="25">
        <f ca="1">IF(PaymentSchedule3[[#This Row],[Payment Number]]&lt;&gt;"",PaymentSchedule3[[#This Row],[Beginning
Balance]]*(InterestRate/PaymentsPerYear),"")</f>
        <v>1993.3501698217265</v>
      </c>
      <c r="J75" s="25">
        <f ca="1">IF(PaymentSchedule3[[#This Row],[Payment Number]]&lt;&gt;"",IF(PaymentSchedule3[[#This Row],[Scheduled Payment]]+PaymentSchedule3[[#This Row],[Extra
Payment]]&lt;=PaymentSchedule3[[#This Row],[Beginning
Balance]],PaymentSchedule3[[#This Row],[Beginning
Balance]]-PaymentSchedule3[[#This Row],[Principal]],0),"")</f>
        <v>329539.55440149707</v>
      </c>
      <c r="K75" s="25">
        <f ca="1">IF(PaymentSchedule3[[#This Row],[Payment Number]]&lt;&gt;"",SUM(INDEX(PaymentSchedule3[Interest],1,1):PaymentSchedule3[[#This Row],[Interest]]),"")</f>
        <v>127571.80717369086</v>
      </c>
    </row>
    <row r="76" spans="2:11" x14ac:dyDescent="0.3">
      <c r="B76" s="23">
        <f ca="1">IF(LoanIsGood,IF(ROW()-ROW(PaymentSchedule3[[#Headers],[Payment Number]])&gt;ScheduledNumberOfPayments,"",ROW()-ROW(PaymentSchedule3[[#Headers],[Payment Number]])),"")</f>
        <v>63</v>
      </c>
      <c r="C76" s="24">
        <f ca="1">IF(PaymentSchedule3[[#This Row],[Payment Number]]&lt;&gt;"",EOMONTH(LoanStartDate,ROW(PaymentSchedule3[[#This Row],[Payment Number]])-ROW(PaymentSchedule3[[#Headers],[Payment Number]])-2)+DAY(LoanStartDate),"")</f>
        <v>47341</v>
      </c>
      <c r="D76" s="25">
        <f ca="1">IF(PaymentSchedule3[[#This Row],[Payment Number]]&lt;&gt;"",IF(ROW()-ROW(PaymentSchedule3[[#Headers],[Beginning
Balance]])=1,LoanAmount,INDEX(PaymentSchedule3[Ending
Balance],ROW()-ROW(PaymentSchedule3[[#Headers],[Beginning
Balance]])-1)),"")</f>
        <v>329539.55440149707</v>
      </c>
      <c r="E76" s="25">
        <f ca="1">IF(PaymentSchedule3[[#This Row],[Payment Number]]&lt;&gt;"",ScheduledPayment,"")</f>
        <v>2387.6169801966716</v>
      </c>
      <c r="F7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6" s="25">
        <f ca="1">IF(PaymentSchedule3[[#This Row],[Payment Number]]&lt;&gt;"",PaymentSchedule3[[#This Row],[Total
Payment]]-PaymentSchedule3[[#This Row],[Interest]],"")</f>
        <v>396.64883902096017</v>
      </c>
      <c r="I76" s="25">
        <f ca="1">IF(PaymentSchedule3[[#This Row],[Payment Number]]&lt;&gt;"",PaymentSchedule3[[#This Row],[Beginning
Balance]]*(InterestRate/PaymentsPerYear),"")</f>
        <v>1990.9681411757115</v>
      </c>
      <c r="J76" s="25">
        <f ca="1">IF(PaymentSchedule3[[#This Row],[Payment Number]]&lt;&gt;"",IF(PaymentSchedule3[[#This Row],[Scheduled Payment]]+PaymentSchedule3[[#This Row],[Extra
Payment]]&lt;=PaymentSchedule3[[#This Row],[Beginning
Balance]],PaymentSchedule3[[#This Row],[Beginning
Balance]]-PaymentSchedule3[[#This Row],[Principal]],0),"")</f>
        <v>329142.90556247608</v>
      </c>
      <c r="K76" s="25">
        <f ca="1">IF(PaymentSchedule3[[#This Row],[Payment Number]]&lt;&gt;"",SUM(INDEX(PaymentSchedule3[Interest],1,1):PaymentSchedule3[[#This Row],[Interest]]),"")</f>
        <v>129562.77531486657</v>
      </c>
    </row>
    <row r="77" spans="2:11" x14ac:dyDescent="0.3">
      <c r="B77" s="23">
        <f ca="1">IF(LoanIsGood,IF(ROW()-ROW(PaymentSchedule3[[#Headers],[Payment Number]])&gt;ScheduledNumberOfPayments,"",ROW()-ROW(PaymentSchedule3[[#Headers],[Payment Number]])),"")</f>
        <v>64</v>
      </c>
      <c r="C77" s="24">
        <f ca="1">IF(PaymentSchedule3[[#This Row],[Payment Number]]&lt;&gt;"",EOMONTH(LoanStartDate,ROW(PaymentSchedule3[[#This Row],[Payment Number]])-ROW(PaymentSchedule3[[#Headers],[Payment Number]])-2)+DAY(LoanStartDate),"")</f>
        <v>47372</v>
      </c>
      <c r="D77" s="25">
        <f ca="1">IF(PaymentSchedule3[[#This Row],[Payment Number]]&lt;&gt;"",IF(ROW()-ROW(PaymentSchedule3[[#Headers],[Beginning
Balance]])=1,LoanAmount,INDEX(PaymentSchedule3[Ending
Balance],ROW()-ROW(PaymentSchedule3[[#Headers],[Beginning
Balance]])-1)),"")</f>
        <v>329142.90556247608</v>
      </c>
      <c r="E77" s="25">
        <f ca="1">IF(PaymentSchedule3[[#This Row],[Payment Number]]&lt;&gt;"",ScheduledPayment,"")</f>
        <v>2387.6169801966716</v>
      </c>
      <c r="F7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7" s="25">
        <f ca="1">IF(PaymentSchedule3[[#This Row],[Payment Number]]&lt;&gt;"",PaymentSchedule3[[#This Row],[Total
Payment]]-PaymentSchedule3[[#This Row],[Interest]],"")</f>
        <v>399.04525909004542</v>
      </c>
      <c r="I77" s="25">
        <f ca="1">IF(PaymentSchedule3[[#This Row],[Payment Number]]&lt;&gt;"",PaymentSchedule3[[#This Row],[Beginning
Balance]]*(InterestRate/PaymentsPerYear),"")</f>
        <v>1988.5717211066262</v>
      </c>
      <c r="J77" s="25">
        <f ca="1">IF(PaymentSchedule3[[#This Row],[Payment Number]]&lt;&gt;"",IF(PaymentSchedule3[[#This Row],[Scheduled Payment]]+PaymentSchedule3[[#This Row],[Extra
Payment]]&lt;=PaymentSchedule3[[#This Row],[Beginning
Balance]],PaymentSchedule3[[#This Row],[Beginning
Balance]]-PaymentSchedule3[[#This Row],[Principal]],0),"")</f>
        <v>328743.86030338606</v>
      </c>
      <c r="K77" s="25">
        <f ca="1">IF(PaymentSchedule3[[#This Row],[Payment Number]]&lt;&gt;"",SUM(INDEX(PaymentSchedule3[Interest],1,1):PaymentSchedule3[[#This Row],[Interest]]),"")</f>
        <v>131551.34703597319</v>
      </c>
    </row>
    <row r="78" spans="2:11" x14ac:dyDescent="0.3">
      <c r="B78" s="23">
        <f ca="1">IF(LoanIsGood,IF(ROW()-ROW(PaymentSchedule3[[#Headers],[Payment Number]])&gt;ScheduledNumberOfPayments,"",ROW()-ROW(PaymentSchedule3[[#Headers],[Payment Number]])),"")</f>
        <v>65</v>
      </c>
      <c r="C78" s="24">
        <f ca="1">IF(PaymentSchedule3[[#This Row],[Payment Number]]&lt;&gt;"",EOMONTH(LoanStartDate,ROW(PaymentSchedule3[[#This Row],[Payment Number]])-ROW(PaymentSchedule3[[#Headers],[Payment Number]])-2)+DAY(LoanStartDate),"")</f>
        <v>47402</v>
      </c>
      <c r="D78" s="25">
        <f ca="1">IF(PaymentSchedule3[[#This Row],[Payment Number]]&lt;&gt;"",IF(ROW()-ROW(PaymentSchedule3[[#Headers],[Beginning
Balance]])=1,LoanAmount,INDEX(PaymentSchedule3[Ending
Balance],ROW()-ROW(PaymentSchedule3[[#Headers],[Beginning
Balance]])-1)),"")</f>
        <v>328743.86030338606</v>
      </c>
      <c r="E78" s="25">
        <f ca="1">IF(PaymentSchedule3[[#This Row],[Payment Number]]&lt;&gt;"",ScheduledPayment,"")</f>
        <v>2387.6169801966716</v>
      </c>
      <c r="F7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8" s="25">
        <f ca="1">IF(PaymentSchedule3[[#This Row],[Payment Number]]&lt;&gt;"",PaymentSchedule3[[#This Row],[Total
Payment]]-PaymentSchedule3[[#This Row],[Interest]],"")</f>
        <v>401.45615753038101</v>
      </c>
      <c r="I78" s="25">
        <f ca="1">IF(PaymentSchedule3[[#This Row],[Payment Number]]&lt;&gt;"",PaymentSchedule3[[#This Row],[Beginning
Balance]]*(InterestRate/PaymentsPerYear),"")</f>
        <v>1986.1608226662906</v>
      </c>
      <c r="J78" s="25">
        <f ca="1">IF(PaymentSchedule3[[#This Row],[Payment Number]]&lt;&gt;"",IF(PaymentSchedule3[[#This Row],[Scheduled Payment]]+PaymentSchedule3[[#This Row],[Extra
Payment]]&lt;=PaymentSchedule3[[#This Row],[Beginning
Balance]],PaymentSchedule3[[#This Row],[Beginning
Balance]]-PaymentSchedule3[[#This Row],[Principal]],0),"")</f>
        <v>328342.40414585569</v>
      </c>
      <c r="K78" s="25">
        <f ca="1">IF(PaymentSchedule3[[#This Row],[Payment Number]]&lt;&gt;"",SUM(INDEX(PaymentSchedule3[Interest],1,1):PaymentSchedule3[[#This Row],[Interest]]),"")</f>
        <v>133537.50785863947</v>
      </c>
    </row>
    <row r="79" spans="2:11" x14ac:dyDescent="0.3">
      <c r="B79" s="23">
        <f ca="1">IF(LoanIsGood,IF(ROW()-ROW(PaymentSchedule3[[#Headers],[Payment Number]])&gt;ScheduledNumberOfPayments,"",ROW()-ROW(PaymentSchedule3[[#Headers],[Payment Number]])),"")</f>
        <v>66</v>
      </c>
      <c r="C79" s="24">
        <f ca="1">IF(PaymentSchedule3[[#This Row],[Payment Number]]&lt;&gt;"",EOMONTH(LoanStartDate,ROW(PaymentSchedule3[[#This Row],[Payment Number]])-ROW(PaymentSchedule3[[#Headers],[Payment Number]])-2)+DAY(LoanStartDate),"")</f>
        <v>47433</v>
      </c>
      <c r="D79" s="25">
        <f ca="1">IF(PaymentSchedule3[[#This Row],[Payment Number]]&lt;&gt;"",IF(ROW()-ROW(PaymentSchedule3[[#Headers],[Beginning
Balance]])=1,LoanAmount,INDEX(PaymentSchedule3[Ending
Balance],ROW()-ROW(PaymentSchedule3[[#Headers],[Beginning
Balance]])-1)),"")</f>
        <v>328342.40414585569</v>
      </c>
      <c r="E79" s="25">
        <f ca="1">IF(PaymentSchedule3[[#This Row],[Payment Number]]&lt;&gt;"",ScheduledPayment,"")</f>
        <v>2387.6169801966716</v>
      </c>
      <c r="F7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7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79" s="25">
        <f ca="1">IF(PaymentSchedule3[[#This Row],[Payment Number]]&lt;&gt;"",PaymentSchedule3[[#This Row],[Total
Payment]]-PaymentSchedule3[[#This Row],[Interest]],"")</f>
        <v>403.88162181546022</v>
      </c>
      <c r="I79" s="25">
        <f ca="1">IF(PaymentSchedule3[[#This Row],[Payment Number]]&lt;&gt;"",PaymentSchedule3[[#This Row],[Beginning
Balance]]*(InterestRate/PaymentsPerYear),"")</f>
        <v>1983.7353583812114</v>
      </c>
      <c r="J79" s="25">
        <f ca="1">IF(PaymentSchedule3[[#This Row],[Payment Number]]&lt;&gt;"",IF(PaymentSchedule3[[#This Row],[Scheduled Payment]]+PaymentSchedule3[[#This Row],[Extra
Payment]]&lt;=PaymentSchedule3[[#This Row],[Beginning
Balance]],PaymentSchedule3[[#This Row],[Beginning
Balance]]-PaymentSchedule3[[#This Row],[Principal]],0),"")</f>
        <v>327938.52252404025</v>
      </c>
      <c r="K79" s="25">
        <f ca="1">IF(PaymentSchedule3[[#This Row],[Payment Number]]&lt;&gt;"",SUM(INDEX(PaymentSchedule3[Interest],1,1):PaymentSchedule3[[#This Row],[Interest]]),"")</f>
        <v>135521.24321702067</v>
      </c>
    </row>
    <row r="80" spans="2:11" x14ac:dyDescent="0.3">
      <c r="B80" s="23">
        <f ca="1">IF(LoanIsGood,IF(ROW()-ROW(PaymentSchedule3[[#Headers],[Payment Number]])&gt;ScheduledNumberOfPayments,"",ROW()-ROW(PaymentSchedule3[[#Headers],[Payment Number]])),"")</f>
        <v>67</v>
      </c>
      <c r="C80" s="24">
        <f ca="1">IF(PaymentSchedule3[[#This Row],[Payment Number]]&lt;&gt;"",EOMONTH(LoanStartDate,ROW(PaymentSchedule3[[#This Row],[Payment Number]])-ROW(PaymentSchedule3[[#Headers],[Payment Number]])-2)+DAY(LoanStartDate),"")</f>
        <v>47463</v>
      </c>
      <c r="D80" s="25">
        <f ca="1">IF(PaymentSchedule3[[#This Row],[Payment Number]]&lt;&gt;"",IF(ROW()-ROW(PaymentSchedule3[[#Headers],[Beginning
Balance]])=1,LoanAmount,INDEX(PaymentSchedule3[Ending
Balance],ROW()-ROW(PaymentSchedule3[[#Headers],[Beginning
Balance]])-1)),"")</f>
        <v>327938.52252404025</v>
      </c>
      <c r="E80" s="25">
        <f ca="1">IF(PaymentSchedule3[[#This Row],[Payment Number]]&lt;&gt;"",ScheduledPayment,"")</f>
        <v>2387.6169801966716</v>
      </c>
      <c r="F8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0" s="25">
        <f ca="1">IF(PaymentSchedule3[[#This Row],[Payment Number]]&lt;&gt;"",PaymentSchedule3[[#This Row],[Total
Payment]]-PaymentSchedule3[[#This Row],[Interest]],"")</f>
        <v>406.3217399472619</v>
      </c>
      <c r="I80" s="25">
        <f ca="1">IF(PaymentSchedule3[[#This Row],[Payment Number]]&lt;&gt;"",PaymentSchedule3[[#This Row],[Beginning
Balance]]*(InterestRate/PaymentsPerYear),"")</f>
        <v>1981.2952402494097</v>
      </c>
      <c r="J80" s="25">
        <f ca="1">IF(PaymentSchedule3[[#This Row],[Payment Number]]&lt;&gt;"",IF(PaymentSchedule3[[#This Row],[Scheduled Payment]]+PaymentSchedule3[[#This Row],[Extra
Payment]]&lt;=PaymentSchedule3[[#This Row],[Beginning
Balance]],PaymentSchedule3[[#This Row],[Beginning
Balance]]-PaymentSchedule3[[#This Row],[Principal]],0),"")</f>
        <v>327532.200784093</v>
      </c>
      <c r="K80" s="25">
        <f ca="1">IF(PaymentSchedule3[[#This Row],[Payment Number]]&lt;&gt;"",SUM(INDEX(PaymentSchedule3[Interest],1,1):PaymentSchedule3[[#This Row],[Interest]]),"")</f>
        <v>137502.53845727007</v>
      </c>
    </row>
    <row r="81" spans="2:11" x14ac:dyDescent="0.3">
      <c r="B81" s="23">
        <f ca="1">IF(LoanIsGood,IF(ROW()-ROW(PaymentSchedule3[[#Headers],[Payment Number]])&gt;ScheduledNumberOfPayments,"",ROW()-ROW(PaymentSchedule3[[#Headers],[Payment Number]])),"")</f>
        <v>68</v>
      </c>
      <c r="C81" s="24">
        <f ca="1">IF(PaymentSchedule3[[#This Row],[Payment Number]]&lt;&gt;"",EOMONTH(LoanStartDate,ROW(PaymentSchedule3[[#This Row],[Payment Number]])-ROW(PaymentSchedule3[[#Headers],[Payment Number]])-2)+DAY(LoanStartDate),"")</f>
        <v>47494</v>
      </c>
      <c r="D81" s="25">
        <f ca="1">IF(PaymentSchedule3[[#This Row],[Payment Number]]&lt;&gt;"",IF(ROW()-ROW(PaymentSchedule3[[#Headers],[Beginning
Balance]])=1,LoanAmount,INDEX(PaymentSchedule3[Ending
Balance],ROW()-ROW(PaymentSchedule3[[#Headers],[Beginning
Balance]])-1)),"")</f>
        <v>327532.200784093</v>
      </c>
      <c r="E81" s="25">
        <f ca="1">IF(PaymentSchedule3[[#This Row],[Payment Number]]&lt;&gt;"",ScheduledPayment,"")</f>
        <v>2387.6169801966716</v>
      </c>
      <c r="F8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1" s="25">
        <f ca="1">IF(PaymentSchedule3[[#This Row],[Payment Number]]&lt;&gt;"",PaymentSchedule3[[#This Row],[Total
Payment]]-PaymentSchedule3[[#This Row],[Interest]],"")</f>
        <v>408.77660045944322</v>
      </c>
      <c r="I81" s="25">
        <f ca="1">IF(PaymentSchedule3[[#This Row],[Payment Number]]&lt;&gt;"",PaymentSchedule3[[#This Row],[Beginning
Balance]]*(InterestRate/PaymentsPerYear),"")</f>
        <v>1978.8403797372284</v>
      </c>
      <c r="J81" s="25">
        <f ca="1">IF(PaymentSchedule3[[#This Row],[Payment Number]]&lt;&gt;"",IF(PaymentSchedule3[[#This Row],[Scheduled Payment]]+PaymentSchedule3[[#This Row],[Extra
Payment]]&lt;=PaymentSchedule3[[#This Row],[Beginning
Balance]],PaymentSchedule3[[#This Row],[Beginning
Balance]]-PaymentSchedule3[[#This Row],[Principal]],0),"")</f>
        <v>327123.42418363359</v>
      </c>
      <c r="K81" s="25">
        <f ca="1">IF(PaymentSchedule3[[#This Row],[Payment Number]]&lt;&gt;"",SUM(INDEX(PaymentSchedule3[Interest],1,1):PaymentSchedule3[[#This Row],[Interest]]),"")</f>
        <v>139481.3788370073</v>
      </c>
    </row>
    <row r="82" spans="2:11" x14ac:dyDescent="0.3">
      <c r="B82" s="23">
        <f ca="1">IF(LoanIsGood,IF(ROW()-ROW(PaymentSchedule3[[#Headers],[Payment Number]])&gt;ScheduledNumberOfPayments,"",ROW()-ROW(PaymentSchedule3[[#Headers],[Payment Number]])),"")</f>
        <v>69</v>
      </c>
      <c r="C82" s="24">
        <f ca="1">IF(PaymentSchedule3[[#This Row],[Payment Number]]&lt;&gt;"",EOMONTH(LoanStartDate,ROW(PaymentSchedule3[[#This Row],[Payment Number]])-ROW(PaymentSchedule3[[#Headers],[Payment Number]])-2)+DAY(LoanStartDate),"")</f>
        <v>47525</v>
      </c>
      <c r="D82" s="25">
        <f ca="1">IF(PaymentSchedule3[[#This Row],[Payment Number]]&lt;&gt;"",IF(ROW()-ROW(PaymentSchedule3[[#Headers],[Beginning
Balance]])=1,LoanAmount,INDEX(PaymentSchedule3[Ending
Balance],ROW()-ROW(PaymentSchedule3[[#Headers],[Beginning
Balance]])-1)),"")</f>
        <v>327123.42418363359</v>
      </c>
      <c r="E82" s="25">
        <f ca="1">IF(PaymentSchedule3[[#This Row],[Payment Number]]&lt;&gt;"",ScheduledPayment,"")</f>
        <v>2387.6169801966716</v>
      </c>
      <c r="F8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2" s="25">
        <f ca="1">IF(PaymentSchedule3[[#This Row],[Payment Number]]&lt;&gt;"",PaymentSchedule3[[#This Row],[Total
Payment]]-PaymentSchedule3[[#This Row],[Interest]],"")</f>
        <v>411.24629242055221</v>
      </c>
      <c r="I82" s="25">
        <f ca="1">IF(PaymentSchedule3[[#This Row],[Payment Number]]&lt;&gt;"",PaymentSchedule3[[#This Row],[Beginning
Balance]]*(InterestRate/PaymentsPerYear),"")</f>
        <v>1976.3706877761194</v>
      </c>
      <c r="J82" s="25">
        <f ca="1">IF(PaymentSchedule3[[#This Row],[Payment Number]]&lt;&gt;"",IF(PaymentSchedule3[[#This Row],[Scheduled Payment]]+PaymentSchedule3[[#This Row],[Extra
Payment]]&lt;=PaymentSchedule3[[#This Row],[Beginning
Balance]],PaymentSchedule3[[#This Row],[Beginning
Balance]]-PaymentSchedule3[[#This Row],[Principal]],0),"")</f>
        <v>326712.17789121304</v>
      </c>
      <c r="K82" s="25">
        <f ca="1">IF(PaymentSchedule3[[#This Row],[Payment Number]]&lt;&gt;"",SUM(INDEX(PaymentSchedule3[Interest],1,1):PaymentSchedule3[[#This Row],[Interest]]),"")</f>
        <v>141457.74952478343</v>
      </c>
    </row>
    <row r="83" spans="2:11" x14ac:dyDescent="0.3">
      <c r="B83" s="23">
        <f ca="1">IF(LoanIsGood,IF(ROW()-ROW(PaymentSchedule3[[#Headers],[Payment Number]])&gt;ScheduledNumberOfPayments,"",ROW()-ROW(PaymentSchedule3[[#Headers],[Payment Number]])),"")</f>
        <v>70</v>
      </c>
      <c r="C83" s="24">
        <f ca="1">IF(PaymentSchedule3[[#This Row],[Payment Number]]&lt;&gt;"",EOMONTH(LoanStartDate,ROW(PaymentSchedule3[[#This Row],[Payment Number]])-ROW(PaymentSchedule3[[#Headers],[Payment Number]])-2)+DAY(LoanStartDate),"")</f>
        <v>47553</v>
      </c>
      <c r="D83" s="25">
        <f ca="1">IF(PaymentSchedule3[[#This Row],[Payment Number]]&lt;&gt;"",IF(ROW()-ROW(PaymentSchedule3[[#Headers],[Beginning
Balance]])=1,LoanAmount,INDEX(PaymentSchedule3[Ending
Balance],ROW()-ROW(PaymentSchedule3[[#Headers],[Beginning
Balance]])-1)),"")</f>
        <v>326712.17789121304</v>
      </c>
      <c r="E83" s="25">
        <f ca="1">IF(PaymentSchedule3[[#This Row],[Payment Number]]&lt;&gt;"",ScheduledPayment,"")</f>
        <v>2387.6169801966716</v>
      </c>
      <c r="F8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3" s="25">
        <f ca="1">IF(PaymentSchedule3[[#This Row],[Payment Number]]&lt;&gt;"",PaymentSchedule3[[#This Row],[Total
Payment]]-PaymentSchedule3[[#This Row],[Interest]],"")</f>
        <v>413.73090543725948</v>
      </c>
      <c r="I83" s="25">
        <f ca="1">IF(PaymentSchedule3[[#This Row],[Payment Number]]&lt;&gt;"",PaymentSchedule3[[#This Row],[Beginning
Balance]]*(InterestRate/PaymentsPerYear),"")</f>
        <v>1973.8860747594122</v>
      </c>
      <c r="J83" s="25">
        <f ca="1">IF(PaymentSchedule3[[#This Row],[Payment Number]]&lt;&gt;"",IF(PaymentSchedule3[[#This Row],[Scheduled Payment]]+PaymentSchedule3[[#This Row],[Extra
Payment]]&lt;=PaymentSchedule3[[#This Row],[Beginning
Balance]],PaymentSchedule3[[#This Row],[Beginning
Balance]]-PaymentSchedule3[[#This Row],[Principal]],0),"")</f>
        <v>326298.44698577578</v>
      </c>
      <c r="K83" s="25">
        <f ca="1">IF(PaymentSchedule3[[#This Row],[Payment Number]]&lt;&gt;"",SUM(INDEX(PaymentSchedule3[Interest],1,1):PaymentSchedule3[[#This Row],[Interest]]),"")</f>
        <v>143431.63559954285</v>
      </c>
    </row>
    <row r="84" spans="2:11" x14ac:dyDescent="0.3">
      <c r="B84" s="23">
        <f ca="1">IF(LoanIsGood,IF(ROW()-ROW(PaymentSchedule3[[#Headers],[Payment Number]])&gt;ScheduledNumberOfPayments,"",ROW()-ROW(PaymentSchedule3[[#Headers],[Payment Number]])),"")</f>
        <v>71</v>
      </c>
      <c r="C84" s="24">
        <f ca="1">IF(PaymentSchedule3[[#This Row],[Payment Number]]&lt;&gt;"",EOMONTH(LoanStartDate,ROW(PaymentSchedule3[[#This Row],[Payment Number]])-ROW(PaymentSchedule3[[#Headers],[Payment Number]])-2)+DAY(LoanStartDate),"")</f>
        <v>47584</v>
      </c>
      <c r="D84" s="25">
        <f ca="1">IF(PaymentSchedule3[[#This Row],[Payment Number]]&lt;&gt;"",IF(ROW()-ROW(PaymentSchedule3[[#Headers],[Beginning
Balance]])=1,LoanAmount,INDEX(PaymentSchedule3[Ending
Balance],ROW()-ROW(PaymentSchedule3[[#Headers],[Beginning
Balance]])-1)),"")</f>
        <v>326298.44698577578</v>
      </c>
      <c r="E84" s="25">
        <f ca="1">IF(PaymentSchedule3[[#This Row],[Payment Number]]&lt;&gt;"",ScheduledPayment,"")</f>
        <v>2387.6169801966716</v>
      </c>
      <c r="F8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4" s="25">
        <f ca="1">IF(PaymentSchedule3[[#This Row],[Payment Number]]&lt;&gt;"",PaymentSchedule3[[#This Row],[Total
Payment]]-PaymentSchedule3[[#This Row],[Interest]],"")</f>
        <v>416.23052965760962</v>
      </c>
      <c r="I84" s="25">
        <f ca="1">IF(PaymentSchedule3[[#This Row],[Payment Number]]&lt;&gt;"",PaymentSchedule3[[#This Row],[Beginning
Balance]]*(InterestRate/PaymentsPerYear),"")</f>
        <v>1971.386450539062</v>
      </c>
      <c r="J84" s="25">
        <f ca="1">IF(PaymentSchedule3[[#This Row],[Payment Number]]&lt;&gt;"",IF(PaymentSchedule3[[#This Row],[Scheduled Payment]]+PaymentSchedule3[[#This Row],[Extra
Payment]]&lt;=PaymentSchedule3[[#This Row],[Beginning
Balance]],PaymentSchedule3[[#This Row],[Beginning
Balance]]-PaymentSchedule3[[#This Row],[Principal]],0),"")</f>
        <v>325882.21645611816</v>
      </c>
      <c r="K84" s="25">
        <f ca="1">IF(PaymentSchedule3[[#This Row],[Payment Number]]&lt;&gt;"",SUM(INDEX(PaymentSchedule3[Interest],1,1):PaymentSchedule3[[#This Row],[Interest]]),"")</f>
        <v>145403.0220500819</v>
      </c>
    </row>
    <row r="85" spans="2:11" x14ac:dyDescent="0.3">
      <c r="B85" s="23">
        <f ca="1">IF(LoanIsGood,IF(ROW()-ROW(PaymentSchedule3[[#Headers],[Payment Number]])&gt;ScheduledNumberOfPayments,"",ROW()-ROW(PaymentSchedule3[[#Headers],[Payment Number]])),"")</f>
        <v>72</v>
      </c>
      <c r="C85" s="24">
        <f ca="1">IF(PaymentSchedule3[[#This Row],[Payment Number]]&lt;&gt;"",EOMONTH(LoanStartDate,ROW(PaymentSchedule3[[#This Row],[Payment Number]])-ROW(PaymentSchedule3[[#Headers],[Payment Number]])-2)+DAY(LoanStartDate),"")</f>
        <v>47614</v>
      </c>
      <c r="D85" s="25">
        <f ca="1">IF(PaymentSchedule3[[#This Row],[Payment Number]]&lt;&gt;"",IF(ROW()-ROW(PaymentSchedule3[[#Headers],[Beginning
Balance]])=1,LoanAmount,INDEX(PaymentSchedule3[Ending
Balance],ROW()-ROW(PaymentSchedule3[[#Headers],[Beginning
Balance]])-1)),"")</f>
        <v>325882.21645611816</v>
      </c>
      <c r="E85" s="25">
        <f ca="1">IF(PaymentSchedule3[[#This Row],[Payment Number]]&lt;&gt;"",ScheduledPayment,"")</f>
        <v>2387.6169801966716</v>
      </c>
      <c r="F8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5" s="25">
        <f ca="1">IF(PaymentSchedule3[[#This Row],[Payment Number]]&lt;&gt;"",PaymentSchedule3[[#This Row],[Total
Payment]]-PaymentSchedule3[[#This Row],[Interest]],"")</f>
        <v>418.74525577429108</v>
      </c>
      <c r="I85" s="25">
        <f ca="1">IF(PaymentSchedule3[[#This Row],[Payment Number]]&lt;&gt;"",PaymentSchedule3[[#This Row],[Beginning
Balance]]*(InterestRate/PaymentsPerYear),"")</f>
        <v>1968.8717244223806</v>
      </c>
      <c r="J85" s="25">
        <f ca="1">IF(PaymentSchedule3[[#This Row],[Payment Number]]&lt;&gt;"",IF(PaymentSchedule3[[#This Row],[Scheduled Payment]]+PaymentSchedule3[[#This Row],[Extra
Payment]]&lt;=PaymentSchedule3[[#This Row],[Beginning
Balance]],PaymentSchedule3[[#This Row],[Beginning
Balance]]-PaymentSchedule3[[#This Row],[Principal]],0),"")</f>
        <v>325463.47120034386</v>
      </c>
      <c r="K85" s="25">
        <f ca="1">IF(PaymentSchedule3[[#This Row],[Payment Number]]&lt;&gt;"",SUM(INDEX(PaymentSchedule3[Interest],1,1):PaymentSchedule3[[#This Row],[Interest]]),"")</f>
        <v>147371.89377450428</v>
      </c>
    </row>
    <row r="86" spans="2:11" x14ac:dyDescent="0.3">
      <c r="B86" s="23">
        <f ca="1">IF(LoanIsGood,IF(ROW()-ROW(PaymentSchedule3[[#Headers],[Payment Number]])&gt;ScheduledNumberOfPayments,"",ROW()-ROW(PaymentSchedule3[[#Headers],[Payment Number]])),"")</f>
        <v>73</v>
      </c>
      <c r="C86" s="24">
        <f ca="1">IF(PaymentSchedule3[[#This Row],[Payment Number]]&lt;&gt;"",EOMONTH(LoanStartDate,ROW(PaymentSchedule3[[#This Row],[Payment Number]])-ROW(PaymentSchedule3[[#Headers],[Payment Number]])-2)+DAY(LoanStartDate),"")</f>
        <v>47645</v>
      </c>
      <c r="D86" s="25">
        <f ca="1">IF(PaymentSchedule3[[#This Row],[Payment Number]]&lt;&gt;"",IF(ROW()-ROW(PaymentSchedule3[[#Headers],[Beginning
Balance]])=1,LoanAmount,INDEX(PaymentSchedule3[Ending
Balance],ROW()-ROW(PaymentSchedule3[[#Headers],[Beginning
Balance]])-1)),"")</f>
        <v>325463.47120034386</v>
      </c>
      <c r="E86" s="25">
        <f ca="1">IF(PaymentSchedule3[[#This Row],[Payment Number]]&lt;&gt;"",ScheduledPayment,"")</f>
        <v>2387.6169801966716</v>
      </c>
      <c r="F8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6" s="25">
        <f ca="1">IF(PaymentSchedule3[[#This Row],[Payment Number]]&lt;&gt;"",PaymentSchedule3[[#This Row],[Total
Payment]]-PaymentSchedule3[[#This Row],[Interest]],"")</f>
        <v>421.27517502792762</v>
      </c>
      <c r="I86" s="25">
        <f ca="1">IF(PaymentSchedule3[[#This Row],[Payment Number]]&lt;&gt;"",PaymentSchedule3[[#This Row],[Beginning
Balance]]*(InterestRate/PaymentsPerYear),"")</f>
        <v>1966.341805168744</v>
      </c>
      <c r="J86" s="25">
        <f ca="1">IF(PaymentSchedule3[[#This Row],[Payment Number]]&lt;&gt;"",IF(PaymentSchedule3[[#This Row],[Scheduled Payment]]+PaymentSchedule3[[#This Row],[Extra
Payment]]&lt;=PaymentSchedule3[[#This Row],[Beginning
Balance]],PaymentSchedule3[[#This Row],[Beginning
Balance]]-PaymentSchedule3[[#This Row],[Principal]],0),"")</f>
        <v>325042.1960253159</v>
      </c>
      <c r="K86" s="25">
        <f ca="1">IF(PaymentSchedule3[[#This Row],[Payment Number]]&lt;&gt;"",SUM(INDEX(PaymentSchedule3[Interest],1,1):PaymentSchedule3[[#This Row],[Interest]]),"")</f>
        <v>149338.23557967303</v>
      </c>
    </row>
    <row r="87" spans="2:11" x14ac:dyDescent="0.3">
      <c r="B87" s="23">
        <f ca="1">IF(LoanIsGood,IF(ROW()-ROW(PaymentSchedule3[[#Headers],[Payment Number]])&gt;ScheduledNumberOfPayments,"",ROW()-ROW(PaymentSchedule3[[#Headers],[Payment Number]])),"")</f>
        <v>74</v>
      </c>
      <c r="C87" s="24">
        <f ca="1">IF(PaymentSchedule3[[#This Row],[Payment Number]]&lt;&gt;"",EOMONTH(LoanStartDate,ROW(PaymentSchedule3[[#This Row],[Payment Number]])-ROW(PaymentSchedule3[[#Headers],[Payment Number]])-2)+DAY(LoanStartDate),"")</f>
        <v>47675</v>
      </c>
      <c r="D87" s="25">
        <f ca="1">IF(PaymentSchedule3[[#This Row],[Payment Number]]&lt;&gt;"",IF(ROW()-ROW(PaymentSchedule3[[#Headers],[Beginning
Balance]])=1,LoanAmount,INDEX(PaymentSchedule3[Ending
Balance],ROW()-ROW(PaymentSchedule3[[#Headers],[Beginning
Balance]])-1)),"")</f>
        <v>325042.1960253159</v>
      </c>
      <c r="E87" s="25">
        <f ca="1">IF(PaymentSchedule3[[#This Row],[Payment Number]]&lt;&gt;"",ScheduledPayment,"")</f>
        <v>2387.6169801966716</v>
      </c>
      <c r="F8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7" s="25">
        <f ca="1">IF(PaymentSchedule3[[#This Row],[Payment Number]]&lt;&gt;"",PaymentSchedule3[[#This Row],[Total
Payment]]-PaymentSchedule3[[#This Row],[Interest]],"")</f>
        <v>423.82037921038818</v>
      </c>
      <c r="I87" s="25">
        <f ca="1">IF(PaymentSchedule3[[#This Row],[Payment Number]]&lt;&gt;"",PaymentSchedule3[[#This Row],[Beginning
Balance]]*(InterestRate/PaymentsPerYear),"")</f>
        <v>1963.7966009862835</v>
      </c>
      <c r="J87" s="25">
        <f ca="1">IF(PaymentSchedule3[[#This Row],[Payment Number]]&lt;&gt;"",IF(PaymentSchedule3[[#This Row],[Scheduled Payment]]+PaymentSchedule3[[#This Row],[Extra
Payment]]&lt;=PaymentSchedule3[[#This Row],[Beginning
Balance]],PaymentSchedule3[[#This Row],[Beginning
Balance]]-PaymentSchedule3[[#This Row],[Principal]],0),"")</f>
        <v>324618.3756461055</v>
      </c>
      <c r="K87" s="25">
        <f ca="1">IF(PaymentSchedule3[[#This Row],[Payment Number]]&lt;&gt;"",SUM(INDEX(PaymentSchedule3[Interest],1,1):PaymentSchedule3[[#This Row],[Interest]]),"")</f>
        <v>151302.0321806593</v>
      </c>
    </row>
    <row r="88" spans="2:11" x14ac:dyDescent="0.3">
      <c r="B88" s="23">
        <f ca="1">IF(LoanIsGood,IF(ROW()-ROW(PaymentSchedule3[[#Headers],[Payment Number]])&gt;ScheduledNumberOfPayments,"",ROW()-ROW(PaymentSchedule3[[#Headers],[Payment Number]])),"")</f>
        <v>75</v>
      </c>
      <c r="C88" s="24">
        <f ca="1">IF(PaymentSchedule3[[#This Row],[Payment Number]]&lt;&gt;"",EOMONTH(LoanStartDate,ROW(PaymentSchedule3[[#This Row],[Payment Number]])-ROW(PaymentSchedule3[[#Headers],[Payment Number]])-2)+DAY(LoanStartDate),"")</f>
        <v>47706</v>
      </c>
      <c r="D88" s="25">
        <f ca="1">IF(PaymentSchedule3[[#This Row],[Payment Number]]&lt;&gt;"",IF(ROW()-ROW(PaymentSchedule3[[#Headers],[Beginning
Balance]])=1,LoanAmount,INDEX(PaymentSchedule3[Ending
Balance],ROW()-ROW(PaymentSchedule3[[#Headers],[Beginning
Balance]])-1)),"")</f>
        <v>324618.3756461055</v>
      </c>
      <c r="E88" s="25">
        <f ca="1">IF(PaymentSchedule3[[#This Row],[Payment Number]]&lt;&gt;"",ScheduledPayment,"")</f>
        <v>2387.6169801966716</v>
      </c>
      <c r="F8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8" s="25">
        <f ca="1">IF(PaymentSchedule3[[#This Row],[Payment Number]]&lt;&gt;"",PaymentSchedule3[[#This Row],[Total
Payment]]-PaymentSchedule3[[#This Row],[Interest]],"")</f>
        <v>426.38096066811772</v>
      </c>
      <c r="I88" s="25">
        <f ca="1">IF(PaymentSchedule3[[#This Row],[Payment Number]]&lt;&gt;"",PaymentSchedule3[[#This Row],[Beginning
Balance]]*(InterestRate/PaymentsPerYear),"")</f>
        <v>1961.2360195285539</v>
      </c>
      <c r="J88" s="25">
        <f ca="1">IF(PaymentSchedule3[[#This Row],[Payment Number]]&lt;&gt;"",IF(PaymentSchedule3[[#This Row],[Scheduled Payment]]+PaymentSchedule3[[#This Row],[Extra
Payment]]&lt;=PaymentSchedule3[[#This Row],[Beginning
Balance]],PaymentSchedule3[[#This Row],[Beginning
Balance]]-PaymentSchedule3[[#This Row],[Principal]],0),"")</f>
        <v>324191.99468543736</v>
      </c>
      <c r="K88" s="25">
        <f ca="1">IF(PaymentSchedule3[[#This Row],[Payment Number]]&lt;&gt;"",SUM(INDEX(PaymentSchedule3[Interest],1,1):PaymentSchedule3[[#This Row],[Interest]]),"")</f>
        <v>153263.26820018786</v>
      </c>
    </row>
    <row r="89" spans="2:11" x14ac:dyDescent="0.3">
      <c r="B89" s="23">
        <f ca="1">IF(LoanIsGood,IF(ROW()-ROW(PaymentSchedule3[[#Headers],[Payment Number]])&gt;ScheduledNumberOfPayments,"",ROW()-ROW(PaymentSchedule3[[#Headers],[Payment Number]])),"")</f>
        <v>76</v>
      </c>
      <c r="C89" s="24">
        <f ca="1">IF(PaymentSchedule3[[#This Row],[Payment Number]]&lt;&gt;"",EOMONTH(LoanStartDate,ROW(PaymentSchedule3[[#This Row],[Payment Number]])-ROW(PaymentSchedule3[[#Headers],[Payment Number]])-2)+DAY(LoanStartDate),"")</f>
        <v>47737</v>
      </c>
      <c r="D89" s="25">
        <f ca="1">IF(PaymentSchedule3[[#This Row],[Payment Number]]&lt;&gt;"",IF(ROW()-ROW(PaymentSchedule3[[#Headers],[Beginning
Balance]])=1,LoanAmount,INDEX(PaymentSchedule3[Ending
Balance],ROW()-ROW(PaymentSchedule3[[#Headers],[Beginning
Balance]])-1)),"")</f>
        <v>324191.99468543736</v>
      </c>
      <c r="E89" s="25">
        <f ca="1">IF(PaymentSchedule3[[#This Row],[Payment Number]]&lt;&gt;"",ScheduledPayment,"")</f>
        <v>2387.6169801966716</v>
      </c>
      <c r="F8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8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89" s="25">
        <f ca="1">IF(PaymentSchedule3[[#This Row],[Payment Number]]&lt;&gt;"",PaymentSchedule3[[#This Row],[Total
Payment]]-PaymentSchedule3[[#This Row],[Interest]],"")</f>
        <v>428.95701230548775</v>
      </c>
      <c r="I89" s="25">
        <f ca="1">IF(PaymentSchedule3[[#This Row],[Payment Number]]&lt;&gt;"",PaymentSchedule3[[#This Row],[Beginning
Balance]]*(InterestRate/PaymentsPerYear),"")</f>
        <v>1958.6599678911839</v>
      </c>
      <c r="J89" s="25">
        <f ca="1">IF(PaymentSchedule3[[#This Row],[Payment Number]]&lt;&gt;"",IF(PaymentSchedule3[[#This Row],[Scheduled Payment]]+PaymentSchedule3[[#This Row],[Extra
Payment]]&lt;=PaymentSchedule3[[#This Row],[Beginning
Balance]],PaymentSchedule3[[#This Row],[Beginning
Balance]]-PaymentSchedule3[[#This Row],[Principal]],0),"")</f>
        <v>323763.03767313185</v>
      </c>
      <c r="K89" s="25">
        <f ca="1">IF(PaymentSchedule3[[#This Row],[Payment Number]]&lt;&gt;"",SUM(INDEX(PaymentSchedule3[Interest],1,1):PaymentSchedule3[[#This Row],[Interest]]),"")</f>
        <v>155221.92816807903</v>
      </c>
    </row>
    <row r="90" spans="2:11" x14ac:dyDescent="0.3">
      <c r="B90" s="23">
        <f ca="1">IF(LoanIsGood,IF(ROW()-ROW(PaymentSchedule3[[#Headers],[Payment Number]])&gt;ScheduledNumberOfPayments,"",ROW()-ROW(PaymentSchedule3[[#Headers],[Payment Number]])),"")</f>
        <v>77</v>
      </c>
      <c r="C90" s="24">
        <f ca="1">IF(PaymentSchedule3[[#This Row],[Payment Number]]&lt;&gt;"",EOMONTH(LoanStartDate,ROW(PaymentSchedule3[[#This Row],[Payment Number]])-ROW(PaymentSchedule3[[#Headers],[Payment Number]])-2)+DAY(LoanStartDate),"")</f>
        <v>47767</v>
      </c>
      <c r="D90" s="25">
        <f ca="1">IF(PaymentSchedule3[[#This Row],[Payment Number]]&lt;&gt;"",IF(ROW()-ROW(PaymentSchedule3[[#Headers],[Beginning
Balance]])=1,LoanAmount,INDEX(PaymentSchedule3[Ending
Balance],ROW()-ROW(PaymentSchedule3[[#Headers],[Beginning
Balance]])-1)),"")</f>
        <v>323763.03767313185</v>
      </c>
      <c r="E90" s="25">
        <f ca="1">IF(PaymentSchedule3[[#This Row],[Payment Number]]&lt;&gt;"",ScheduledPayment,"")</f>
        <v>2387.6169801966716</v>
      </c>
      <c r="F9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0" s="25">
        <f ca="1">IF(PaymentSchedule3[[#This Row],[Payment Number]]&lt;&gt;"",PaymentSchedule3[[#This Row],[Total
Payment]]-PaymentSchedule3[[#This Row],[Interest]],"")</f>
        <v>431.54862758816671</v>
      </c>
      <c r="I90" s="25">
        <f ca="1">IF(PaymentSchedule3[[#This Row],[Payment Number]]&lt;&gt;"",PaymentSchedule3[[#This Row],[Beginning
Balance]]*(InterestRate/PaymentsPerYear),"")</f>
        <v>1956.0683526085049</v>
      </c>
      <c r="J90" s="25">
        <f ca="1">IF(PaymentSchedule3[[#This Row],[Payment Number]]&lt;&gt;"",IF(PaymentSchedule3[[#This Row],[Scheduled Payment]]+PaymentSchedule3[[#This Row],[Extra
Payment]]&lt;=PaymentSchedule3[[#This Row],[Beginning
Balance]],PaymentSchedule3[[#This Row],[Beginning
Balance]]-PaymentSchedule3[[#This Row],[Principal]],0),"")</f>
        <v>323331.48904554371</v>
      </c>
      <c r="K90" s="25">
        <f ca="1">IF(PaymentSchedule3[[#This Row],[Payment Number]]&lt;&gt;"",SUM(INDEX(PaymentSchedule3[Interest],1,1):PaymentSchedule3[[#This Row],[Interest]]),"")</f>
        <v>157177.99652068753</v>
      </c>
    </row>
    <row r="91" spans="2:11" x14ac:dyDescent="0.3">
      <c r="B91" s="23">
        <f ca="1">IF(LoanIsGood,IF(ROW()-ROW(PaymentSchedule3[[#Headers],[Payment Number]])&gt;ScheduledNumberOfPayments,"",ROW()-ROW(PaymentSchedule3[[#Headers],[Payment Number]])),"")</f>
        <v>78</v>
      </c>
      <c r="C91" s="24">
        <f ca="1">IF(PaymentSchedule3[[#This Row],[Payment Number]]&lt;&gt;"",EOMONTH(LoanStartDate,ROW(PaymentSchedule3[[#This Row],[Payment Number]])-ROW(PaymentSchedule3[[#Headers],[Payment Number]])-2)+DAY(LoanStartDate),"")</f>
        <v>47798</v>
      </c>
      <c r="D91" s="25">
        <f ca="1">IF(PaymentSchedule3[[#This Row],[Payment Number]]&lt;&gt;"",IF(ROW()-ROW(PaymentSchedule3[[#Headers],[Beginning
Balance]])=1,LoanAmount,INDEX(PaymentSchedule3[Ending
Balance],ROW()-ROW(PaymentSchedule3[[#Headers],[Beginning
Balance]])-1)),"")</f>
        <v>323331.48904554371</v>
      </c>
      <c r="E91" s="25">
        <f ca="1">IF(PaymentSchedule3[[#This Row],[Payment Number]]&lt;&gt;"",ScheduledPayment,"")</f>
        <v>2387.6169801966716</v>
      </c>
      <c r="F9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1" s="25">
        <f ca="1">IF(PaymentSchedule3[[#This Row],[Payment Number]]&lt;&gt;"",PaymentSchedule3[[#This Row],[Total
Payment]]-PaymentSchedule3[[#This Row],[Interest]],"")</f>
        <v>434.1559005465117</v>
      </c>
      <c r="I91" s="25">
        <f ca="1">IF(PaymentSchedule3[[#This Row],[Payment Number]]&lt;&gt;"",PaymentSchedule3[[#This Row],[Beginning
Balance]]*(InterestRate/PaymentsPerYear),"")</f>
        <v>1953.4610796501599</v>
      </c>
      <c r="J91" s="25">
        <f ca="1">IF(PaymentSchedule3[[#This Row],[Payment Number]]&lt;&gt;"",IF(PaymentSchedule3[[#This Row],[Scheduled Payment]]+PaymentSchedule3[[#This Row],[Extra
Payment]]&lt;=PaymentSchedule3[[#This Row],[Beginning
Balance]],PaymentSchedule3[[#This Row],[Beginning
Balance]]-PaymentSchedule3[[#This Row],[Principal]],0),"")</f>
        <v>322897.33314499719</v>
      </c>
      <c r="K91" s="25">
        <f ca="1">IF(PaymentSchedule3[[#This Row],[Payment Number]]&lt;&gt;"",SUM(INDEX(PaymentSchedule3[Interest],1,1):PaymentSchedule3[[#This Row],[Interest]]),"")</f>
        <v>159131.45760033769</v>
      </c>
    </row>
    <row r="92" spans="2:11" x14ac:dyDescent="0.3">
      <c r="B92" s="23">
        <f ca="1">IF(LoanIsGood,IF(ROW()-ROW(PaymentSchedule3[[#Headers],[Payment Number]])&gt;ScheduledNumberOfPayments,"",ROW()-ROW(PaymentSchedule3[[#Headers],[Payment Number]])),"")</f>
        <v>79</v>
      </c>
      <c r="C92" s="24">
        <f ca="1">IF(PaymentSchedule3[[#This Row],[Payment Number]]&lt;&gt;"",EOMONTH(LoanStartDate,ROW(PaymentSchedule3[[#This Row],[Payment Number]])-ROW(PaymentSchedule3[[#Headers],[Payment Number]])-2)+DAY(LoanStartDate),"")</f>
        <v>47828</v>
      </c>
      <c r="D92" s="25">
        <f ca="1">IF(PaymentSchedule3[[#This Row],[Payment Number]]&lt;&gt;"",IF(ROW()-ROW(PaymentSchedule3[[#Headers],[Beginning
Balance]])=1,LoanAmount,INDEX(PaymentSchedule3[Ending
Balance],ROW()-ROW(PaymentSchedule3[[#Headers],[Beginning
Balance]])-1)),"")</f>
        <v>322897.33314499719</v>
      </c>
      <c r="E92" s="25">
        <f ca="1">IF(PaymentSchedule3[[#This Row],[Payment Number]]&lt;&gt;"",ScheduledPayment,"")</f>
        <v>2387.6169801966716</v>
      </c>
      <c r="F9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2" s="25">
        <f ca="1">IF(PaymentSchedule3[[#This Row],[Payment Number]]&lt;&gt;"",PaymentSchedule3[[#This Row],[Total
Payment]]-PaymentSchedule3[[#This Row],[Interest]],"")</f>
        <v>436.77892577898024</v>
      </c>
      <c r="I92" s="25">
        <f ca="1">IF(PaymentSchedule3[[#This Row],[Payment Number]]&lt;&gt;"",PaymentSchedule3[[#This Row],[Beginning
Balance]]*(InterestRate/PaymentsPerYear),"")</f>
        <v>1950.8380544176914</v>
      </c>
      <c r="J92" s="25">
        <f ca="1">IF(PaymentSchedule3[[#This Row],[Payment Number]]&lt;&gt;"",IF(PaymentSchedule3[[#This Row],[Scheduled Payment]]+PaymentSchedule3[[#This Row],[Extra
Payment]]&lt;=PaymentSchedule3[[#This Row],[Beginning
Balance]],PaymentSchedule3[[#This Row],[Beginning
Balance]]-PaymentSchedule3[[#This Row],[Principal]],0),"")</f>
        <v>322460.5542192182</v>
      </c>
      <c r="K92" s="25">
        <f ca="1">IF(PaymentSchedule3[[#This Row],[Payment Number]]&lt;&gt;"",SUM(INDEX(PaymentSchedule3[Interest],1,1):PaymentSchedule3[[#This Row],[Interest]]),"")</f>
        <v>161082.29565475538</v>
      </c>
    </row>
    <row r="93" spans="2:11" x14ac:dyDescent="0.3">
      <c r="B93" s="23">
        <f ca="1">IF(LoanIsGood,IF(ROW()-ROW(PaymentSchedule3[[#Headers],[Payment Number]])&gt;ScheduledNumberOfPayments,"",ROW()-ROW(PaymentSchedule3[[#Headers],[Payment Number]])),"")</f>
        <v>80</v>
      </c>
      <c r="C93" s="24">
        <f ca="1">IF(PaymentSchedule3[[#This Row],[Payment Number]]&lt;&gt;"",EOMONTH(LoanStartDate,ROW(PaymentSchedule3[[#This Row],[Payment Number]])-ROW(PaymentSchedule3[[#Headers],[Payment Number]])-2)+DAY(LoanStartDate),"")</f>
        <v>47859</v>
      </c>
      <c r="D93" s="25">
        <f ca="1">IF(PaymentSchedule3[[#This Row],[Payment Number]]&lt;&gt;"",IF(ROW()-ROW(PaymentSchedule3[[#Headers],[Beginning
Balance]])=1,LoanAmount,INDEX(PaymentSchedule3[Ending
Balance],ROW()-ROW(PaymentSchedule3[[#Headers],[Beginning
Balance]])-1)),"")</f>
        <v>322460.5542192182</v>
      </c>
      <c r="E93" s="25">
        <f ca="1">IF(PaymentSchedule3[[#This Row],[Payment Number]]&lt;&gt;"",ScheduledPayment,"")</f>
        <v>2387.6169801966716</v>
      </c>
      <c r="F9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3" s="25">
        <f ca="1">IF(PaymentSchedule3[[#This Row],[Payment Number]]&lt;&gt;"",PaymentSchedule3[[#This Row],[Total
Payment]]-PaymentSchedule3[[#This Row],[Interest]],"")</f>
        <v>439.41779845556175</v>
      </c>
      <c r="I93" s="25">
        <f ca="1">IF(PaymentSchedule3[[#This Row],[Payment Number]]&lt;&gt;"",PaymentSchedule3[[#This Row],[Beginning
Balance]]*(InterestRate/PaymentsPerYear),"")</f>
        <v>1948.1991817411099</v>
      </c>
      <c r="J93" s="25">
        <f ca="1">IF(PaymentSchedule3[[#This Row],[Payment Number]]&lt;&gt;"",IF(PaymentSchedule3[[#This Row],[Scheduled Payment]]+PaymentSchedule3[[#This Row],[Extra
Payment]]&lt;=PaymentSchedule3[[#This Row],[Beginning
Balance]],PaymentSchedule3[[#This Row],[Beginning
Balance]]-PaymentSchedule3[[#This Row],[Principal]],0),"")</f>
        <v>322021.13642076263</v>
      </c>
      <c r="K93" s="25">
        <f ca="1">IF(PaymentSchedule3[[#This Row],[Payment Number]]&lt;&gt;"",SUM(INDEX(PaymentSchedule3[Interest],1,1):PaymentSchedule3[[#This Row],[Interest]]),"")</f>
        <v>163030.49483649648</v>
      </c>
    </row>
    <row r="94" spans="2:11" x14ac:dyDescent="0.3">
      <c r="B94" s="23">
        <f ca="1">IF(LoanIsGood,IF(ROW()-ROW(PaymentSchedule3[[#Headers],[Payment Number]])&gt;ScheduledNumberOfPayments,"",ROW()-ROW(PaymentSchedule3[[#Headers],[Payment Number]])),"")</f>
        <v>81</v>
      </c>
      <c r="C94" s="24">
        <f ca="1">IF(PaymentSchedule3[[#This Row],[Payment Number]]&lt;&gt;"",EOMONTH(LoanStartDate,ROW(PaymentSchedule3[[#This Row],[Payment Number]])-ROW(PaymentSchedule3[[#Headers],[Payment Number]])-2)+DAY(LoanStartDate),"")</f>
        <v>47890</v>
      </c>
      <c r="D94" s="25">
        <f ca="1">IF(PaymentSchedule3[[#This Row],[Payment Number]]&lt;&gt;"",IF(ROW()-ROW(PaymentSchedule3[[#Headers],[Beginning
Balance]])=1,LoanAmount,INDEX(PaymentSchedule3[Ending
Balance],ROW()-ROW(PaymentSchedule3[[#Headers],[Beginning
Balance]])-1)),"")</f>
        <v>322021.13642076263</v>
      </c>
      <c r="E94" s="25">
        <f ca="1">IF(PaymentSchedule3[[#This Row],[Payment Number]]&lt;&gt;"",ScheduledPayment,"")</f>
        <v>2387.6169801966716</v>
      </c>
      <c r="F9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4" s="25">
        <f ca="1">IF(PaymentSchedule3[[#This Row],[Payment Number]]&lt;&gt;"",PaymentSchedule3[[#This Row],[Total
Payment]]-PaymentSchedule3[[#This Row],[Interest]],"")</f>
        <v>442.07261432123073</v>
      </c>
      <c r="I94" s="25">
        <f ca="1">IF(PaymentSchedule3[[#This Row],[Payment Number]]&lt;&gt;"",PaymentSchedule3[[#This Row],[Beginning
Balance]]*(InterestRate/PaymentsPerYear),"")</f>
        <v>1945.5443658754409</v>
      </c>
      <c r="J94" s="25">
        <f ca="1">IF(PaymentSchedule3[[#This Row],[Payment Number]]&lt;&gt;"",IF(PaymentSchedule3[[#This Row],[Scheduled Payment]]+PaymentSchedule3[[#This Row],[Extra
Payment]]&lt;=PaymentSchedule3[[#This Row],[Beginning
Balance]],PaymentSchedule3[[#This Row],[Beginning
Balance]]-PaymentSchedule3[[#This Row],[Principal]],0),"")</f>
        <v>321579.06380644138</v>
      </c>
      <c r="K94" s="25">
        <f ca="1">IF(PaymentSchedule3[[#This Row],[Payment Number]]&lt;&gt;"",SUM(INDEX(PaymentSchedule3[Interest],1,1):PaymentSchedule3[[#This Row],[Interest]]),"")</f>
        <v>164976.03920237193</v>
      </c>
    </row>
    <row r="95" spans="2:11" x14ac:dyDescent="0.3">
      <c r="B95" s="23">
        <f ca="1">IF(LoanIsGood,IF(ROW()-ROW(PaymentSchedule3[[#Headers],[Payment Number]])&gt;ScheduledNumberOfPayments,"",ROW()-ROW(PaymentSchedule3[[#Headers],[Payment Number]])),"")</f>
        <v>82</v>
      </c>
      <c r="C95" s="24">
        <f ca="1">IF(PaymentSchedule3[[#This Row],[Payment Number]]&lt;&gt;"",EOMONTH(LoanStartDate,ROW(PaymentSchedule3[[#This Row],[Payment Number]])-ROW(PaymentSchedule3[[#Headers],[Payment Number]])-2)+DAY(LoanStartDate),"")</f>
        <v>47918</v>
      </c>
      <c r="D95" s="25">
        <f ca="1">IF(PaymentSchedule3[[#This Row],[Payment Number]]&lt;&gt;"",IF(ROW()-ROW(PaymentSchedule3[[#Headers],[Beginning
Balance]])=1,LoanAmount,INDEX(PaymentSchedule3[Ending
Balance],ROW()-ROW(PaymentSchedule3[[#Headers],[Beginning
Balance]])-1)),"")</f>
        <v>321579.06380644138</v>
      </c>
      <c r="E95" s="25">
        <f ca="1">IF(PaymentSchedule3[[#This Row],[Payment Number]]&lt;&gt;"",ScheduledPayment,"")</f>
        <v>2387.6169801966716</v>
      </c>
      <c r="F9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5" s="25">
        <f ca="1">IF(PaymentSchedule3[[#This Row],[Payment Number]]&lt;&gt;"",PaymentSchedule3[[#This Row],[Total
Payment]]-PaymentSchedule3[[#This Row],[Interest]],"")</f>
        <v>444.74346969942167</v>
      </c>
      <c r="I95" s="25">
        <f ca="1">IF(PaymentSchedule3[[#This Row],[Payment Number]]&lt;&gt;"",PaymentSchedule3[[#This Row],[Beginning
Balance]]*(InterestRate/PaymentsPerYear),"")</f>
        <v>1942.87351049725</v>
      </c>
      <c r="J95" s="25">
        <f ca="1">IF(PaymentSchedule3[[#This Row],[Payment Number]]&lt;&gt;"",IF(PaymentSchedule3[[#This Row],[Scheduled Payment]]+PaymentSchedule3[[#This Row],[Extra
Payment]]&lt;=PaymentSchedule3[[#This Row],[Beginning
Balance]],PaymentSchedule3[[#This Row],[Beginning
Balance]]-PaymentSchedule3[[#This Row],[Principal]],0),"")</f>
        <v>321134.32033674198</v>
      </c>
      <c r="K95" s="25">
        <f ca="1">IF(PaymentSchedule3[[#This Row],[Payment Number]]&lt;&gt;"",SUM(INDEX(PaymentSchedule3[Interest],1,1):PaymentSchedule3[[#This Row],[Interest]]),"")</f>
        <v>166918.91271286918</v>
      </c>
    </row>
    <row r="96" spans="2:11" x14ac:dyDescent="0.3">
      <c r="B96" s="23">
        <f ca="1">IF(LoanIsGood,IF(ROW()-ROW(PaymentSchedule3[[#Headers],[Payment Number]])&gt;ScheduledNumberOfPayments,"",ROW()-ROW(PaymentSchedule3[[#Headers],[Payment Number]])),"")</f>
        <v>83</v>
      </c>
      <c r="C96" s="24">
        <f ca="1">IF(PaymentSchedule3[[#This Row],[Payment Number]]&lt;&gt;"",EOMONTH(LoanStartDate,ROW(PaymentSchedule3[[#This Row],[Payment Number]])-ROW(PaymentSchedule3[[#Headers],[Payment Number]])-2)+DAY(LoanStartDate),"")</f>
        <v>47949</v>
      </c>
      <c r="D96" s="25">
        <f ca="1">IF(PaymentSchedule3[[#This Row],[Payment Number]]&lt;&gt;"",IF(ROW()-ROW(PaymentSchedule3[[#Headers],[Beginning
Balance]])=1,LoanAmount,INDEX(PaymentSchedule3[Ending
Balance],ROW()-ROW(PaymentSchedule3[[#Headers],[Beginning
Balance]])-1)),"")</f>
        <v>321134.32033674198</v>
      </c>
      <c r="E96" s="25">
        <f ca="1">IF(PaymentSchedule3[[#This Row],[Payment Number]]&lt;&gt;"",ScheduledPayment,"")</f>
        <v>2387.6169801966716</v>
      </c>
      <c r="F9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6" s="25">
        <f ca="1">IF(PaymentSchedule3[[#This Row],[Payment Number]]&lt;&gt;"",PaymentSchedule3[[#This Row],[Total
Payment]]-PaymentSchedule3[[#This Row],[Interest]],"")</f>
        <v>447.4304614955222</v>
      </c>
      <c r="I96" s="25">
        <f ca="1">IF(PaymentSchedule3[[#This Row],[Payment Number]]&lt;&gt;"",PaymentSchedule3[[#This Row],[Beginning
Balance]]*(InterestRate/PaymentsPerYear),"")</f>
        <v>1940.1865187011495</v>
      </c>
      <c r="J96" s="25">
        <f ca="1">IF(PaymentSchedule3[[#This Row],[Payment Number]]&lt;&gt;"",IF(PaymentSchedule3[[#This Row],[Scheduled Payment]]+PaymentSchedule3[[#This Row],[Extra
Payment]]&lt;=PaymentSchedule3[[#This Row],[Beginning
Balance]],PaymentSchedule3[[#This Row],[Beginning
Balance]]-PaymentSchedule3[[#This Row],[Principal]],0),"")</f>
        <v>320686.88987524644</v>
      </c>
      <c r="K96" s="25">
        <f ca="1">IF(PaymentSchedule3[[#This Row],[Payment Number]]&lt;&gt;"",SUM(INDEX(PaymentSchedule3[Interest],1,1):PaymentSchedule3[[#This Row],[Interest]]),"")</f>
        <v>168859.09923157032</v>
      </c>
    </row>
    <row r="97" spans="2:11" x14ac:dyDescent="0.3">
      <c r="B97" s="23">
        <f ca="1">IF(LoanIsGood,IF(ROW()-ROW(PaymentSchedule3[[#Headers],[Payment Number]])&gt;ScheduledNumberOfPayments,"",ROW()-ROW(PaymentSchedule3[[#Headers],[Payment Number]])),"")</f>
        <v>84</v>
      </c>
      <c r="C97" s="24">
        <f ca="1">IF(PaymentSchedule3[[#This Row],[Payment Number]]&lt;&gt;"",EOMONTH(LoanStartDate,ROW(PaymentSchedule3[[#This Row],[Payment Number]])-ROW(PaymentSchedule3[[#Headers],[Payment Number]])-2)+DAY(LoanStartDate),"")</f>
        <v>47979</v>
      </c>
      <c r="D97" s="25">
        <f ca="1">IF(PaymentSchedule3[[#This Row],[Payment Number]]&lt;&gt;"",IF(ROW()-ROW(PaymentSchedule3[[#Headers],[Beginning
Balance]])=1,LoanAmount,INDEX(PaymentSchedule3[Ending
Balance],ROW()-ROW(PaymentSchedule3[[#Headers],[Beginning
Balance]])-1)),"")</f>
        <v>320686.88987524644</v>
      </c>
      <c r="E97" s="25">
        <f ca="1">IF(PaymentSchedule3[[#This Row],[Payment Number]]&lt;&gt;"",ScheduledPayment,"")</f>
        <v>2387.6169801966716</v>
      </c>
      <c r="F9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7" s="25">
        <f ca="1">IF(PaymentSchedule3[[#This Row],[Payment Number]]&lt;&gt;"",PaymentSchedule3[[#This Row],[Total
Payment]]-PaymentSchedule3[[#This Row],[Interest]],"")</f>
        <v>450.13368720039102</v>
      </c>
      <c r="I97" s="25">
        <f ca="1">IF(PaymentSchedule3[[#This Row],[Payment Number]]&lt;&gt;"",PaymentSchedule3[[#This Row],[Beginning
Balance]]*(InterestRate/PaymentsPerYear),"")</f>
        <v>1937.4832929962806</v>
      </c>
      <c r="J97" s="25">
        <f ca="1">IF(PaymentSchedule3[[#This Row],[Payment Number]]&lt;&gt;"",IF(PaymentSchedule3[[#This Row],[Scheduled Payment]]+PaymentSchedule3[[#This Row],[Extra
Payment]]&lt;=PaymentSchedule3[[#This Row],[Beginning
Balance]],PaymentSchedule3[[#This Row],[Beginning
Balance]]-PaymentSchedule3[[#This Row],[Principal]],0),"")</f>
        <v>320236.75618804607</v>
      </c>
      <c r="K97" s="25">
        <f ca="1">IF(PaymentSchedule3[[#This Row],[Payment Number]]&lt;&gt;"",SUM(INDEX(PaymentSchedule3[Interest],1,1):PaymentSchedule3[[#This Row],[Interest]]),"")</f>
        <v>170796.58252456659</v>
      </c>
    </row>
    <row r="98" spans="2:11" x14ac:dyDescent="0.3">
      <c r="B98" s="23">
        <f ca="1">IF(LoanIsGood,IF(ROW()-ROW(PaymentSchedule3[[#Headers],[Payment Number]])&gt;ScheduledNumberOfPayments,"",ROW()-ROW(PaymentSchedule3[[#Headers],[Payment Number]])),"")</f>
        <v>85</v>
      </c>
      <c r="C98" s="24">
        <f ca="1">IF(PaymentSchedule3[[#This Row],[Payment Number]]&lt;&gt;"",EOMONTH(LoanStartDate,ROW(PaymentSchedule3[[#This Row],[Payment Number]])-ROW(PaymentSchedule3[[#Headers],[Payment Number]])-2)+DAY(LoanStartDate),"")</f>
        <v>48010</v>
      </c>
      <c r="D98" s="25">
        <f ca="1">IF(PaymentSchedule3[[#This Row],[Payment Number]]&lt;&gt;"",IF(ROW()-ROW(PaymentSchedule3[[#Headers],[Beginning
Balance]])=1,LoanAmount,INDEX(PaymentSchedule3[Ending
Balance],ROW()-ROW(PaymentSchedule3[[#Headers],[Beginning
Balance]])-1)),"")</f>
        <v>320236.75618804607</v>
      </c>
      <c r="E98" s="25">
        <f ca="1">IF(PaymentSchedule3[[#This Row],[Payment Number]]&lt;&gt;"",ScheduledPayment,"")</f>
        <v>2387.6169801966716</v>
      </c>
      <c r="F9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8" s="25">
        <f ca="1">IF(PaymentSchedule3[[#This Row],[Payment Number]]&lt;&gt;"",PaymentSchedule3[[#This Row],[Total
Payment]]-PaymentSchedule3[[#This Row],[Interest]],"")</f>
        <v>452.85324489389336</v>
      </c>
      <c r="I98" s="25">
        <f ca="1">IF(PaymentSchedule3[[#This Row],[Payment Number]]&lt;&gt;"",PaymentSchedule3[[#This Row],[Beginning
Balance]]*(InterestRate/PaymentsPerYear),"")</f>
        <v>1934.7637353027783</v>
      </c>
      <c r="J98" s="25">
        <f ca="1">IF(PaymentSchedule3[[#This Row],[Payment Number]]&lt;&gt;"",IF(PaymentSchedule3[[#This Row],[Scheduled Payment]]+PaymentSchedule3[[#This Row],[Extra
Payment]]&lt;=PaymentSchedule3[[#This Row],[Beginning
Balance]],PaymentSchedule3[[#This Row],[Beginning
Balance]]-PaymentSchedule3[[#This Row],[Principal]],0),"")</f>
        <v>319783.90294315218</v>
      </c>
      <c r="K98" s="25">
        <f ca="1">IF(PaymentSchedule3[[#This Row],[Payment Number]]&lt;&gt;"",SUM(INDEX(PaymentSchedule3[Interest],1,1):PaymentSchedule3[[#This Row],[Interest]]),"")</f>
        <v>172731.34625986937</v>
      </c>
    </row>
    <row r="99" spans="2:11" x14ac:dyDescent="0.3">
      <c r="B99" s="23">
        <f ca="1">IF(LoanIsGood,IF(ROW()-ROW(PaymentSchedule3[[#Headers],[Payment Number]])&gt;ScheduledNumberOfPayments,"",ROW()-ROW(PaymentSchedule3[[#Headers],[Payment Number]])),"")</f>
        <v>86</v>
      </c>
      <c r="C99" s="24">
        <f ca="1">IF(PaymentSchedule3[[#This Row],[Payment Number]]&lt;&gt;"",EOMONTH(LoanStartDate,ROW(PaymentSchedule3[[#This Row],[Payment Number]])-ROW(PaymentSchedule3[[#Headers],[Payment Number]])-2)+DAY(LoanStartDate),"")</f>
        <v>48040</v>
      </c>
      <c r="D99" s="25">
        <f ca="1">IF(PaymentSchedule3[[#This Row],[Payment Number]]&lt;&gt;"",IF(ROW()-ROW(PaymentSchedule3[[#Headers],[Beginning
Balance]])=1,LoanAmount,INDEX(PaymentSchedule3[Ending
Balance],ROW()-ROW(PaymentSchedule3[[#Headers],[Beginning
Balance]])-1)),"")</f>
        <v>319783.90294315218</v>
      </c>
      <c r="E99" s="25">
        <f ca="1">IF(PaymentSchedule3[[#This Row],[Payment Number]]&lt;&gt;"",ScheduledPayment,"")</f>
        <v>2387.6169801966716</v>
      </c>
      <c r="F9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9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99" s="25">
        <f ca="1">IF(PaymentSchedule3[[#This Row],[Payment Number]]&lt;&gt;"",PaymentSchedule3[[#This Row],[Total
Payment]]-PaymentSchedule3[[#This Row],[Interest]],"")</f>
        <v>455.58923324846069</v>
      </c>
      <c r="I99" s="25">
        <f ca="1">IF(PaymentSchedule3[[#This Row],[Payment Number]]&lt;&gt;"",PaymentSchedule3[[#This Row],[Beginning
Balance]]*(InterestRate/PaymentsPerYear),"")</f>
        <v>1932.027746948211</v>
      </c>
      <c r="J99" s="25">
        <f ca="1">IF(PaymentSchedule3[[#This Row],[Payment Number]]&lt;&gt;"",IF(PaymentSchedule3[[#This Row],[Scheduled Payment]]+PaymentSchedule3[[#This Row],[Extra
Payment]]&lt;=PaymentSchedule3[[#This Row],[Beginning
Balance]],PaymentSchedule3[[#This Row],[Beginning
Balance]]-PaymentSchedule3[[#This Row],[Principal]],0),"")</f>
        <v>319328.31370990374</v>
      </c>
      <c r="K99" s="25">
        <f ca="1">IF(PaymentSchedule3[[#This Row],[Payment Number]]&lt;&gt;"",SUM(INDEX(PaymentSchedule3[Interest],1,1):PaymentSchedule3[[#This Row],[Interest]]),"")</f>
        <v>174663.37400681758</v>
      </c>
    </row>
    <row r="100" spans="2:11" x14ac:dyDescent="0.3">
      <c r="B100" s="23">
        <f ca="1">IF(LoanIsGood,IF(ROW()-ROW(PaymentSchedule3[[#Headers],[Payment Number]])&gt;ScheduledNumberOfPayments,"",ROW()-ROW(PaymentSchedule3[[#Headers],[Payment Number]])),"")</f>
        <v>87</v>
      </c>
      <c r="C100" s="24">
        <f ca="1">IF(PaymentSchedule3[[#This Row],[Payment Number]]&lt;&gt;"",EOMONTH(LoanStartDate,ROW(PaymentSchedule3[[#This Row],[Payment Number]])-ROW(PaymentSchedule3[[#Headers],[Payment Number]])-2)+DAY(LoanStartDate),"")</f>
        <v>48071</v>
      </c>
      <c r="D100" s="25">
        <f ca="1">IF(PaymentSchedule3[[#This Row],[Payment Number]]&lt;&gt;"",IF(ROW()-ROW(PaymentSchedule3[[#Headers],[Beginning
Balance]])=1,LoanAmount,INDEX(PaymentSchedule3[Ending
Balance],ROW()-ROW(PaymentSchedule3[[#Headers],[Beginning
Balance]])-1)),"")</f>
        <v>319328.31370990374</v>
      </c>
      <c r="E100" s="25">
        <f ca="1">IF(PaymentSchedule3[[#This Row],[Payment Number]]&lt;&gt;"",ScheduledPayment,"")</f>
        <v>2387.6169801966716</v>
      </c>
      <c r="F10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0" s="25">
        <f ca="1">IF(PaymentSchedule3[[#This Row],[Payment Number]]&lt;&gt;"",PaymentSchedule3[[#This Row],[Total
Payment]]-PaymentSchedule3[[#This Row],[Interest]],"")</f>
        <v>458.34175153266983</v>
      </c>
      <c r="I100" s="25">
        <f ca="1">IF(PaymentSchedule3[[#This Row],[Payment Number]]&lt;&gt;"",PaymentSchedule3[[#This Row],[Beginning
Balance]]*(InterestRate/PaymentsPerYear),"")</f>
        <v>1929.2752286640018</v>
      </c>
      <c r="J100" s="25">
        <f ca="1">IF(PaymentSchedule3[[#This Row],[Payment Number]]&lt;&gt;"",IF(PaymentSchedule3[[#This Row],[Scheduled Payment]]+PaymentSchedule3[[#This Row],[Extra
Payment]]&lt;=PaymentSchedule3[[#This Row],[Beginning
Balance]],PaymentSchedule3[[#This Row],[Beginning
Balance]]-PaymentSchedule3[[#This Row],[Principal]],0),"")</f>
        <v>318869.97195837105</v>
      </c>
      <c r="K100" s="25">
        <f ca="1">IF(PaymentSchedule3[[#This Row],[Payment Number]]&lt;&gt;"",SUM(INDEX(PaymentSchedule3[Interest],1,1):PaymentSchedule3[[#This Row],[Interest]]),"")</f>
        <v>176592.64923548157</v>
      </c>
    </row>
    <row r="101" spans="2:11" x14ac:dyDescent="0.3">
      <c r="B101" s="23">
        <f ca="1">IF(LoanIsGood,IF(ROW()-ROW(PaymentSchedule3[[#Headers],[Payment Number]])&gt;ScheduledNumberOfPayments,"",ROW()-ROW(PaymentSchedule3[[#Headers],[Payment Number]])),"")</f>
        <v>88</v>
      </c>
      <c r="C101" s="24">
        <f ca="1">IF(PaymentSchedule3[[#This Row],[Payment Number]]&lt;&gt;"",EOMONTH(LoanStartDate,ROW(PaymentSchedule3[[#This Row],[Payment Number]])-ROW(PaymentSchedule3[[#Headers],[Payment Number]])-2)+DAY(LoanStartDate),"")</f>
        <v>48102</v>
      </c>
      <c r="D101" s="25">
        <f ca="1">IF(PaymentSchedule3[[#This Row],[Payment Number]]&lt;&gt;"",IF(ROW()-ROW(PaymentSchedule3[[#Headers],[Beginning
Balance]])=1,LoanAmount,INDEX(PaymentSchedule3[Ending
Balance],ROW()-ROW(PaymentSchedule3[[#Headers],[Beginning
Balance]])-1)),"")</f>
        <v>318869.97195837105</v>
      </c>
      <c r="E101" s="25">
        <f ca="1">IF(PaymentSchedule3[[#This Row],[Payment Number]]&lt;&gt;"",ScheduledPayment,"")</f>
        <v>2387.6169801966716</v>
      </c>
      <c r="F10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1" s="25">
        <f ca="1">IF(PaymentSchedule3[[#This Row],[Payment Number]]&lt;&gt;"",PaymentSchedule3[[#This Row],[Total
Payment]]-PaymentSchedule3[[#This Row],[Interest]],"")</f>
        <v>461.11089961484663</v>
      </c>
      <c r="I101" s="25">
        <f ca="1">IF(PaymentSchedule3[[#This Row],[Payment Number]]&lt;&gt;"",PaymentSchedule3[[#This Row],[Beginning
Balance]]*(InterestRate/PaymentsPerYear),"")</f>
        <v>1926.506080581825</v>
      </c>
      <c r="J101" s="25">
        <f ca="1">IF(PaymentSchedule3[[#This Row],[Payment Number]]&lt;&gt;"",IF(PaymentSchedule3[[#This Row],[Scheduled Payment]]+PaymentSchedule3[[#This Row],[Extra
Payment]]&lt;=PaymentSchedule3[[#This Row],[Beginning
Balance]],PaymentSchedule3[[#This Row],[Beginning
Balance]]-PaymentSchedule3[[#This Row],[Principal]],0),"")</f>
        <v>318408.86105875619</v>
      </c>
      <c r="K101" s="25">
        <f ca="1">IF(PaymentSchedule3[[#This Row],[Payment Number]]&lt;&gt;"",SUM(INDEX(PaymentSchedule3[Interest],1,1):PaymentSchedule3[[#This Row],[Interest]]),"")</f>
        <v>178519.15531606341</v>
      </c>
    </row>
    <row r="102" spans="2:11" x14ac:dyDescent="0.3">
      <c r="B102" s="23">
        <f ca="1">IF(LoanIsGood,IF(ROW()-ROW(PaymentSchedule3[[#Headers],[Payment Number]])&gt;ScheduledNumberOfPayments,"",ROW()-ROW(PaymentSchedule3[[#Headers],[Payment Number]])),"")</f>
        <v>89</v>
      </c>
      <c r="C102" s="24">
        <f ca="1">IF(PaymentSchedule3[[#This Row],[Payment Number]]&lt;&gt;"",EOMONTH(LoanStartDate,ROW(PaymentSchedule3[[#This Row],[Payment Number]])-ROW(PaymentSchedule3[[#Headers],[Payment Number]])-2)+DAY(LoanStartDate),"")</f>
        <v>48132</v>
      </c>
      <c r="D102" s="25">
        <f ca="1">IF(PaymentSchedule3[[#This Row],[Payment Number]]&lt;&gt;"",IF(ROW()-ROW(PaymentSchedule3[[#Headers],[Beginning
Balance]])=1,LoanAmount,INDEX(PaymentSchedule3[Ending
Balance],ROW()-ROW(PaymentSchedule3[[#Headers],[Beginning
Balance]])-1)),"")</f>
        <v>318408.86105875619</v>
      </c>
      <c r="E102" s="25">
        <f ca="1">IF(PaymentSchedule3[[#This Row],[Payment Number]]&lt;&gt;"",ScheduledPayment,"")</f>
        <v>2387.6169801966716</v>
      </c>
      <c r="F10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2" s="25">
        <f ca="1">IF(PaymentSchedule3[[#This Row],[Payment Number]]&lt;&gt;"",PaymentSchedule3[[#This Row],[Total
Payment]]-PaymentSchedule3[[#This Row],[Interest]],"")</f>
        <v>463.89677796668639</v>
      </c>
      <c r="I102" s="25">
        <f ca="1">IF(PaymentSchedule3[[#This Row],[Payment Number]]&lt;&gt;"",PaymentSchedule3[[#This Row],[Beginning
Balance]]*(InterestRate/PaymentsPerYear),"")</f>
        <v>1923.7202022299853</v>
      </c>
      <c r="J102" s="25">
        <f ca="1">IF(PaymentSchedule3[[#This Row],[Payment Number]]&lt;&gt;"",IF(PaymentSchedule3[[#This Row],[Scheduled Payment]]+PaymentSchedule3[[#This Row],[Extra
Payment]]&lt;=PaymentSchedule3[[#This Row],[Beginning
Balance]],PaymentSchedule3[[#This Row],[Beginning
Balance]]-PaymentSchedule3[[#This Row],[Principal]],0),"")</f>
        <v>317944.96428078949</v>
      </c>
      <c r="K102" s="25">
        <f ca="1">IF(PaymentSchedule3[[#This Row],[Payment Number]]&lt;&gt;"",SUM(INDEX(PaymentSchedule3[Interest],1,1):PaymentSchedule3[[#This Row],[Interest]]),"")</f>
        <v>180442.87551829338</v>
      </c>
    </row>
    <row r="103" spans="2:11" x14ac:dyDescent="0.3">
      <c r="B103" s="23">
        <f ca="1">IF(LoanIsGood,IF(ROW()-ROW(PaymentSchedule3[[#Headers],[Payment Number]])&gt;ScheduledNumberOfPayments,"",ROW()-ROW(PaymentSchedule3[[#Headers],[Payment Number]])),"")</f>
        <v>90</v>
      </c>
      <c r="C103" s="24">
        <f ca="1">IF(PaymentSchedule3[[#This Row],[Payment Number]]&lt;&gt;"",EOMONTH(LoanStartDate,ROW(PaymentSchedule3[[#This Row],[Payment Number]])-ROW(PaymentSchedule3[[#Headers],[Payment Number]])-2)+DAY(LoanStartDate),"")</f>
        <v>48163</v>
      </c>
      <c r="D103" s="25">
        <f ca="1">IF(PaymentSchedule3[[#This Row],[Payment Number]]&lt;&gt;"",IF(ROW()-ROW(PaymentSchedule3[[#Headers],[Beginning
Balance]])=1,LoanAmount,INDEX(PaymentSchedule3[Ending
Balance],ROW()-ROW(PaymentSchedule3[[#Headers],[Beginning
Balance]])-1)),"")</f>
        <v>317944.96428078949</v>
      </c>
      <c r="E103" s="25">
        <f ca="1">IF(PaymentSchedule3[[#This Row],[Payment Number]]&lt;&gt;"",ScheduledPayment,"")</f>
        <v>2387.6169801966716</v>
      </c>
      <c r="F10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3" s="25">
        <f ca="1">IF(PaymentSchedule3[[#This Row],[Payment Number]]&lt;&gt;"",PaymentSchedule3[[#This Row],[Total
Payment]]-PaymentSchedule3[[#This Row],[Interest]],"")</f>
        <v>466.69948766690186</v>
      </c>
      <c r="I103" s="25">
        <f ca="1">IF(PaymentSchedule3[[#This Row],[Payment Number]]&lt;&gt;"",PaymentSchedule3[[#This Row],[Beginning
Balance]]*(InterestRate/PaymentsPerYear),"")</f>
        <v>1920.9174925297698</v>
      </c>
      <c r="J103" s="25">
        <f ca="1">IF(PaymentSchedule3[[#This Row],[Payment Number]]&lt;&gt;"",IF(PaymentSchedule3[[#This Row],[Scheduled Payment]]+PaymentSchedule3[[#This Row],[Extra
Payment]]&lt;=PaymentSchedule3[[#This Row],[Beginning
Balance]],PaymentSchedule3[[#This Row],[Beginning
Balance]]-PaymentSchedule3[[#This Row],[Principal]],0),"")</f>
        <v>317478.26479312259</v>
      </c>
      <c r="K103" s="25">
        <f ca="1">IF(PaymentSchedule3[[#This Row],[Payment Number]]&lt;&gt;"",SUM(INDEX(PaymentSchedule3[Interest],1,1):PaymentSchedule3[[#This Row],[Interest]]),"")</f>
        <v>182363.79301082314</v>
      </c>
    </row>
    <row r="104" spans="2:11" x14ac:dyDescent="0.3">
      <c r="B104" s="23">
        <f ca="1">IF(LoanIsGood,IF(ROW()-ROW(PaymentSchedule3[[#Headers],[Payment Number]])&gt;ScheduledNumberOfPayments,"",ROW()-ROW(PaymentSchedule3[[#Headers],[Payment Number]])),"")</f>
        <v>91</v>
      </c>
      <c r="C104" s="24">
        <f ca="1">IF(PaymentSchedule3[[#This Row],[Payment Number]]&lt;&gt;"",EOMONTH(LoanStartDate,ROW(PaymentSchedule3[[#This Row],[Payment Number]])-ROW(PaymentSchedule3[[#Headers],[Payment Number]])-2)+DAY(LoanStartDate),"")</f>
        <v>48193</v>
      </c>
      <c r="D104" s="25">
        <f ca="1">IF(PaymentSchedule3[[#This Row],[Payment Number]]&lt;&gt;"",IF(ROW()-ROW(PaymentSchedule3[[#Headers],[Beginning
Balance]])=1,LoanAmount,INDEX(PaymentSchedule3[Ending
Balance],ROW()-ROW(PaymentSchedule3[[#Headers],[Beginning
Balance]])-1)),"")</f>
        <v>317478.26479312259</v>
      </c>
      <c r="E104" s="25">
        <f ca="1">IF(PaymentSchedule3[[#This Row],[Payment Number]]&lt;&gt;"",ScheduledPayment,"")</f>
        <v>2387.6169801966716</v>
      </c>
      <c r="F10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4" s="25">
        <f ca="1">IF(PaymentSchedule3[[#This Row],[Payment Number]]&lt;&gt;"",PaymentSchedule3[[#This Row],[Total
Payment]]-PaymentSchedule3[[#This Row],[Interest]],"")</f>
        <v>469.51913040488944</v>
      </c>
      <c r="I104" s="25">
        <f ca="1">IF(PaymentSchedule3[[#This Row],[Payment Number]]&lt;&gt;"",PaymentSchedule3[[#This Row],[Beginning
Balance]]*(InterestRate/PaymentsPerYear),"")</f>
        <v>1918.0978497917822</v>
      </c>
      <c r="J104" s="25">
        <f ca="1">IF(PaymentSchedule3[[#This Row],[Payment Number]]&lt;&gt;"",IF(PaymentSchedule3[[#This Row],[Scheduled Payment]]+PaymentSchedule3[[#This Row],[Extra
Payment]]&lt;=PaymentSchedule3[[#This Row],[Beginning
Balance]],PaymentSchedule3[[#This Row],[Beginning
Balance]]-PaymentSchedule3[[#This Row],[Principal]],0),"")</f>
        <v>317008.74566271773</v>
      </c>
      <c r="K104" s="25">
        <f ca="1">IF(PaymentSchedule3[[#This Row],[Payment Number]]&lt;&gt;"",SUM(INDEX(PaymentSchedule3[Interest],1,1):PaymentSchedule3[[#This Row],[Interest]]),"")</f>
        <v>184281.89086061492</v>
      </c>
    </row>
    <row r="105" spans="2:11" x14ac:dyDescent="0.3">
      <c r="B105" s="23">
        <f ca="1">IF(LoanIsGood,IF(ROW()-ROW(PaymentSchedule3[[#Headers],[Payment Number]])&gt;ScheduledNumberOfPayments,"",ROW()-ROW(PaymentSchedule3[[#Headers],[Payment Number]])),"")</f>
        <v>92</v>
      </c>
      <c r="C105" s="24">
        <f ca="1">IF(PaymentSchedule3[[#This Row],[Payment Number]]&lt;&gt;"",EOMONTH(LoanStartDate,ROW(PaymentSchedule3[[#This Row],[Payment Number]])-ROW(PaymentSchedule3[[#Headers],[Payment Number]])-2)+DAY(LoanStartDate),"")</f>
        <v>48224</v>
      </c>
      <c r="D105" s="25">
        <f ca="1">IF(PaymentSchedule3[[#This Row],[Payment Number]]&lt;&gt;"",IF(ROW()-ROW(PaymentSchedule3[[#Headers],[Beginning
Balance]])=1,LoanAmount,INDEX(PaymentSchedule3[Ending
Balance],ROW()-ROW(PaymentSchedule3[[#Headers],[Beginning
Balance]])-1)),"")</f>
        <v>317008.74566271773</v>
      </c>
      <c r="E105" s="25">
        <f ca="1">IF(PaymentSchedule3[[#This Row],[Payment Number]]&lt;&gt;"",ScheduledPayment,"")</f>
        <v>2387.6169801966716</v>
      </c>
      <c r="F10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5" s="25">
        <f ca="1">IF(PaymentSchedule3[[#This Row],[Payment Number]]&lt;&gt;"",PaymentSchedule3[[#This Row],[Total
Payment]]-PaymentSchedule3[[#This Row],[Interest]],"")</f>
        <v>472.35580848441873</v>
      </c>
      <c r="I105" s="25">
        <f ca="1">IF(PaymentSchedule3[[#This Row],[Payment Number]]&lt;&gt;"",PaymentSchedule3[[#This Row],[Beginning
Balance]]*(InterestRate/PaymentsPerYear),"")</f>
        <v>1915.2611717122529</v>
      </c>
      <c r="J105" s="25">
        <f ca="1">IF(PaymentSchedule3[[#This Row],[Payment Number]]&lt;&gt;"",IF(PaymentSchedule3[[#This Row],[Scheduled Payment]]+PaymentSchedule3[[#This Row],[Extra
Payment]]&lt;=PaymentSchedule3[[#This Row],[Beginning
Balance]],PaymentSchedule3[[#This Row],[Beginning
Balance]]-PaymentSchedule3[[#This Row],[Principal]],0),"")</f>
        <v>316536.3898542333</v>
      </c>
      <c r="K105" s="25">
        <f ca="1">IF(PaymentSchedule3[[#This Row],[Payment Number]]&lt;&gt;"",SUM(INDEX(PaymentSchedule3[Interest],1,1):PaymentSchedule3[[#This Row],[Interest]]),"")</f>
        <v>186197.15203232717</v>
      </c>
    </row>
    <row r="106" spans="2:11" x14ac:dyDescent="0.3">
      <c r="B106" s="23">
        <f ca="1">IF(LoanIsGood,IF(ROW()-ROW(PaymentSchedule3[[#Headers],[Payment Number]])&gt;ScheduledNumberOfPayments,"",ROW()-ROW(PaymentSchedule3[[#Headers],[Payment Number]])),"")</f>
        <v>93</v>
      </c>
      <c r="C106" s="24">
        <f ca="1">IF(PaymentSchedule3[[#This Row],[Payment Number]]&lt;&gt;"",EOMONTH(LoanStartDate,ROW(PaymentSchedule3[[#This Row],[Payment Number]])-ROW(PaymentSchedule3[[#Headers],[Payment Number]])-2)+DAY(LoanStartDate),"")</f>
        <v>48255</v>
      </c>
      <c r="D106" s="25">
        <f ca="1">IF(PaymentSchedule3[[#This Row],[Payment Number]]&lt;&gt;"",IF(ROW()-ROW(PaymentSchedule3[[#Headers],[Beginning
Balance]])=1,LoanAmount,INDEX(PaymentSchedule3[Ending
Balance],ROW()-ROW(PaymentSchedule3[[#Headers],[Beginning
Balance]])-1)),"")</f>
        <v>316536.3898542333</v>
      </c>
      <c r="E106" s="25">
        <f ca="1">IF(PaymentSchedule3[[#This Row],[Payment Number]]&lt;&gt;"",ScheduledPayment,"")</f>
        <v>2387.6169801966716</v>
      </c>
      <c r="F10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6" s="25">
        <f ca="1">IF(PaymentSchedule3[[#This Row],[Payment Number]]&lt;&gt;"",PaymentSchedule3[[#This Row],[Total
Payment]]-PaymentSchedule3[[#This Row],[Interest]],"")</f>
        <v>475.20962482734558</v>
      </c>
      <c r="I106" s="25">
        <f ca="1">IF(PaymentSchedule3[[#This Row],[Payment Number]]&lt;&gt;"",PaymentSchedule3[[#This Row],[Beginning
Balance]]*(InterestRate/PaymentsPerYear),"")</f>
        <v>1912.4073553693261</v>
      </c>
      <c r="J106" s="25">
        <f ca="1">IF(PaymentSchedule3[[#This Row],[Payment Number]]&lt;&gt;"",IF(PaymentSchedule3[[#This Row],[Scheduled Payment]]+PaymentSchedule3[[#This Row],[Extra
Payment]]&lt;=PaymentSchedule3[[#This Row],[Beginning
Balance]],PaymentSchedule3[[#This Row],[Beginning
Balance]]-PaymentSchedule3[[#This Row],[Principal]],0),"")</f>
        <v>316061.18022940593</v>
      </c>
      <c r="K106" s="25">
        <f ca="1">IF(PaymentSchedule3[[#This Row],[Payment Number]]&lt;&gt;"",SUM(INDEX(PaymentSchedule3[Interest],1,1):PaymentSchedule3[[#This Row],[Interest]]),"")</f>
        <v>188109.5593876965</v>
      </c>
    </row>
    <row r="107" spans="2:11" x14ac:dyDescent="0.3">
      <c r="B107" s="23">
        <f ca="1">IF(LoanIsGood,IF(ROW()-ROW(PaymentSchedule3[[#Headers],[Payment Number]])&gt;ScheduledNumberOfPayments,"",ROW()-ROW(PaymentSchedule3[[#Headers],[Payment Number]])),"")</f>
        <v>94</v>
      </c>
      <c r="C107" s="24">
        <f ca="1">IF(PaymentSchedule3[[#This Row],[Payment Number]]&lt;&gt;"",EOMONTH(LoanStartDate,ROW(PaymentSchedule3[[#This Row],[Payment Number]])-ROW(PaymentSchedule3[[#Headers],[Payment Number]])-2)+DAY(LoanStartDate),"")</f>
        <v>48284</v>
      </c>
      <c r="D107" s="25">
        <f ca="1">IF(PaymentSchedule3[[#This Row],[Payment Number]]&lt;&gt;"",IF(ROW()-ROW(PaymentSchedule3[[#Headers],[Beginning
Balance]])=1,LoanAmount,INDEX(PaymentSchedule3[Ending
Balance],ROW()-ROW(PaymentSchedule3[[#Headers],[Beginning
Balance]])-1)),"")</f>
        <v>316061.18022940593</v>
      </c>
      <c r="E107" s="25">
        <f ca="1">IF(PaymentSchedule3[[#This Row],[Payment Number]]&lt;&gt;"",ScheduledPayment,"")</f>
        <v>2387.6169801966716</v>
      </c>
      <c r="F10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7" s="25">
        <f ca="1">IF(PaymentSchedule3[[#This Row],[Payment Number]]&lt;&gt;"",PaymentSchedule3[[#This Row],[Total
Payment]]-PaymentSchedule3[[#This Row],[Interest]],"")</f>
        <v>478.08068297734417</v>
      </c>
      <c r="I107" s="25">
        <f ca="1">IF(PaymentSchedule3[[#This Row],[Payment Number]]&lt;&gt;"",PaymentSchedule3[[#This Row],[Beginning
Balance]]*(InterestRate/PaymentsPerYear),"")</f>
        <v>1909.5362972193275</v>
      </c>
      <c r="J107" s="25">
        <f ca="1">IF(PaymentSchedule3[[#This Row],[Payment Number]]&lt;&gt;"",IF(PaymentSchedule3[[#This Row],[Scheduled Payment]]+PaymentSchedule3[[#This Row],[Extra
Payment]]&lt;=PaymentSchedule3[[#This Row],[Beginning
Balance]],PaymentSchedule3[[#This Row],[Beginning
Balance]]-PaymentSchedule3[[#This Row],[Principal]],0),"")</f>
        <v>315583.0995464286</v>
      </c>
      <c r="K107" s="25">
        <f ca="1">IF(PaymentSchedule3[[#This Row],[Payment Number]]&lt;&gt;"",SUM(INDEX(PaymentSchedule3[Interest],1,1):PaymentSchedule3[[#This Row],[Interest]]),"")</f>
        <v>190019.09568491584</v>
      </c>
    </row>
    <row r="108" spans="2:11" x14ac:dyDescent="0.3">
      <c r="B108" s="23">
        <f ca="1">IF(LoanIsGood,IF(ROW()-ROW(PaymentSchedule3[[#Headers],[Payment Number]])&gt;ScheduledNumberOfPayments,"",ROW()-ROW(PaymentSchedule3[[#Headers],[Payment Number]])),"")</f>
        <v>95</v>
      </c>
      <c r="C108" s="24">
        <f ca="1">IF(PaymentSchedule3[[#This Row],[Payment Number]]&lt;&gt;"",EOMONTH(LoanStartDate,ROW(PaymentSchedule3[[#This Row],[Payment Number]])-ROW(PaymentSchedule3[[#Headers],[Payment Number]])-2)+DAY(LoanStartDate),"")</f>
        <v>48315</v>
      </c>
      <c r="D108" s="25">
        <f ca="1">IF(PaymentSchedule3[[#This Row],[Payment Number]]&lt;&gt;"",IF(ROW()-ROW(PaymentSchedule3[[#Headers],[Beginning
Balance]])=1,LoanAmount,INDEX(PaymentSchedule3[Ending
Balance],ROW()-ROW(PaymentSchedule3[[#Headers],[Beginning
Balance]])-1)),"")</f>
        <v>315583.0995464286</v>
      </c>
      <c r="E108" s="25">
        <f ca="1">IF(PaymentSchedule3[[#This Row],[Payment Number]]&lt;&gt;"",ScheduledPayment,"")</f>
        <v>2387.6169801966716</v>
      </c>
      <c r="F10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8" s="25">
        <f ca="1">IF(PaymentSchedule3[[#This Row],[Payment Number]]&lt;&gt;"",PaymentSchedule3[[#This Row],[Total
Payment]]-PaymentSchedule3[[#This Row],[Interest]],"")</f>
        <v>480.96908710366552</v>
      </c>
      <c r="I108" s="25">
        <f ca="1">IF(PaymentSchedule3[[#This Row],[Payment Number]]&lt;&gt;"",PaymentSchedule3[[#This Row],[Beginning
Balance]]*(InterestRate/PaymentsPerYear),"")</f>
        <v>1906.6478930930061</v>
      </c>
      <c r="J108" s="25">
        <f ca="1">IF(PaymentSchedule3[[#This Row],[Payment Number]]&lt;&gt;"",IF(PaymentSchedule3[[#This Row],[Scheduled Payment]]+PaymentSchedule3[[#This Row],[Extra
Payment]]&lt;=PaymentSchedule3[[#This Row],[Beginning
Balance]],PaymentSchedule3[[#This Row],[Beginning
Balance]]-PaymentSchedule3[[#This Row],[Principal]],0),"")</f>
        <v>315102.13045932492</v>
      </c>
      <c r="K108" s="25">
        <f ca="1">IF(PaymentSchedule3[[#This Row],[Payment Number]]&lt;&gt;"",SUM(INDEX(PaymentSchedule3[Interest],1,1):PaymentSchedule3[[#This Row],[Interest]]),"")</f>
        <v>191925.74357800884</v>
      </c>
    </row>
    <row r="109" spans="2:11" x14ac:dyDescent="0.3">
      <c r="B109" s="23">
        <f ca="1">IF(LoanIsGood,IF(ROW()-ROW(PaymentSchedule3[[#Headers],[Payment Number]])&gt;ScheduledNumberOfPayments,"",ROW()-ROW(PaymentSchedule3[[#Headers],[Payment Number]])),"")</f>
        <v>96</v>
      </c>
      <c r="C109" s="24">
        <f ca="1">IF(PaymentSchedule3[[#This Row],[Payment Number]]&lt;&gt;"",EOMONTH(LoanStartDate,ROW(PaymentSchedule3[[#This Row],[Payment Number]])-ROW(PaymentSchedule3[[#Headers],[Payment Number]])-2)+DAY(LoanStartDate),"")</f>
        <v>48345</v>
      </c>
      <c r="D109" s="25">
        <f ca="1">IF(PaymentSchedule3[[#This Row],[Payment Number]]&lt;&gt;"",IF(ROW()-ROW(PaymentSchedule3[[#Headers],[Beginning
Balance]])=1,LoanAmount,INDEX(PaymentSchedule3[Ending
Balance],ROW()-ROW(PaymentSchedule3[[#Headers],[Beginning
Balance]])-1)),"")</f>
        <v>315102.13045932492</v>
      </c>
      <c r="E109" s="25">
        <f ca="1">IF(PaymentSchedule3[[#This Row],[Payment Number]]&lt;&gt;"",ScheduledPayment,"")</f>
        <v>2387.6169801966716</v>
      </c>
      <c r="F10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0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09" s="25">
        <f ca="1">IF(PaymentSchedule3[[#This Row],[Payment Number]]&lt;&gt;"",PaymentSchedule3[[#This Row],[Total
Payment]]-PaymentSchedule3[[#This Row],[Interest]],"")</f>
        <v>483.87494200491687</v>
      </c>
      <c r="I109" s="25">
        <f ca="1">IF(PaymentSchedule3[[#This Row],[Payment Number]]&lt;&gt;"",PaymentSchedule3[[#This Row],[Beginning
Balance]]*(InterestRate/PaymentsPerYear),"")</f>
        <v>1903.7420381917548</v>
      </c>
      <c r="J109" s="25">
        <f ca="1">IF(PaymentSchedule3[[#This Row],[Payment Number]]&lt;&gt;"",IF(PaymentSchedule3[[#This Row],[Scheduled Payment]]+PaymentSchedule3[[#This Row],[Extra
Payment]]&lt;=PaymentSchedule3[[#This Row],[Beginning
Balance]],PaymentSchedule3[[#This Row],[Beginning
Balance]]-PaymentSchedule3[[#This Row],[Principal]],0),"")</f>
        <v>314618.25551732001</v>
      </c>
      <c r="K109" s="25">
        <f ca="1">IF(PaymentSchedule3[[#This Row],[Payment Number]]&lt;&gt;"",SUM(INDEX(PaymentSchedule3[Interest],1,1):PaymentSchedule3[[#This Row],[Interest]]),"")</f>
        <v>193829.4856162006</v>
      </c>
    </row>
    <row r="110" spans="2:11" x14ac:dyDescent="0.3">
      <c r="B110" s="23">
        <f ca="1">IF(LoanIsGood,IF(ROW()-ROW(PaymentSchedule3[[#Headers],[Payment Number]])&gt;ScheduledNumberOfPayments,"",ROW()-ROW(PaymentSchedule3[[#Headers],[Payment Number]])),"")</f>
        <v>97</v>
      </c>
      <c r="C110" s="24">
        <f ca="1">IF(PaymentSchedule3[[#This Row],[Payment Number]]&lt;&gt;"",EOMONTH(LoanStartDate,ROW(PaymentSchedule3[[#This Row],[Payment Number]])-ROW(PaymentSchedule3[[#Headers],[Payment Number]])-2)+DAY(LoanStartDate),"")</f>
        <v>48376</v>
      </c>
      <c r="D110" s="25">
        <f ca="1">IF(PaymentSchedule3[[#This Row],[Payment Number]]&lt;&gt;"",IF(ROW()-ROW(PaymentSchedule3[[#Headers],[Beginning
Balance]])=1,LoanAmount,INDEX(PaymentSchedule3[Ending
Balance],ROW()-ROW(PaymentSchedule3[[#Headers],[Beginning
Balance]])-1)),"")</f>
        <v>314618.25551732001</v>
      </c>
      <c r="E110" s="25">
        <f ca="1">IF(PaymentSchedule3[[#This Row],[Payment Number]]&lt;&gt;"",ScheduledPayment,"")</f>
        <v>2387.6169801966716</v>
      </c>
      <c r="F11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0" s="25">
        <f ca="1">IF(PaymentSchedule3[[#This Row],[Payment Number]]&lt;&gt;"",PaymentSchedule3[[#This Row],[Total
Payment]]-PaymentSchedule3[[#This Row],[Interest]],"")</f>
        <v>486.7983531128632</v>
      </c>
      <c r="I110" s="25">
        <f ca="1">IF(PaymentSchedule3[[#This Row],[Payment Number]]&lt;&gt;"",PaymentSchedule3[[#This Row],[Beginning
Balance]]*(InterestRate/PaymentsPerYear),"")</f>
        <v>1900.8186270838085</v>
      </c>
      <c r="J110" s="25">
        <f ca="1">IF(PaymentSchedule3[[#This Row],[Payment Number]]&lt;&gt;"",IF(PaymentSchedule3[[#This Row],[Scheduled Payment]]+PaymentSchedule3[[#This Row],[Extra
Payment]]&lt;=PaymentSchedule3[[#This Row],[Beginning
Balance]],PaymentSchedule3[[#This Row],[Beginning
Balance]]-PaymentSchedule3[[#This Row],[Principal]],0),"")</f>
        <v>314131.45716420712</v>
      </c>
      <c r="K110" s="25">
        <f ca="1">IF(PaymentSchedule3[[#This Row],[Payment Number]]&lt;&gt;"",SUM(INDEX(PaymentSchedule3[Interest],1,1):PaymentSchedule3[[#This Row],[Interest]]),"")</f>
        <v>195730.30424328442</v>
      </c>
    </row>
    <row r="111" spans="2:11" x14ac:dyDescent="0.3">
      <c r="B111" s="23">
        <f ca="1">IF(LoanIsGood,IF(ROW()-ROW(PaymentSchedule3[[#Headers],[Payment Number]])&gt;ScheduledNumberOfPayments,"",ROW()-ROW(PaymentSchedule3[[#Headers],[Payment Number]])),"")</f>
        <v>98</v>
      </c>
      <c r="C111" s="24">
        <f ca="1">IF(PaymentSchedule3[[#This Row],[Payment Number]]&lt;&gt;"",EOMONTH(LoanStartDate,ROW(PaymentSchedule3[[#This Row],[Payment Number]])-ROW(PaymentSchedule3[[#Headers],[Payment Number]])-2)+DAY(LoanStartDate),"")</f>
        <v>48406</v>
      </c>
      <c r="D111" s="25">
        <f ca="1">IF(PaymentSchedule3[[#This Row],[Payment Number]]&lt;&gt;"",IF(ROW()-ROW(PaymentSchedule3[[#Headers],[Beginning
Balance]])=1,LoanAmount,INDEX(PaymentSchedule3[Ending
Balance],ROW()-ROW(PaymentSchedule3[[#Headers],[Beginning
Balance]])-1)),"")</f>
        <v>314131.45716420712</v>
      </c>
      <c r="E111" s="25">
        <f ca="1">IF(PaymentSchedule3[[#This Row],[Payment Number]]&lt;&gt;"",ScheduledPayment,"")</f>
        <v>2387.6169801966716</v>
      </c>
      <c r="F11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1" s="25">
        <f ca="1">IF(PaymentSchedule3[[#This Row],[Payment Number]]&lt;&gt;"",PaymentSchedule3[[#This Row],[Total
Payment]]-PaymentSchedule3[[#This Row],[Interest]],"")</f>
        <v>489.7394264962536</v>
      </c>
      <c r="I111" s="25">
        <f ca="1">IF(PaymentSchedule3[[#This Row],[Payment Number]]&lt;&gt;"",PaymentSchedule3[[#This Row],[Beginning
Balance]]*(InterestRate/PaymentsPerYear),"")</f>
        <v>1897.877553700418</v>
      </c>
      <c r="J111" s="25">
        <f ca="1">IF(PaymentSchedule3[[#This Row],[Payment Number]]&lt;&gt;"",IF(PaymentSchedule3[[#This Row],[Scheduled Payment]]+PaymentSchedule3[[#This Row],[Extra
Payment]]&lt;=PaymentSchedule3[[#This Row],[Beginning
Balance]],PaymentSchedule3[[#This Row],[Beginning
Balance]]-PaymentSchedule3[[#This Row],[Principal]],0),"")</f>
        <v>313641.71773771086</v>
      </c>
      <c r="K111" s="25">
        <f ca="1">IF(PaymentSchedule3[[#This Row],[Payment Number]]&lt;&gt;"",SUM(INDEX(PaymentSchedule3[Interest],1,1):PaymentSchedule3[[#This Row],[Interest]]),"")</f>
        <v>197628.18179698483</v>
      </c>
    </row>
    <row r="112" spans="2:11" x14ac:dyDescent="0.3">
      <c r="B112" s="23">
        <f ca="1">IF(LoanIsGood,IF(ROW()-ROW(PaymentSchedule3[[#Headers],[Payment Number]])&gt;ScheduledNumberOfPayments,"",ROW()-ROW(PaymentSchedule3[[#Headers],[Payment Number]])),"")</f>
        <v>99</v>
      </c>
      <c r="C112" s="24">
        <f ca="1">IF(PaymentSchedule3[[#This Row],[Payment Number]]&lt;&gt;"",EOMONTH(LoanStartDate,ROW(PaymentSchedule3[[#This Row],[Payment Number]])-ROW(PaymentSchedule3[[#Headers],[Payment Number]])-2)+DAY(LoanStartDate),"")</f>
        <v>48437</v>
      </c>
      <c r="D112" s="25">
        <f ca="1">IF(PaymentSchedule3[[#This Row],[Payment Number]]&lt;&gt;"",IF(ROW()-ROW(PaymentSchedule3[[#Headers],[Beginning
Balance]])=1,LoanAmount,INDEX(PaymentSchedule3[Ending
Balance],ROW()-ROW(PaymentSchedule3[[#Headers],[Beginning
Balance]])-1)),"")</f>
        <v>313641.71773771086</v>
      </c>
      <c r="E112" s="25">
        <f ca="1">IF(PaymentSchedule3[[#This Row],[Payment Number]]&lt;&gt;"",ScheduledPayment,"")</f>
        <v>2387.6169801966716</v>
      </c>
      <c r="F11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2" s="25">
        <f ca="1">IF(PaymentSchedule3[[#This Row],[Payment Number]]&lt;&gt;"",PaymentSchedule3[[#This Row],[Total
Payment]]-PaymentSchedule3[[#This Row],[Interest]],"")</f>
        <v>492.69826886466853</v>
      </c>
      <c r="I112" s="25">
        <f ca="1">IF(PaymentSchedule3[[#This Row],[Payment Number]]&lt;&gt;"",PaymentSchedule3[[#This Row],[Beginning
Balance]]*(InterestRate/PaymentsPerYear),"")</f>
        <v>1894.9187113320031</v>
      </c>
      <c r="J112" s="25">
        <f ca="1">IF(PaymentSchedule3[[#This Row],[Payment Number]]&lt;&gt;"",IF(PaymentSchedule3[[#This Row],[Scheduled Payment]]+PaymentSchedule3[[#This Row],[Extra
Payment]]&lt;=PaymentSchedule3[[#This Row],[Beginning
Balance]],PaymentSchedule3[[#This Row],[Beginning
Balance]]-PaymentSchedule3[[#This Row],[Principal]],0),"")</f>
        <v>313149.01946884621</v>
      </c>
      <c r="K112" s="25">
        <f ca="1">IF(PaymentSchedule3[[#This Row],[Payment Number]]&lt;&gt;"",SUM(INDEX(PaymentSchedule3[Interest],1,1):PaymentSchedule3[[#This Row],[Interest]]),"")</f>
        <v>199523.10050831683</v>
      </c>
    </row>
    <row r="113" spans="2:11" x14ac:dyDescent="0.3">
      <c r="B113" s="23">
        <f ca="1">IF(LoanIsGood,IF(ROW()-ROW(PaymentSchedule3[[#Headers],[Payment Number]])&gt;ScheduledNumberOfPayments,"",ROW()-ROW(PaymentSchedule3[[#Headers],[Payment Number]])),"")</f>
        <v>100</v>
      </c>
      <c r="C113" s="24">
        <f ca="1">IF(PaymentSchedule3[[#This Row],[Payment Number]]&lt;&gt;"",EOMONTH(LoanStartDate,ROW(PaymentSchedule3[[#This Row],[Payment Number]])-ROW(PaymentSchedule3[[#Headers],[Payment Number]])-2)+DAY(LoanStartDate),"")</f>
        <v>48468</v>
      </c>
      <c r="D113" s="25">
        <f ca="1">IF(PaymentSchedule3[[#This Row],[Payment Number]]&lt;&gt;"",IF(ROW()-ROW(PaymentSchedule3[[#Headers],[Beginning
Balance]])=1,LoanAmount,INDEX(PaymentSchedule3[Ending
Balance],ROW()-ROW(PaymentSchedule3[[#Headers],[Beginning
Balance]])-1)),"")</f>
        <v>313149.01946884621</v>
      </c>
      <c r="E113" s="25">
        <f ca="1">IF(PaymentSchedule3[[#This Row],[Payment Number]]&lt;&gt;"",ScheduledPayment,"")</f>
        <v>2387.6169801966716</v>
      </c>
      <c r="F11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3" s="25">
        <f ca="1">IF(PaymentSchedule3[[#This Row],[Payment Number]]&lt;&gt;"",PaymentSchedule3[[#This Row],[Total
Payment]]-PaymentSchedule3[[#This Row],[Interest]],"")</f>
        <v>495.67498757239241</v>
      </c>
      <c r="I113" s="25">
        <f ca="1">IF(PaymentSchedule3[[#This Row],[Payment Number]]&lt;&gt;"",PaymentSchedule3[[#This Row],[Beginning
Balance]]*(InterestRate/PaymentsPerYear),"")</f>
        <v>1891.9419926242792</v>
      </c>
      <c r="J113" s="25">
        <f ca="1">IF(PaymentSchedule3[[#This Row],[Payment Number]]&lt;&gt;"",IF(PaymentSchedule3[[#This Row],[Scheduled Payment]]+PaymentSchedule3[[#This Row],[Extra
Payment]]&lt;=PaymentSchedule3[[#This Row],[Beginning
Balance]],PaymentSchedule3[[#This Row],[Beginning
Balance]]-PaymentSchedule3[[#This Row],[Principal]],0),"")</f>
        <v>312653.34448127379</v>
      </c>
      <c r="K113" s="25">
        <f ca="1">IF(PaymentSchedule3[[#This Row],[Payment Number]]&lt;&gt;"",SUM(INDEX(PaymentSchedule3[Interest],1,1):PaymentSchedule3[[#This Row],[Interest]]),"")</f>
        <v>201415.04250094111</v>
      </c>
    </row>
    <row r="114" spans="2:11" x14ac:dyDescent="0.3">
      <c r="B114" s="23">
        <f ca="1">IF(LoanIsGood,IF(ROW()-ROW(PaymentSchedule3[[#Headers],[Payment Number]])&gt;ScheduledNumberOfPayments,"",ROW()-ROW(PaymentSchedule3[[#Headers],[Payment Number]])),"")</f>
        <v>101</v>
      </c>
      <c r="C114" s="24">
        <f ca="1">IF(PaymentSchedule3[[#This Row],[Payment Number]]&lt;&gt;"",EOMONTH(LoanStartDate,ROW(PaymentSchedule3[[#This Row],[Payment Number]])-ROW(PaymentSchedule3[[#Headers],[Payment Number]])-2)+DAY(LoanStartDate),"")</f>
        <v>48498</v>
      </c>
      <c r="D114" s="25">
        <f ca="1">IF(PaymentSchedule3[[#This Row],[Payment Number]]&lt;&gt;"",IF(ROW()-ROW(PaymentSchedule3[[#Headers],[Beginning
Balance]])=1,LoanAmount,INDEX(PaymentSchedule3[Ending
Balance],ROW()-ROW(PaymentSchedule3[[#Headers],[Beginning
Balance]])-1)),"")</f>
        <v>312653.34448127379</v>
      </c>
      <c r="E114" s="25">
        <f ca="1">IF(PaymentSchedule3[[#This Row],[Payment Number]]&lt;&gt;"",ScheduledPayment,"")</f>
        <v>2387.6169801966716</v>
      </c>
      <c r="F11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4" s="25">
        <f ca="1">IF(PaymentSchedule3[[#This Row],[Payment Number]]&lt;&gt;"",PaymentSchedule3[[#This Row],[Total
Payment]]-PaymentSchedule3[[#This Row],[Interest]],"")</f>
        <v>498.66969062230919</v>
      </c>
      <c r="I114" s="25">
        <f ca="1">IF(PaymentSchedule3[[#This Row],[Payment Number]]&lt;&gt;"",PaymentSchedule3[[#This Row],[Beginning
Balance]]*(InterestRate/PaymentsPerYear),"")</f>
        <v>1888.9472895743625</v>
      </c>
      <c r="J114" s="25">
        <f ca="1">IF(PaymentSchedule3[[#This Row],[Payment Number]]&lt;&gt;"",IF(PaymentSchedule3[[#This Row],[Scheduled Payment]]+PaymentSchedule3[[#This Row],[Extra
Payment]]&lt;=PaymentSchedule3[[#This Row],[Beginning
Balance]],PaymentSchedule3[[#This Row],[Beginning
Balance]]-PaymentSchedule3[[#This Row],[Principal]],0),"")</f>
        <v>312154.67479065148</v>
      </c>
      <c r="K114" s="25">
        <f ca="1">IF(PaymentSchedule3[[#This Row],[Payment Number]]&lt;&gt;"",SUM(INDEX(PaymentSchedule3[Interest],1,1):PaymentSchedule3[[#This Row],[Interest]]),"")</f>
        <v>203303.98979051548</v>
      </c>
    </row>
    <row r="115" spans="2:11" x14ac:dyDescent="0.3">
      <c r="B115" s="23">
        <f ca="1">IF(LoanIsGood,IF(ROW()-ROW(PaymentSchedule3[[#Headers],[Payment Number]])&gt;ScheduledNumberOfPayments,"",ROW()-ROW(PaymentSchedule3[[#Headers],[Payment Number]])),"")</f>
        <v>102</v>
      </c>
      <c r="C115" s="24">
        <f ca="1">IF(PaymentSchedule3[[#This Row],[Payment Number]]&lt;&gt;"",EOMONTH(LoanStartDate,ROW(PaymentSchedule3[[#This Row],[Payment Number]])-ROW(PaymentSchedule3[[#Headers],[Payment Number]])-2)+DAY(LoanStartDate),"")</f>
        <v>48529</v>
      </c>
      <c r="D115" s="25">
        <f ca="1">IF(PaymentSchedule3[[#This Row],[Payment Number]]&lt;&gt;"",IF(ROW()-ROW(PaymentSchedule3[[#Headers],[Beginning
Balance]])=1,LoanAmount,INDEX(PaymentSchedule3[Ending
Balance],ROW()-ROW(PaymentSchedule3[[#Headers],[Beginning
Balance]])-1)),"")</f>
        <v>312154.67479065148</v>
      </c>
      <c r="E115" s="25">
        <f ca="1">IF(PaymentSchedule3[[#This Row],[Payment Number]]&lt;&gt;"",ScheduledPayment,"")</f>
        <v>2387.6169801966716</v>
      </c>
      <c r="F11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5" s="25">
        <f ca="1">IF(PaymentSchedule3[[#This Row],[Payment Number]]&lt;&gt;"",PaymentSchedule3[[#This Row],[Total
Payment]]-PaymentSchedule3[[#This Row],[Interest]],"")</f>
        <v>501.6824866698189</v>
      </c>
      <c r="I115" s="25">
        <f ca="1">IF(PaymentSchedule3[[#This Row],[Payment Number]]&lt;&gt;"",PaymentSchedule3[[#This Row],[Beginning
Balance]]*(InterestRate/PaymentsPerYear),"")</f>
        <v>1885.9344935268527</v>
      </c>
      <c r="J115" s="25">
        <f ca="1">IF(PaymentSchedule3[[#This Row],[Payment Number]]&lt;&gt;"",IF(PaymentSchedule3[[#This Row],[Scheduled Payment]]+PaymentSchedule3[[#This Row],[Extra
Payment]]&lt;=PaymentSchedule3[[#This Row],[Beginning
Balance]],PaymentSchedule3[[#This Row],[Beginning
Balance]]-PaymentSchedule3[[#This Row],[Principal]],0),"")</f>
        <v>311652.99230398168</v>
      </c>
      <c r="K115" s="25">
        <f ca="1">IF(PaymentSchedule3[[#This Row],[Payment Number]]&lt;&gt;"",SUM(INDEX(PaymentSchedule3[Interest],1,1):PaymentSchedule3[[#This Row],[Interest]]),"")</f>
        <v>205189.92428404232</v>
      </c>
    </row>
    <row r="116" spans="2:11" x14ac:dyDescent="0.3">
      <c r="B116" s="23">
        <f ca="1">IF(LoanIsGood,IF(ROW()-ROW(PaymentSchedule3[[#Headers],[Payment Number]])&gt;ScheduledNumberOfPayments,"",ROW()-ROW(PaymentSchedule3[[#Headers],[Payment Number]])),"")</f>
        <v>103</v>
      </c>
      <c r="C116" s="24">
        <f ca="1">IF(PaymentSchedule3[[#This Row],[Payment Number]]&lt;&gt;"",EOMONTH(LoanStartDate,ROW(PaymentSchedule3[[#This Row],[Payment Number]])-ROW(PaymentSchedule3[[#Headers],[Payment Number]])-2)+DAY(LoanStartDate),"")</f>
        <v>48559</v>
      </c>
      <c r="D116" s="25">
        <f ca="1">IF(PaymentSchedule3[[#This Row],[Payment Number]]&lt;&gt;"",IF(ROW()-ROW(PaymentSchedule3[[#Headers],[Beginning
Balance]])=1,LoanAmount,INDEX(PaymentSchedule3[Ending
Balance],ROW()-ROW(PaymentSchedule3[[#Headers],[Beginning
Balance]])-1)),"")</f>
        <v>311652.99230398168</v>
      </c>
      <c r="E116" s="25">
        <f ca="1">IF(PaymentSchedule3[[#This Row],[Payment Number]]&lt;&gt;"",ScheduledPayment,"")</f>
        <v>2387.6169801966716</v>
      </c>
      <c r="F11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6" s="25">
        <f ca="1">IF(PaymentSchedule3[[#This Row],[Payment Number]]&lt;&gt;"",PaymentSchedule3[[#This Row],[Total
Payment]]-PaymentSchedule3[[#This Row],[Interest]],"")</f>
        <v>504.71348502678234</v>
      </c>
      <c r="I116" s="25">
        <f ca="1">IF(PaymentSchedule3[[#This Row],[Payment Number]]&lt;&gt;"",PaymentSchedule3[[#This Row],[Beginning
Balance]]*(InterestRate/PaymentsPerYear),"")</f>
        <v>1882.9034951698893</v>
      </c>
      <c r="J116" s="25">
        <f ca="1">IF(PaymentSchedule3[[#This Row],[Payment Number]]&lt;&gt;"",IF(PaymentSchedule3[[#This Row],[Scheduled Payment]]+PaymentSchedule3[[#This Row],[Extra
Payment]]&lt;=PaymentSchedule3[[#This Row],[Beginning
Balance]],PaymentSchedule3[[#This Row],[Beginning
Balance]]-PaymentSchedule3[[#This Row],[Principal]],0),"")</f>
        <v>311148.27881895489</v>
      </c>
      <c r="K116" s="25">
        <f ca="1">IF(PaymentSchedule3[[#This Row],[Payment Number]]&lt;&gt;"",SUM(INDEX(PaymentSchedule3[Interest],1,1):PaymentSchedule3[[#This Row],[Interest]]),"")</f>
        <v>207072.82777921221</v>
      </c>
    </row>
    <row r="117" spans="2:11" x14ac:dyDescent="0.3">
      <c r="B117" s="23">
        <f ca="1">IF(LoanIsGood,IF(ROW()-ROW(PaymentSchedule3[[#Headers],[Payment Number]])&gt;ScheduledNumberOfPayments,"",ROW()-ROW(PaymentSchedule3[[#Headers],[Payment Number]])),"")</f>
        <v>104</v>
      </c>
      <c r="C117" s="24">
        <f ca="1">IF(PaymentSchedule3[[#This Row],[Payment Number]]&lt;&gt;"",EOMONTH(LoanStartDate,ROW(PaymentSchedule3[[#This Row],[Payment Number]])-ROW(PaymentSchedule3[[#Headers],[Payment Number]])-2)+DAY(LoanStartDate),"")</f>
        <v>48590</v>
      </c>
      <c r="D117" s="25">
        <f ca="1">IF(PaymentSchedule3[[#This Row],[Payment Number]]&lt;&gt;"",IF(ROW()-ROW(PaymentSchedule3[[#Headers],[Beginning
Balance]])=1,LoanAmount,INDEX(PaymentSchedule3[Ending
Balance],ROW()-ROW(PaymentSchedule3[[#Headers],[Beginning
Balance]])-1)),"")</f>
        <v>311148.27881895489</v>
      </c>
      <c r="E117" s="25">
        <f ca="1">IF(PaymentSchedule3[[#This Row],[Payment Number]]&lt;&gt;"",ScheduledPayment,"")</f>
        <v>2387.6169801966716</v>
      </c>
      <c r="F11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7" s="25">
        <f ca="1">IF(PaymentSchedule3[[#This Row],[Payment Number]]&lt;&gt;"",PaymentSchedule3[[#This Row],[Total
Payment]]-PaymentSchedule3[[#This Row],[Interest]],"")</f>
        <v>507.76279566548601</v>
      </c>
      <c r="I117" s="25">
        <f ca="1">IF(PaymentSchedule3[[#This Row],[Payment Number]]&lt;&gt;"",PaymentSchedule3[[#This Row],[Beginning
Balance]]*(InterestRate/PaymentsPerYear),"")</f>
        <v>1879.8541845311856</v>
      </c>
      <c r="J117" s="25">
        <f ca="1">IF(PaymentSchedule3[[#This Row],[Payment Number]]&lt;&gt;"",IF(PaymentSchedule3[[#This Row],[Scheduled Payment]]+PaymentSchedule3[[#This Row],[Extra
Payment]]&lt;=PaymentSchedule3[[#This Row],[Beginning
Balance]],PaymentSchedule3[[#This Row],[Beginning
Balance]]-PaymentSchedule3[[#This Row],[Principal]],0),"")</f>
        <v>310640.51602328941</v>
      </c>
      <c r="K117" s="25">
        <f ca="1">IF(PaymentSchedule3[[#This Row],[Payment Number]]&lt;&gt;"",SUM(INDEX(PaymentSchedule3[Interest],1,1):PaymentSchedule3[[#This Row],[Interest]]),"")</f>
        <v>208952.68196374341</v>
      </c>
    </row>
    <row r="118" spans="2:11" x14ac:dyDescent="0.3">
      <c r="B118" s="23">
        <f ca="1">IF(LoanIsGood,IF(ROW()-ROW(PaymentSchedule3[[#Headers],[Payment Number]])&gt;ScheduledNumberOfPayments,"",ROW()-ROW(PaymentSchedule3[[#Headers],[Payment Number]])),"")</f>
        <v>105</v>
      </c>
      <c r="C118" s="24">
        <f ca="1">IF(PaymentSchedule3[[#This Row],[Payment Number]]&lt;&gt;"",EOMONTH(LoanStartDate,ROW(PaymentSchedule3[[#This Row],[Payment Number]])-ROW(PaymentSchedule3[[#Headers],[Payment Number]])-2)+DAY(LoanStartDate),"")</f>
        <v>48621</v>
      </c>
      <c r="D118" s="25">
        <f ca="1">IF(PaymentSchedule3[[#This Row],[Payment Number]]&lt;&gt;"",IF(ROW()-ROW(PaymentSchedule3[[#Headers],[Beginning
Balance]])=1,LoanAmount,INDEX(PaymentSchedule3[Ending
Balance],ROW()-ROW(PaymentSchedule3[[#Headers],[Beginning
Balance]])-1)),"")</f>
        <v>310640.51602328941</v>
      </c>
      <c r="E118" s="25">
        <f ca="1">IF(PaymentSchedule3[[#This Row],[Payment Number]]&lt;&gt;"",ScheduledPayment,"")</f>
        <v>2387.6169801966716</v>
      </c>
      <c r="F1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8" s="25">
        <f ca="1">IF(PaymentSchedule3[[#This Row],[Payment Number]]&lt;&gt;"",PaymentSchedule3[[#This Row],[Total
Payment]]-PaymentSchedule3[[#This Row],[Interest]],"")</f>
        <v>510.83052922263141</v>
      </c>
      <c r="I118" s="25">
        <f ca="1">IF(PaymentSchedule3[[#This Row],[Payment Number]]&lt;&gt;"",PaymentSchedule3[[#This Row],[Beginning
Balance]]*(InterestRate/PaymentsPerYear),"")</f>
        <v>1876.7864509740402</v>
      </c>
      <c r="J118" s="25">
        <f ca="1">IF(PaymentSchedule3[[#This Row],[Payment Number]]&lt;&gt;"",IF(PaymentSchedule3[[#This Row],[Scheduled Payment]]+PaymentSchedule3[[#This Row],[Extra
Payment]]&lt;=PaymentSchedule3[[#This Row],[Beginning
Balance]],PaymentSchedule3[[#This Row],[Beginning
Balance]]-PaymentSchedule3[[#This Row],[Principal]],0),"")</f>
        <v>310129.6854940668</v>
      </c>
      <c r="K118" s="25">
        <f ca="1">IF(PaymentSchedule3[[#This Row],[Payment Number]]&lt;&gt;"",SUM(INDEX(PaymentSchedule3[Interest],1,1):PaymentSchedule3[[#This Row],[Interest]]),"")</f>
        <v>210829.46841471744</v>
      </c>
    </row>
    <row r="119" spans="2:11" x14ac:dyDescent="0.3">
      <c r="B119" s="23">
        <f ca="1">IF(LoanIsGood,IF(ROW()-ROW(PaymentSchedule3[[#Headers],[Payment Number]])&gt;ScheduledNumberOfPayments,"",ROW()-ROW(PaymentSchedule3[[#Headers],[Payment Number]])),"")</f>
        <v>106</v>
      </c>
      <c r="C119" s="24">
        <f ca="1">IF(PaymentSchedule3[[#This Row],[Payment Number]]&lt;&gt;"",EOMONTH(LoanStartDate,ROW(PaymentSchedule3[[#This Row],[Payment Number]])-ROW(PaymentSchedule3[[#Headers],[Payment Number]])-2)+DAY(LoanStartDate),"")</f>
        <v>48649</v>
      </c>
      <c r="D119" s="25">
        <f ca="1">IF(PaymentSchedule3[[#This Row],[Payment Number]]&lt;&gt;"",IF(ROW()-ROW(PaymentSchedule3[[#Headers],[Beginning
Balance]])=1,LoanAmount,INDEX(PaymentSchedule3[Ending
Balance],ROW()-ROW(PaymentSchedule3[[#Headers],[Beginning
Balance]])-1)),"")</f>
        <v>310129.6854940668</v>
      </c>
      <c r="E119" s="25">
        <f ca="1">IF(PaymentSchedule3[[#This Row],[Payment Number]]&lt;&gt;"",ScheduledPayment,"")</f>
        <v>2387.6169801966716</v>
      </c>
      <c r="F1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19" s="25">
        <f ca="1">IF(PaymentSchedule3[[#This Row],[Payment Number]]&lt;&gt;"",PaymentSchedule3[[#This Row],[Total
Payment]]-PaymentSchedule3[[#This Row],[Interest]],"")</f>
        <v>513.91679700335135</v>
      </c>
      <c r="I119" s="25">
        <f ca="1">IF(PaymentSchedule3[[#This Row],[Payment Number]]&lt;&gt;"",PaymentSchedule3[[#This Row],[Beginning
Balance]]*(InterestRate/PaymentsPerYear),"")</f>
        <v>1873.7001831933203</v>
      </c>
      <c r="J119" s="25">
        <f ca="1">IF(PaymentSchedule3[[#This Row],[Payment Number]]&lt;&gt;"",IF(PaymentSchedule3[[#This Row],[Scheduled Payment]]+PaymentSchedule3[[#This Row],[Extra
Payment]]&lt;=PaymentSchedule3[[#This Row],[Beginning
Balance]],PaymentSchedule3[[#This Row],[Beginning
Balance]]-PaymentSchedule3[[#This Row],[Principal]],0),"")</f>
        <v>309615.76869706344</v>
      </c>
      <c r="K119" s="25">
        <f ca="1">IF(PaymentSchedule3[[#This Row],[Payment Number]]&lt;&gt;"",SUM(INDEX(PaymentSchedule3[Interest],1,1):PaymentSchedule3[[#This Row],[Interest]]),"")</f>
        <v>212703.16859791076</v>
      </c>
    </row>
    <row r="120" spans="2:11" x14ac:dyDescent="0.3">
      <c r="B120" s="23">
        <f ca="1">IF(LoanIsGood,IF(ROW()-ROW(PaymentSchedule3[[#Headers],[Payment Number]])&gt;ScheduledNumberOfPayments,"",ROW()-ROW(PaymentSchedule3[[#Headers],[Payment Number]])),"")</f>
        <v>107</v>
      </c>
      <c r="C120" s="24">
        <f ca="1">IF(PaymentSchedule3[[#This Row],[Payment Number]]&lt;&gt;"",EOMONTH(LoanStartDate,ROW(PaymentSchedule3[[#This Row],[Payment Number]])-ROW(PaymentSchedule3[[#Headers],[Payment Number]])-2)+DAY(LoanStartDate),"")</f>
        <v>48680</v>
      </c>
      <c r="D120" s="25">
        <f ca="1">IF(PaymentSchedule3[[#This Row],[Payment Number]]&lt;&gt;"",IF(ROW()-ROW(PaymentSchedule3[[#Headers],[Beginning
Balance]])=1,LoanAmount,INDEX(PaymentSchedule3[Ending
Balance],ROW()-ROW(PaymentSchedule3[[#Headers],[Beginning
Balance]])-1)),"")</f>
        <v>309615.76869706344</v>
      </c>
      <c r="E120" s="25">
        <f ca="1">IF(PaymentSchedule3[[#This Row],[Payment Number]]&lt;&gt;"",ScheduledPayment,"")</f>
        <v>2387.6169801966716</v>
      </c>
      <c r="F1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0" s="25">
        <f ca="1">IF(PaymentSchedule3[[#This Row],[Payment Number]]&lt;&gt;"",PaymentSchedule3[[#This Row],[Total
Payment]]-PaymentSchedule3[[#This Row],[Interest]],"")</f>
        <v>517.02171098524673</v>
      </c>
      <c r="I120" s="25">
        <f ca="1">IF(PaymentSchedule3[[#This Row],[Payment Number]]&lt;&gt;"",PaymentSchedule3[[#This Row],[Beginning
Balance]]*(InterestRate/PaymentsPerYear),"")</f>
        <v>1870.5952692114249</v>
      </c>
      <c r="J120" s="25">
        <f ca="1">IF(PaymentSchedule3[[#This Row],[Payment Number]]&lt;&gt;"",IF(PaymentSchedule3[[#This Row],[Scheduled Payment]]+PaymentSchedule3[[#This Row],[Extra
Payment]]&lt;=PaymentSchedule3[[#This Row],[Beginning
Balance]],PaymentSchedule3[[#This Row],[Beginning
Balance]]-PaymentSchedule3[[#This Row],[Principal]],0),"")</f>
        <v>309098.74698607821</v>
      </c>
      <c r="K120" s="25">
        <f ca="1">IF(PaymentSchedule3[[#This Row],[Payment Number]]&lt;&gt;"",SUM(INDEX(PaymentSchedule3[Interest],1,1):PaymentSchedule3[[#This Row],[Interest]]),"")</f>
        <v>214573.76386712218</v>
      </c>
    </row>
    <row r="121" spans="2:11" x14ac:dyDescent="0.3">
      <c r="B121" s="23">
        <f ca="1">IF(LoanIsGood,IF(ROW()-ROW(PaymentSchedule3[[#Headers],[Payment Number]])&gt;ScheduledNumberOfPayments,"",ROW()-ROW(PaymentSchedule3[[#Headers],[Payment Number]])),"")</f>
        <v>108</v>
      </c>
      <c r="C121" s="24">
        <f ca="1">IF(PaymentSchedule3[[#This Row],[Payment Number]]&lt;&gt;"",EOMONTH(LoanStartDate,ROW(PaymentSchedule3[[#This Row],[Payment Number]])-ROW(PaymentSchedule3[[#Headers],[Payment Number]])-2)+DAY(LoanStartDate),"")</f>
        <v>48710</v>
      </c>
      <c r="D121" s="25">
        <f ca="1">IF(PaymentSchedule3[[#This Row],[Payment Number]]&lt;&gt;"",IF(ROW()-ROW(PaymentSchedule3[[#Headers],[Beginning
Balance]])=1,LoanAmount,INDEX(PaymentSchedule3[Ending
Balance],ROW()-ROW(PaymentSchedule3[[#Headers],[Beginning
Balance]])-1)),"")</f>
        <v>309098.74698607821</v>
      </c>
      <c r="E121" s="25">
        <f ca="1">IF(PaymentSchedule3[[#This Row],[Payment Number]]&lt;&gt;"",ScheduledPayment,"")</f>
        <v>2387.6169801966716</v>
      </c>
      <c r="F1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1" s="25">
        <f ca="1">IF(PaymentSchedule3[[#This Row],[Payment Number]]&lt;&gt;"",PaymentSchedule3[[#This Row],[Total
Payment]]-PaymentSchedule3[[#This Row],[Interest]],"")</f>
        <v>520.14538382244905</v>
      </c>
      <c r="I121" s="25">
        <f ca="1">IF(PaymentSchedule3[[#This Row],[Payment Number]]&lt;&gt;"",PaymentSchedule3[[#This Row],[Beginning
Balance]]*(InterestRate/PaymentsPerYear),"")</f>
        <v>1867.4715963742226</v>
      </c>
      <c r="J121" s="25">
        <f ca="1">IF(PaymentSchedule3[[#This Row],[Payment Number]]&lt;&gt;"",IF(PaymentSchedule3[[#This Row],[Scheduled Payment]]+PaymentSchedule3[[#This Row],[Extra
Payment]]&lt;=PaymentSchedule3[[#This Row],[Beginning
Balance]],PaymentSchedule3[[#This Row],[Beginning
Balance]]-PaymentSchedule3[[#This Row],[Principal]],0),"")</f>
        <v>308578.60160225577</v>
      </c>
      <c r="K121" s="25">
        <f ca="1">IF(PaymentSchedule3[[#This Row],[Payment Number]]&lt;&gt;"",SUM(INDEX(PaymentSchedule3[Interest],1,1):PaymentSchedule3[[#This Row],[Interest]]),"")</f>
        <v>216441.23546349641</v>
      </c>
    </row>
    <row r="122" spans="2:11" x14ac:dyDescent="0.3">
      <c r="B122" s="23">
        <f ca="1">IF(LoanIsGood,IF(ROW()-ROW(PaymentSchedule3[[#Headers],[Payment Number]])&gt;ScheduledNumberOfPayments,"",ROW()-ROW(PaymentSchedule3[[#Headers],[Payment Number]])),"")</f>
        <v>109</v>
      </c>
      <c r="C122" s="24">
        <f ca="1">IF(PaymentSchedule3[[#This Row],[Payment Number]]&lt;&gt;"",EOMONTH(LoanStartDate,ROW(PaymentSchedule3[[#This Row],[Payment Number]])-ROW(PaymentSchedule3[[#Headers],[Payment Number]])-2)+DAY(LoanStartDate),"")</f>
        <v>48741</v>
      </c>
      <c r="D122" s="25">
        <f ca="1">IF(PaymentSchedule3[[#This Row],[Payment Number]]&lt;&gt;"",IF(ROW()-ROW(PaymentSchedule3[[#Headers],[Beginning
Balance]])=1,LoanAmount,INDEX(PaymentSchedule3[Ending
Balance],ROW()-ROW(PaymentSchedule3[[#Headers],[Beginning
Balance]])-1)),"")</f>
        <v>308578.60160225577</v>
      </c>
      <c r="E122" s="25">
        <f ca="1">IF(PaymentSchedule3[[#This Row],[Payment Number]]&lt;&gt;"",ScheduledPayment,"")</f>
        <v>2387.6169801966716</v>
      </c>
      <c r="F1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2" s="25">
        <f ca="1">IF(PaymentSchedule3[[#This Row],[Payment Number]]&lt;&gt;"",PaymentSchedule3[[#This Row],[Total
Payment]]-PaymentSchedule3[[#This Row],[Interest]],"")</f>
        <v>523.28792884970971</v>
      </c>
      <c r="I122" s="25">
        <f ca="1">IF(PaymentSchedule3[[#This Row],[Payment Number]]&lt;&gt;"",PaymentSchedule3[[#This Row],[Beginning
Balance]]*(InterestRate/PaymentsPerYear),"")</f>
        <v>1864.3290513469619</v>
      </c>
      <c r="J122" s="25">
        <f ca="1">IF(PaymentSchedule3[[#This Row],[Payment Number]]&lt;&gt;"",IF(PaymentSchedule3[[#This Row],[Scheduled Payment]]+PaymentSchedule3[[#This Row],[Extra
Payment]]&lt;=PaymentSchedule3[[#This Row],[Beginning
Balance]],PaymentSchedule3[[#This Row],[Beginning
Balance]]-PaymentSchedule3[[#This Row],[Principal]],0),"")</f>
        <v>308055.31367340608</v>
      </c>
      <c r="K122" s="25">
        <f ca="1">IF(PaymentSchedule3[[#This Row],[Payment Number]]&lt;&gt;"",SUM(INDEX(PaymentSchedule3[Interest],1,1):PaymentSchedule3[[#This Row],[Interest]]),"")</f>
        <v>218305.56451484337</v>
      </c>
    </row>
    <row r="123" spans="2:11" x14ac:dyDescent="0.3">
      <c r="B123" s="23">
        <f ca="1">IF(LoanIsGood,IF(ROW()-ROW(PaymentSchedule3[[#Headers],[Payment Number]])&gt;ScheduledNumberOfPayments,"",ROW()-ROW(PaymentSchedule3[[#Headers],[Payment Number]])),"")</f>
        <v>110</v>
      </c>
      <c r="C123" s="24">
        <f ca="1">IF(PaymentSchedule3[[#This Row],[Payment Number]]&lt;&gt;"",EOMONTH(LoanStartDate,ROW(PaymentSchedule3[[#This Row],[Payment Number]])-ROW(PaymentSchedule3[[#Headers],[Payment Number]])-2)+DAY(LoanStartDate),"")</f>
        <v>48771</v>
      </c>
      <c r="D123" s="25">
        <f ca="1">IF(PaymentSchedule3[[#This Row],[Payment Number]]&lt;&gt;"",IF(ROW()-ROW(PaymentSchedule3[[#Headers],[Beginning
Balance]])=1,LoanAmount,INDEX(PaymentSchedule3[Ending
Balance],ROW()-ROW(PaymentSchedule3[[#Headers],[Beginning
Balance]])-1)),"")</f>
        <v>308055.31367340608</v>
      </c>
      <c r="E123" s="25">
        <f ca="1">IF(PaymentSchedule3[[#This Row],[Payment Number]]&lt;&gt;"",ScheduledPayment,"")</f>
        <v>2387.6169801966716</v>
      </c>
      <c r="F1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3" s="25">
        <f ca="1">IF(PaymentSchedule3[[#This Row],[Payment Number]]&lt;&gt;"",PaymentSchedule3[[#This Row],[Total
Payment]]-PaymentSchedule3[[#This Row],[Interest]],"")</f>
        <v>526.44946008651004</v>
      </c>
      <c r="I123" s="25">
        <f ca="1">IF(PaymentSchedule3[[#This Row],[Payment Number]]&lt;&gt;"",PaymentSchedule3[[#This Row],[Beginning
Balance]]*(InterestRate/PaymentsPerYear),"")</f>
        <v>1861.1675201101616</v>
      </c>
      <c r="J123" s="25">
        <f ca="1">IF(PaymentSchedule3[[#This Row],[Payment Number]]&lt;&gt;"",IF(PaymentSchedule3[[#This Row],[Scheduled Payment]]+PaymentSchedule3[[#This Row],[Extra
Payment]]&lt;=PaymentSchedule3[[#This Row],[Beginning
Balance]],PaymentSchedule3[[#This Row],[Beginning
Balance]]-PaymentSchedule3[[#This Row],[Principal]],0),"")</f>
        <v>307528.86421331955</v>
      </c>
      <c r="K123" s="25">
        <f ca="1">IF(PaymentSchedule3[[#This Row],[Payment Number]]&lt;&gt;"",SUM(INDEX(PaymentSchedule3[Interest],1,1):PaymentSchedule3[[#This Row],[Interest]]),"")</f>
        <v>220166.73203495354</v>
      </c>
    </row>
    <row r="124" spans="2:11" x14ac:dyDescent="0.3">
      <c r="B124" s="23">
        <f ca="1">IF(LoanIsGood,IF(ROW()-ROW(PaymentSchedule3[[#Headers],[Payment Number]])&gt;ScheduledNumberOfPayments,"",ROW()-ROW(PaymentSchedule3[[#Headers],[Payment Number]])),"")</f>
        <v>111</v>
      </c>
      <c r="C124" s="24">
        <f ca="1">IF(PaymentSchedule3[[#This Row],[Payment Number]]&lt;&gt;"",EOMONTH(LoanStartDate,ROW(PaymentSchedule3[[#This Row],[Payment Number]])-ROW(PaymentSchedule3[[#Headers],[Payment Number]])-2)+DAY(LoanStartDate),"")</f>
        <v>48802</v>
      </c>
      <c r="D124" s="25">
        <f ca="1">IF(PaymentSchedule3[[#This Row],[Payment Number]]&lt;&gt;"",IF(ROW()-ROW(PaymentSchedule3[[#Headers],[Beginning
Balance]])=1,LoanAmount,INDEX(PaymentSchedule3[Ending
Balance],ROW()-ROW(PaymentSchedule3[[#Headers],[Beginning
Balance]])-1)),"")</f>
        <v>307528.86421331955</v>
      </c>
      <c r="E124" s="25">
        <f ca="1">IF(PaymentSchedule3[[#This Row],[Payment Number]]&lt;&gt;"",ScheduledPayment,"")</f>
        <v>2387.6169801966716</v>
      </c>
      <c r="F1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4" s="25">
        <f ca="1">IF(PaymentSchedule3[[#This Row],[Payment Number]]&lt;&gt;"",PaymentSchedule3[[#This Row],[Total
Payment]]-PaymentSchedule3[[#This Row],[Interest]],"")</f>
        <v>529.63009224119946</v>
      </c>
      <c r="I124" s="25">
        <f ca="1">IF(PaymentSchedule3[[#This Row],[Payment Number]]&lt;&gt;"",PaymentSchedule3[[#This Row],[Beginning
Balance]]*(InterestRate/PaymentsPerYear),"")</f>
        <v>1857.9868879554722</v>
      </c>
      <c r="J124" s="25">
        <f ca="1">IF(PaymentSchedule3[[#This Row],[Payment Number]]&lt;&gt;"",IF(PaymentSchedule3[[#This Row],[Scheduled Payment]]+PaymentSchedule3[[#This Row],[Extra
Payment]]&lt;=PaymentSchedule3[[#This Row],[Beginning
Balance]],PaymentSchedule3[[#This Row],[Beginning
Balance]]-PaymentSchedule3[[#This Row],[Principal]],0),"")</f>
        <v>306999.23412107833</v>
      </c>
      <c r="K124" s="25">
        <f ca="1">IF(PaymentSchedule3[[#This Row],[Payment Number]]&lt;&gt;"",SUM(INDEX(PaymentSchedule3[Interest],1,1):PaymentSchedule3[[#This Row],[Interest]]),"")</f>
        <v>222024.71892290903</v>
      </c>
    </row>
    <row r="125" spans="2:11" x14ac:dyDescent="0.3">
      <c r="B125" s="23">
        <f ca="1">IF(LoanIsGood,IF(ROW()-ROW(PaymentSchedule3[[#Headers],[Payment Number]])&gt;ScheduledNumberOfPayments,"",ROW()-ROW(PaymentSchedule3[[#Headers],[Payment Number]])),"")</f>
        <v>112</v>
      </c>
      <c r="C125" s="24">
        <f ca="1">IF(PaymentSchedule3[[#This Row],[Payment Number]]&lt;&gt;"",EOMONTH(LoanStartDate,ROW(PaymentSchedule3[[#This Row],[Payment Number]])-ROW(PaymentSchedule3[[#Headers],[Payment Number]])-2)+DAY(LoanStartDate),"")</f>
        <v>48833</v>
      </c>
      <c r="D125" s="25">
        <f ca="1">IF(PaymentSchedule3[[#This Row],[Payment Number]]&lt;&gt;"",IF(ROW()-ROW(PaymentSchedule3[[#Headers],[Beginning
Balance]])=1,LoanAmount,INDEX(PaymentSchedule3[Ending
Balance],ROW()-ROW(PaymentSchedule3[[#Headers],[Beginning
Balance]])-1)),"")</f>
        <v>306999.23412107833</v>
      </c>
      <c r="E125" s="25">
        <f ca="1">IF(PaymentSchedule3[[#This Row],[Payment Number]]&lt;&gt;"",ScheduledPayment,"")</f>
        <v>2387.6169801966716</v>
      </c>
      <c r="F1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5" s="25">
        <f ca="1">IF(PaymentSchedule3[[#This Row],[Payment Number]]&lt;&gt;"",PaymentSchedule3[[#This Row],[Total
Payment]]-PaymentSchedule3[[#This Row],[Interest]],"")</f>
        <v>532.82994071515668</v>
      </c>
      <c r="I125" s="25">
        <f ca="1">IF(PaymentSchedule3[[#This Row],[Payment Number]]&lt;&gt;"",PaymentSchedule3[[#This Row],[Beginning
Balance]]*(InterestRate/PaymentsPerYear),"")</f>
        <v>1854.787039481515</v>
      </c>
      <c r="J125" s="25">
        <f ca="1">IF(PaymentSchedule3[[#This Row],[Payment Number]]&lt;&gt;"",IF(PaymentSchedule3[[#This Row],[Scheduled Payment]]+PaymentSchedule3[[#This Row],[Extra
Payment]]&lt;=PaymentSchedule3[[#This Row],[Beginning
Balance]],PaymentSchedule3[[#This Row],[Beginning
Balance]]-PaymentSchedule3[[#This Row],[Principal]],0),"")</f>
        <v>306466.40418036317</v>
      </c>
      <c r="K125" s="25">
        <f ca="1">IF(PaymentSchedule3[[#This Row],[Payment Number]]&lt;&gt;"",SUM(INDEX(PaymentSchedule3[Interest],1,1):PaymentSchedule3[[#This Row],[Interest]]),"")</f>
        <v>223879.50596239054</v>
      </c>
    </row>
    <row r="126" spans="2:11" x14ac:dyDescent="0.3">
      <c r="B126" s="23">
        <f ca="1">IF(LoanIsGood,IF(ROW()-ROW(PaymentSchedule3[[#Headers],[Payment Number]])&gt;ScheduledNumberOfPayments,"",ROW()-ROW(PaymentSchedule3[[#Headers],[Payment Number]])),"")</f>
        <v>113</v>
      </c>
      <c r="C126" s="24">
        <f ca="1">IF(PaymentSchedule3[[#This Row],[Payment Number]]&lt;&gt;"",EOMONTH(LoanStartDate,ROW(PaymentSchedule3[[#This Row],[Payment Number]])-ROW(PaymentSchedule3[[#Headers],[Payment Number]])-2)+DAY(LoanStartDate),"")</f>
        <v>48863</v>
      </c>
      <c r="D126" s="25">
        <f ca="1">IF(PaymentSchedule3[[#This Row],[Payment Number]]&lt;&gt;"",IF(ROW()-ROW(PaymentSchedule3[[#Headers],[Beginning
Balance]])=1,LoanAmount,INDEX(PaymentSchedule3[Ending
Balance],ROW()-ROW(PaymentSchedule3[[#Headers],[Beginning
Balance]])-1)),"")</f>
        <v>306466.40418036317</v>
      </c>
      <c r="E126" s="25">
        <f ca="1">IF(PaymentSchedule3[[#This Row],[Payment Number]]&lt;&gt;"",ScheduledPayment,"")</f>
        <v>2387.6169801966716</v>
      </c>
      <c r="F1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6" s="25">
        <f ca="1">IF(PaymentSchedule3[[#This Row],[Payment Number]]&lt;&gt;"",PaymentSchedule3[[#This Row],[Total
Payment]]-PaymentSchedule3[[#This Row],[Interest]],"")</f>
        <v>536.04912160697745</v>
      </c>
      <c r="I126" s="25">
        <f ca="1">IF(PaymentSchedule3[[#This Row],[Payment Number]]&lt;&gt;"",PaymentSchedule3[[#This Row],[Beginning
Balance]]*(InterestRate/PaymentsPerYear),"")</f>
        <v>1851.5678585896942</v>
      </c>
      <c r="J126" s="25">
        <f ca="1">IF(PaymentSchedule3[[#This Row],[Payment Number]]&lt;&gt;"",IF(PaymentSchedule3[[#This Row],[Scheduled Payment]]+PaymentSchedule3[[#This Row],[Extra
Payment]]&lt;=PaymentSchedule3[[#This Row],[Beginning
Balance]],PaymentSchedule3[[#This Row],[Beginning
Balance]]-PaymentSchedule3[[#This Row],[Principal]],0),"")</f>
        <v>305930.35505875619</v>
      </c>
      <c r="K126" s="25">
        <f ca="1">IF(PaymentSchedule3[[#This Row],[Payment Number]]&lt;&gt;"",SUM(INDEX(PaymentSchedule3[Interest],1,1):PaymentSchedule3[[#This Row],[Interest]]),"")</f>
        <v>225731.07382098024</v>
      </c>
    </row>
    <row r="127" spans="2:11" x14ac:dyDescent="0.3">
      <c r="B127" s="23">
        <f ca="1">IF(LoanIsGood,IF(ROW()-ROW(PaymentSchedule3[[#Headers],[Payment Number]])&gt;ScheduledNumberOfPayments,"",ROW()-ROW(PaymentSchedule3[[#Headers],[Payment Number]])),"")</f>
        <v>114</v>
      </c>
      <c r="C127" s="24">
        <f ca="1">IF(PaymentSchedule3[[#This Row],[Payment Number]]&lt;&gt;"",EOMONTH(LoanStartDate,ROW(PaymentSchedule3[[#This Row],[Payment Number]])-ROW(PaymentSchedule3[[#Headers],[Payment Number]])-2)+DAY(LoanStartDate),"")</f>
        <v>48894</v>
      </c>
      <c r="D127" s="25">
        <f ca="1">IF(PaymentSchedule3[[#This Row],[Payment Number]]&lt;&gt;"",IF(ROW()-ROW(PaymentSchedule3[[#Headers],[Beginning
Balance]])=1,LoanAmount,INDEX(PaymentSchedule3[Ending
Balance],ROW()-ROW(PaymentSchedule3[[#Headers],[Beginning
Balance]])-1)),"")</f>
        <v>305930.35505875619</v>
      </c>
      <c r="E127" s="25">
        <f ca="1">IF(PaymentSchedule3[[#This Row],[Payment Number]]&lt;&gt;"",ScheduledPayment,"")</f>
        <v>2387.6169801966716</v>
      </c>
      <c r="F1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7" s="25">
        <f ca="1">IF(PaymentSchedule3[[#This Row],[Payment Number]]&lt;&gt;"",PaymentSchedule3[[#This Row],[Total
Payment]]-PaymentSchedule3[[#This Row],[Interest]],"")</f>
        <v>539.28775171668644</v>
      </c>
      <c r="I127" s="25">
        <f ca="1">IF(PaymentSchedule3[[#This Row],[Payment Number]]&lt;&gt;"",PaymentSchedule3[[#This Row],[Beginning
Balance]]*(InterestRate/PaymentsPerYear),"")</f>
        <v>1848.3292284799852</v>
      </c>
      <c r="J127" s="25">
        <f ca="1">IF(PaymentSchedule3[[#This Row],[Payment Number]]&lt;&gt;"",IF(PaymentSchedule3[[#This Row],[Scheduled Payment]]+PaymentSchedule3[[#This Row],[Extra
Payment]]&lt;=PaymentSchedule3[[#This Row],[Beginning
Balance]],PaymentSchedule3[[#This Row],[Beginning
Balance]]-PaymentSchedule3[[#This Row],[Principal]],0),"")</f>
        <v>305391.06730703951</v>
      </c>
      <c r="K127" s="25">
        <f ca="1">IF(PaymentSchedule3[[#This Row],[Payment Number]]&lt;&gt;"",SUM(INDEX(PaymentSchedule3[Interest],1,1):PaymentSchedule3[[#This Row],[Interest]]),"")</f>
        <v>227579.40304946023</v>
      </c>
    </row>
    <row r="128" spans="2:11" x14ac:dyDescent="0.3">
      <c r="B128" s="23">
        <f ca="1">IF(LoanIsGood,IF(ROW()-ROW(PaymentSchedule3[[#Headers],[Payment Number]])&gt;ScheduledNumberOfPayments,"",ROW()-ROW(PaymentSchedule3[[#Headers],[Payment Number]])),"")</f>
        <v>115</v>
      </c>
      <c r="C128" s="24">
        <f ca="1">IF(PaymentSchedule3[[#This Row],[Payment Number]]&lt;&gt;"",EOMONTH(LoanStartDate,ROW(PaymentSchedule3[[#This Row],[Payment Number]])-ROW(PaymentSchedule3[[#Headers],[Payment Number]])-2)+DAY(LoanStartDate),"")</f>
        <v>48924</v>
      </c>
      <c r="D128" s="25">
        <f ca="1">IF(PaymentSchedule3[[#This Row],[Payment Number]]&lt;&gt;"",IF(ROW()-ROW(PaymentSchedule3[[#Headers],[Beginning
Balance]])=1,LoanAmount,INDEX(PaymentSchedule3[Ending
Balance],ROW()-ROW(PaymentSchedule3[[#Headers],[Beginning
Balance]])-1)),"")</f>
        <v>305391.06730703951</v>
      </c>
      <c r="E128" s="25">
        <f ca="1">IF(PaymentSchedule3[[#This Row],[Payment Number]]&lt;&gt;"",ScheduledPayment,"")</f>
        <v>2387.6169801966716</v>
      </c>
      <c r="F1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8" s="25">
        <f ca="1">IF(PaymentSchedule3[[#This Row],[Payment Number]]&lt;&gt;"",PaymentSchedule3[[#This Row],[Total
Payment]]-PaymentSchedule3[[#This Row],[Interest]],"")</f>
        <v>542.54594854997458</v>
      </c>
      <c r="I128" s="25">
        <f ca="1">IF(PaymentSchedule3[[#This Row],[Payment Number]]&lt;&gt;"",PaymentSchedule3[[#This Row],[Beginning
Balance]]*(InterestRate/PaymentsPerYear),"")</f>
        <v>1845.0710316466971</v>
      </c>
      <c r="J128" s="25">
        <f ca="1">IF(PaymentSchedule3[[#This Row],[Payment Number]]&lt;&gt;"",IF(PaymentSchedule3[[#This Row],[Scheduled Payment]]+PaymentSchedule3[[#This Row],[Extra
Payment]]&lt;=PaymentSchedule3[[#This Row],[Beginning
Balance]],PaymentSchedule3[[#This Row],[Beginning
Balance]]-PaymentSchedule3[[#This Row],[Principal]],0),"")</f>
        <v>304848.52135848952</v>
      </c>
      <c r="K128" s="25">
        <f ca="1">IF(PaymentSchedule3[[#This Row],[Payment Number]]&lt;&gt;"",SUM(INDEX(PaymentSchedule3[Interest],1,1):PaymentSchedule3[[#This Row],[Interest]]),"")</f>
        <v>229424.47408110692</v>
      </c>
    </row>
    <row r="129" spans="2:11" x14ac:dyDescent="0.3">
      <c r="B129" s="23">
        <f ca="1">IF(LoanIsGood,IF(ROW()-ROW(PaymentSchedule3[[#Headers],[Payment Number]])&gt;ScheduledNumberOfPayments,"",ROW()-ROW(PaymentSchedule3[[#Headers],[Payment Number]])),"")</f>
        <v>116</v>
      </c>
      <c r="C129" s="24">
        <f ca="1">IF(PaymentSchedule3[[#This Row],[Payment Number]]&lt;&gt;"",EOMONTH(LoanStartDate,ROW(PaymentSchedule3[[#This Row],[Payment Number]])-ROW(PaymentSchedule3[[#Headers],[Payment Number]])-2)+DAY(LoanStartDate),"")</f>
        <v>48955</v>
      </c>
      <c r="D129" s="25">
        <f ca="1">IF(PaymentSchedule3[[#This Row],[Payment Number]]&lt;&gt;"",IF(ROW()-ROW(PaymentSchedule3[[#Headers],[Beginning
Balance]])=1,LoanAmount,INDEX(PaymentSchedule3[Ending
Balance],ROW()-ROW(PaymentSchedule3[[#Headers],[Beginning
Balance]])-1)),"")</f>
        <v>304848.52135848952</v>
      </c>
      <c r="E129" s="25">
        <f ca="1">IF(PaymentSchedule3[[#This Row],[Payment Number]]&lt;&gt;"",ScheduledPayment,"")</f>
        <v>2387.6169801966716</v>
      </c>
      <c r="F1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29" s="25">
        <f ca="1">IF(PaymentSchedule3[[#This Row],[Payment Number]]&lt;&gt;"",PaymentSchedule3[[#This Row],[Total
Payment]]-PaymentSchedule3[[#This Row],[Interest]],"")</f>
        <v>545.82383032246412</v>
      </c>
      <c r="I129" s="25">
        <f ca="1">IF(PaymentSchedule3[[#This Row],[Payment Number]]&lt;&gt;"",PaymentSchedule3[[#This Row],[Beginning
Balance]]*(InterestRate/PaymentsPerYear),"")</f>
        <v>1841.7931498742075</v>
      </c>
      <c r="J129" s="25">
        <f ca="1">IF(PaymentSchedule3[[#This Row],[Payment Number]]&lt;&gt;"",IF(PaymentSchedule3[[#This Row],[Scheduled Payment]]+PaymentSchedule3[[#This Row],[Extra
Payment]]&lt;=PaymentSchedule3[[#This Row],[Beginning
Balance]],PaymentSchedule3[[#This Row],[Beginning
Balance]]-PaymentSchedule3[[#This Row],[Principal]],0),"")</f>
        <v>304302.69752816705</v>
      </c>
      <c r="K129" s="25">
        <f ca="1">IF(PaymentSchedule3[[#This Row],[Payment Number]]&lt;&gt;"",SUM(INDEX(PaymentSchedule3[Interest],1,1):PaymentSchedule3[[#This Row],[Interest]]),"")</f>
        <v>231266.26723098112</v>
      </c>
    </row>
    <row r="130" spans="2:11" x14ac:dyDescent="0.3">
      <c r="B130" s="23">
        <f ca="1">IF(LoanIsGood,IF(ROW()-ROW(PaymentSchedule3[[#Headers],[Payment Number]])&gt;ScheduledNumberOfPayments,"",ROW()-ROW(PaymentSchedule3[[#Headers],[Payment Number]])),"")</f>
        <v>117</v>
      </c>
      <c r="C130" s="24">
        <f ca="1">IF(PaymentSchedule3[[#This Row],[Payment Number]]&lt;&gt;"",EOMONTH(LoanStartDate,ROW(PaymentSchedule3[[#This Row],[Payment Number]])-ROW(PaymentSchedule3[[#Headers],[Payment Number]])-2)+DAY(LoanStartDate),"")</f>
        <v>48986</v>
      </c>
      <c r="D130" s="25">
        <f ca="1">IF(PaymentSchedule3[[#This Row],[Payment Number]]&lt;&gt;"",IF(ROW()-ROW(PaymentSchedule3[[#Headers],[Beginning
Balance]])=1,LoanAmount,INDEX(PaymentSchedule3[Ending
Balance],ROW()-ROW(PaymentSchedule3[[#Headers],[Beginning
Balance]])-1)),"")</f>
        <v>304302.69752816705</v>
      </c>
      <c r="E130" s="25">
        <f ca="1">IF(PaymentSchedule3[[#This Row],[Payment Number]]&lt;&gt;"",ScheduledPayment,"")</f>
        <v>2387.6169801966716</v>
      </c>
      <c r="F1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0" s="25">
        <f ca="1">IF(PaymentSchedule3[[#This Row],[Payment Number]]&lt;&gt;"",PaymentSchedule3[[#This Row],[Total
Payment]]-PaymentSchedule3[[#This Row],[Interest]],"")</f>
        <v>549.12151596399576</v>
      </c>
      <c r="I130" s="25">
        <f ca="1">IF(PaymentSchedule3[[#This Row],[Payment Number]]&lt;&gt;"",PaymentSchedule3[[#This Row],[Beginning
Balance]]*(InterestRate/PaymentsPerYear),"")</f>
        <v>1838.4954642326759</v>
      </c>
      <c r="J130" s="25">
        <f ca="1">IF(PaymentSchedule3[[#This Row],[Payment Number]]&lt;&gt;"",IF(PaymentSchedule3[[#This Row],[Scheduled Payment]]+PaymentSchedule3[[#This Row],[Extra
Payment]]&lt;=PaymentSchedule3[[#This Row],[Beginning
Balance]],PaymentSchedule3[[#This Row],[Beginning
Balance]]-PaymentSchedule3[[#This Row],[Principal]],0),"")</f>
        <v>303753.57601220306</v>
      </c>
      <c r="K130" s="25">
        <f ca="1">IF(PaymentSchedule3[[#This Row],[Payment Number]]&lt;&gt;"",SUM(INDEX(PaymentSchedule3[Interest],1,1):PaymentSchedule3[[#This Row],[Interest]]),"")</f>
        <v>233104.76269521378</v>
      </c>
    </row>
    <row r="131" spans="2:11" x14ac:dyDescent="0.3">
      <c r="B131" s="23">
        <f ca="1">IF(LoanIsGood,IF(ROW()-ROW(PaymentSchedule3[[#Headers],[Payment Number]])&gt;ScheduledNumberOfPayments,"",ROW()-ROW(PaymentSchedule3[[#Headers],[Payment Number]])),"")</f>
        <v>118</v>
      </c>
      <c r="C131" s="24">
        <f ca="1">IF(PaymentSchedule3[[#This Row],[Payment Number]]&lt;&gt;"",EOMONTH(LoanStartDate,ROW(PaymentSchedule3[[#This Row],[Payment Number]])-ROW(PaymentSchedule3[[#Headers],[Payment Number]])-2)+DAY(LoanStartDate),"")</f>
        <v>49014</v>
      </c>
      <c r="D131" s="25">
        <f ca="1">IF(PaymentSchedule3[[#This Row],[Payment Number]]&lt;&gt;"",IF(ROW()-ROW(PaymentSchedule3[[#Headers],[Beginning
Balance]])=1,LoanAmount,INDEX(PaymentSchedule3[Ending
Balance],ROW()-ROW(PaymentSchedule3[[#Headers],[Beginning
Balance]])-1)),"")</f>
        <v>303753.57601220306</v>
      </c>
      <c r="E131" s="25">
        <f ca="1">IF(PaymentSchedule3[[#This Row],[Payment Number]]&lt;&gt;"",ScheduledPayment,"")</f>
        <v>2387.6169801966716</v>
      </c>
      <c r="F1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1" s="25">
        <f ca="1">IF(PaymentSchedule3[[#This Row],[Payment Number]]&lt;&gt;"",PaymentSchedule3[[#This Row],[Total
Payment]]-PaymentSchedule3[[#This Row],[Interest]],"")</f>
        <v>552.43912512294492</v>
      </c>
      <c r="I131" s="25">
        <f ca="1">IF(PaymentSchedule3[[#This Row],[Payment Number]]&lt;&gt;"",PaymentSchedule3[[#This Row],[Beginning
Balance]]*(InterestRate/PaymentsPerYear),"")</f>
        <v>1835.1778550737267</v>
      </c>
      <c r="J131" s="25">
        <f ca="1">IF(PaymentSchedule3[[#This Row],[Payment Number]]&lt;&gt;"",IF(PaymentSchedule3[[#This Row],[Scheduled Payment]]+PaymentSchedule3[[#This Row],[Extra
Payment]]&lt;=PaymentSchedule3[[#This Row],[Beginning
Balance]],PaymentSchedule3[[#This Row],[Beginning
Balance]]-PaymentSchedule3[[#This Row],[Principal]],0),"")</f>
        <v>303201.13688708009</v>
      </c>
      <c r="K131" s="25">
        <f ca="1">IF(PaymentSchedule3[[#This Row],[Payment Number]]&lt;&gt;"",SUM(INDEX(PaymentSchedule3[Interest],1,1):PaymentSchedule3[[#This Row],[Interest]]),"")</f>
        <v>234939.94055028752</v>
      </c>
    </row>
    <row r="132" spans="2:11" x14ac:dyDescent="0.3">
      <c r="B132" s="23">
        <f ca="1">IF(LoanIsGood,IF(ROW()-ROW(PaymentSchedule3[[#Headers],[Payment Number]])&gt;ScheduledNumberOfPayments,"",ROW()-ROW(PaymentSchedule3[[#Headers],[Payment Number]])),"")</f>
        <v>119</v>
      </c>
      <c r="C132" s="24">
        <f ca="1">IF(PaymentSchedule3[[#This Row],[Payment Number]]&lt;&gt;"",EOMONTH(LoanStartDate,ROW(PaymentSchedule3[[#This Row],[Payment Number]])-ROW(PaymentSchedule3[[#Headers],[Payment Number]])-2)+DAY(LoanStartDate),"")</f>
        <v>49045</v>
      </c>
      <c r="D132" s="25">
        <f ca="1">IF(PaymentSchedule3[[#This Row],[Payment Number]]&lt;&gt;"",IF(ROW()-ROW(PaymentSchedule3[[#Headers],[Beginning
Balance]])=1,LoanAmount,INDEX(PaymentSchedule3[Ending
Balance],ROW()-ROW(PaymentSchedule3[[#Headers],[Beginning
Balance]])-1)),"")</f>
        <v>303201.13688708009</v>
      </c>
      <c r="E132" s="25">
        <f ca="1">IF(PaymentSchedule3[[#This Row],[Payment Number]]&lt;&gt;"",ScheduledPayment,"")</f>
        <v>2387.6169801966716</v>
      </c>
      <c r="F1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2" s="25">
        <f ca="1">IF(PaymentSchedule3[[#This Row],[Payment Number]]&lt;&gt;"",PaymentSchedule3[[#This Row],[Total
Payment]]-PaymentSchedule3[[#This Row],[Interest]],"")</f>
        <v>555.77677817056269</v>
      </c>
      <c r="I132" s="25">
        <f ca="1">IF(PaymentSchedule3[[#This Row],[Payment Number]]&lt;&gt;"",PaymentSchedule3[[#This Row],[Beginning
Balance]]*(InterestRate/PaymentsPerYear),"")</f>
        <v>1831.840202026109</v>
      </c>
      <c r="J132" s="25">
        <f ca="1">IF(PaymentSchedule3[[#This Row],[Payment Number]]&lt;&gt;"",IF(PaymentSchedule3[[#This Row],[Scheduled Payment]]+PaymentSchedule3[[#This Row],[Extra
Payment]]&lt;=PaymentSchedule3[[#This Row],[Beginning
Balance]],PaymentSchedule3[[#This Row],[Beginning
Balance]]-PaymentSchedule3[[#This Row],[Principal]],0),"")</f>
        <v>302645.36010890955</v>
      </c>
      <c r="K132" s="25">
        <f ca="1">IF(PaymentSchedule3[[#This Row],[Payment Number]]&lt;&gt;"",SUM(INDEX(PaymentSchedule3[Interest],1,1):PaymentSchedule3[[#This Row],[Interest]]),"")</f>
        <v>236771.78075231361</v>
      </c>
    </row>
    <row r="133" spans="2:11" x14ac:dyDescent="0.3">
      <c r="B133" s="23">
        <f ca="1">IF(LoanIsGood,IF(ROW()-ROW(PaymentSchedule3[[#Headers],[Payment Number]])&gt;ScheduledNumberOfPayments,"",ROW()-ROW(PaymentSchedule3[[#Headers],[Payment Number]])),"")</f>
        <v>120</v>
      </c>
      <c r="C133" s="24">
        <f ca="1">IF(PaymentSchedule3[[#This Row],[Payment Number]]&lt;&gt;"",EOMONTH(LoanStartDate,ROW(PaymentSchedule3[[#This Row],[Payment Number]])-ROW(PaymentSchedule3[[#Headers],[Payment Number]])-2)+DAY(LoanStartDate),"")</f>
        <v>49075</v>
      </c>
      <c r="D133" s="25">
        <f ca="1">IF(PaymentSchedule3[[#This Row],[Payment Number]]&lt;&gt;"",IF(ROW()-ROW(PaymentSchedule3[[#Headers],[Beginning
Balance]])=1,LoanAmount,INDEX(PaymentSchedule3[Ending
Balance],ROW()-ROW(PaymentSchedule3[[#Headers],[Beginning
Balance]])-1)),"")</f>
        <v>302645.36010890955</v>
      </c>
      <c r="E133" s="25">
        <f ca="1">IF(PaymentSchedule3[[#This Row],[Payment Number]]&lt;&gt;"",ScheduledPayment,"")</f>
        <v>2387.6169801966716</v>
      </c>
      <c r="F1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3" s="25">
        <f ca="1">IF(PaymentSchedule3[[#This Row],[Payment Number]]&lt;&gt;"",PaymentSchedule3[[#This Row],[Total
Payment]]-PaymentSchedule3[[#This Row],[Interest]],"")</f>
        <v>559.13459620534309</v>
      </c>
      <c r="I133" s="25">
        <f ca="1">IF(PaymentSchedule3[[#This Row],[Payment Number]]&lt;&gt;"",PaymentSchedule3[[#This Row],[Beginning
Balance]]*(InterestRate/PaymentsPerYear),"")</f>
        <v>1828.4823839913286</v>
      </c>
      <c r="J133" s="25">
        <f ca="1">IF(PaymentSchedule3[[#This Row],[Payment Number]]&lt;&gt;"",IF(PaymentSchedule3[[#This Row],[Scheduled Payment]]+PaymentSchedule3[[#This Row],[Extra
Payment]]&lt;=PaymentSchedule3[[#This Row],[Beginning
Balance]],PaymentSchedule3[[#This Row],[Beginning
Balance]]-PaymentSchedule3[[#This Row],[Principal]],0),"")</f>
        <v>302086.22551270423</v>
      </c>
      <c r="K133" s="25">
        <f ca="1">IF(PaymentSchedule3[[#This Row],[Payment Number]]&lt;&gt;"",SUM(INDEX(PaymentSchedule3[Interest],1,1):PaymentSchedule3[[#This Row],[Interest]]),"")</f>
        <v>238600.26313630494</v>
      </c>
    </row>
    <row r="134" spans="2:11" x14ac:dyDescent="0.3">
      <c r="B134" s="23">
        <f ca="1">IF(LoanIsGood,IF(ROW()-ROW(PaymentSchedule3[[#Headers],[Payment Number]])&gt;ScheduledNumberOfPayments,"",ROW()-ROW(PaymentSchedule3[[#Headers],[Payment Number]])),"")</f>
        <v>121</v>
      </c>
      <c r="C134" s="24">
        <f ca="1">IF(PaymentSchedule3[[#This Row],[Payment Number]]&lt;&gt;"",EOMONTH(LoanStartDate,ROW(PaymentSchedule3[[#This Row],[Payment Number]])-ROW(PaymentSchedule3[[#Headers],[Payment Number]])-2)+DAY(LoanStartDate),"")</f>
        <v>49106</v>
      </c>
      <c r="D134" s="25">
        <f ca="1">IF(PaymentSchedule3[[#This Row],[Payment Number]]&lt;&gt;"",IF(ROW()-ROW(PaymentSchedule3[[#Headers],[Beginning
Balance]])=1,LoanAmount,INDEX(PaymentSchedule3[Ending
Balance],ROW()-ROW(PaymentSchedule3[[#Headers],[Beginning
Balance]])-1)),"")</f>
        <v>302086.22551270423</v>
      </c>
      <c r="E134" s="25">
        <f ca="1">IF(PaymentSchedule3[[#This Row],[Payment Number]]&lt;&gt;"",ScheduledPayment,"")</f>
        <v>2387.6169801966716</v>
      </c>
      <c r="F1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4" s="25">
        <f ca="1">IF(PaymentSchedule3[[#This Row],[Payment Number]]&lt;&gt;"",PaymentSchedule3[[#This Row],[Total
Payment]]-PaymentSchedule3[[#This Row],[Interest]],"")</f>
        <v>562.51270105741696</v>
      </c>
      <c r="I134" s="25">
        <f ca="1">IF(PaymentSchedule3[[#This Row],[Payment Number]]&lt;&gt;"",PaymentSchedule3[[#This Row],[Beginning
Balance]]*(InterestRate/PaymentsPerYear),"")</f>
        <v>1825.1042791392547</v>
      </c>
      <c r="J134" s="25">
        <f ca="1">IF(PaymentSchedule3[[#This Row],[Payment Number]]&lt;&gt;"",IF(PaymentSchedule3[[#This Row],[Scheduled Payment]]+PaymentSchedule3[[#This Row],[Extra
Payment]]&lt;=PaymentSchedule3[[#This Row],[Beginning
Balance]],PaymentSchedule3[[#This Row],[Beginning
Balance]]-PaymentSchedule3[[#This Row],[Principal]],0),"")</f>
        <v>301523.71281164681</v>
      </c>
      <c r="K134" s="25">
        <f ca="1">IF(PaymentSchedule3[[#This Row],[Payment Number]]&lt;&gt;"",SUM(INDEX(PaymentSchedule3[Interest],1,1):PaymentSchedule3[[#This Row],[Interest]]),"")</f>
        <v>240425.3674154442</v>
      </c>
    </row>
    <row r="135" spans="2:11" x14ac:dyDescent="0.3">
      <c r="B135" s="23">
        <f ca="1">IF(LoanIsGood,IF(ROW()-ROW(PaymentSchedule3[[#Headers],[Payment Number]])&gt;ScheduledNumberOfPayments,"",ROW()-ROW(PaymentSchedule3[[#Headers],[Payment Number]])),"")</f>
        <v>122</v>
      </c>
      <c r="C135" s="24">
        <f ca="1">IF(PaymentSchedule3[[#This Row],[Payment Number]]&lt;&gt;"",EOMONTH(LoanStartDate,ROW(PaymentSchedule3[[#This Row],[Payment Number]])-ROW(PaymentSchedule3[[#Headers],[Payment Number]])-2)+DAY(LoanStartDate),"")</f>
        <v>49136</v>
      </c>
      <c r="D135" s="25">
        <f ca="1">IF(PaymentSchedule3[[#This Row],[Payment Number]]&lt;&gt;"",IF(ROW()-ROW(PaymentSchedule3[[#Headers],[Beginning
Balance]])=1,LoanAmount,INDEX(PaymentSchedule3[Ending
Balance],ROW()-ROW(PaymentSchedule3[[#Headers],[Beginning
Balance]])-1)),"")</f>
        <v>301523.71281164681</v>
      </c>
      <c r="E135" s="25">
        <f ca="1">IF(PaymentSchedule3[[#This Row],[Payment Number]]&lt;&gt;"",ScheduledPayment,"")</f>
        <v>2387.6169801966716</v>
      </c>
      <c r="F1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5" s="25">
        <f ca="1">IF(PaymentSchedule3[[#This Row],[Payment Number]]&lt;&gt;"",PaymentSchedule3[[#This Row],[Total
Payment]]-PaymentSchedule3[[#This Row],[Interest]],"")</f>
        <v>565.9112152929722</v>
      </c>
      <c r="I135" s="25">
        <f ca="1">IF(PaymentSchedule3[[#This Row],[Payment Number]]&lt;&gt;"",PaymentSchedule3[[#This Row],[Beginning
Balance]]*(InterestRate/PaymentsPerYear),"")</f>
        <v>1821.7057649036994</v>
      </c>
      <c r="J135" s="25">
        <f ca="1">IF(PaymentSchedule3[[#This Row],[Payment Number]]&lt;&gt;"",IF(PaymentSchedule3[[#This Row],[Scheduled Payment]]+PaymentSchedule3[[#This Row],[Extra
Payment]]&lt;=PaymentSchedule3[[#This Row],[Beginning
Balance]],PaymentSchedule3[[#This Row],[Beginning
Balance]]-PaymentSchedule3[[#This Row],[Principal]],0),"")</f>
        <v>300957.80159635382</v>
      </c>
      <c r="K135" s="25">
        <f ca="1">IF(PaymentSchedule3[[#This Row],[Payment Number]]&lt;&gt;"",SUM(INDEX(PaymentSchedule3[Interest],1,1):PaymentSchedule3[[#This Row],[Interest]]),"")</f>
        <v>242247.07318034788</v>
      </c>
    </row>
    <row r="136" spans="2:11" x14ac:dyDescent="0.3">
      <c r="B136" s="23">
        <f ca="1">IF(LoanIsGood,IF(ROW()-ROW(PaymentSchedule3[[#Headers],[Payment Number]])&gt;ScheduledNumberOfPayments,"",ROW()-ROW(PaymentSchedule3[[#Headers],[Payment Number]])),"")</f>
        <v>123</v>
      </c>
      <c r="C136" s="24">
        <f ca="1">IF(PaymentSchedule3[[#This Row],[Payment Number]]&lt;&gt;"",EOMONTH(LoanStartDate,ROW(PaymentSchedule3[[#This Row],[Payment Number]])-ROW(PaymentSchedule3[[#Headers],[Payment Number]])-2)+DAY(LoanStartDate),"")</f>
        <v>49167</v>
      </c>
      <c r="D136" s="25">
        <f ca="1">IF(PaymentSchedule3[[#This Row],[Payment Number]]&lt;&gt;"",IF(ROW()-ROW(PaymentSchedule3[[#Headers],[Beginning
Balance]])=1,LoanAmount,INDEX(PaymentSchedule3[Ending
Balance],ROW()-ROW(PaymentSchedule3[[#Headers],[Beginning
Balance]])-1)),"")</f>
        <v>300957.80159635382</v>
      </c>
      <c r="E136" s="25">
        <f ca="1">IF(PaymentSchedule3[[#This Row],[Payment Number]]&lt;&gt;"",ScheduledPayment,"")</f>
        <v>2387.6169801966716</v>
      </c>
      <c r="F1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6" s="25">
        <f ca="1">IF(PaymentSchedule3[[#This Row],[Payment Number]]&lt;&gt;"",PaymentSchedule3[[#This Row],[Total
Payment]]-PaymentSchedule3[[#This Row],[Interest]],"")</f>
        <v>569.33026221870068</v>
      </c>
      <c r="I136" s="25">
        <f ca="1">IF(PaymentSchedule3[[#This Row],[Payment Number]]&lt;&gt;"",PaymentSchedule3[[#This Row],[Beginning
Balance]]*(InterestRate/PaymentsPerYear),"")</f>
        <v>1818.286717977971</v>
      </c>
      <c r="J136" s="25">
        <f ca="1">IF(PaymentSchedule3[[#This Row],[Payment Number]]&lt;&gt;"",IF(PaymentSchedule3[[#This Row],[Scheduled Payment]]+PaymentSchedule3[[#This Row],[Extra
Payment]]&lt;=PaymentSchedule3[[#This Row],[Beginning
Balance]],PaymentSchedule3[[#This Row],[Beginning
Balance]]-PaymentSchedule3[[#This Row],[Principal]],0),"")</f>
        <v>300388.4713341351</v>
      </c>
      <c r="K136" s="25">
        <f ca="1">IF(PaymentSchedule3[[#This Row],[Payment Number]]&lt;&gt;"",SUM(INDEX(PaymentSchedule3[Interest],1,1):PaymentSchedule3[[#This Row],[Interest]]),"")</f>
        <v>244065.35989832584</v>
      </c>
    </row>
    <row r="137" spans="2:11" x14ac:dyDescent="0.3">
      <c r="B137" s="23">
        <f ca="1">IF(LoanIsGood,IF(ROW()-ROW(PaymentSchedule3[[#Headers],[Payment Number]])&gt;ScheduledNumberOfPayments,"",ROW()-ROW(PaymentSchedule3[[#Headers],[Payment Number]])),"")</f>
        <v>124</v>
      </c>
      <c r="C137" s="24">
        <f ca="1">IF(PaymentSchedule3[[#This Row],[Payment Number]]&lt;&gt;"",EOMONTH(LoanStartDate,ROW(PaymentSchedule3[[#This Row],[Payment Number]])-ROW(PaymentSchedule3[[#Headers],[Payment Number]])-2)+DAY(LoanStartDate),"")</f>
        <v>49198</v>
      </c>
      <c r="D137" s="25">
        <f ca="1">IF(PaymentSchedule3[[#This Row],[Payment Number]]&lt;&gt;"",IF(ROW()-ROW(PaymentSchedule3[[#Headers],[Beginning
Balance]])=1,LoanAmount,INDEX(PaymentSchedule3[Ending
Balance],ROW()-ROW(PaymentSchedule3[[#Headers],[Beginning
Balance]])-1)),"")</f>
        <v>300388.4713341351</v>
      </c>
      <c r="E137" s="25">
        <f ca="1">IF(PaymentSchedule3[[#This Row],[Payment Number]]&lt;&gt;"",ScheduledPayment,"")</f>
        <v>2387.6169801966716</v>
      </c>
      <c r="F1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7" s="25">
        <f ca="1">IF(PaymentSchedule3[[#This Row],[Payment Number]]&lt;&gt;"",PaymentSchedule3[[#This Row],[Total
Payment]]-PaymentSchedule3[[#This Row],[Interest]],"")</f>
        <v>572.76996588627208</v>
      </c>
      <c r="I137" s="25">
        <f ca="1">IF(PaymentSchedule3[[#This Row],[Payment Number]]&lt;&gt;"",PaymentSchedule3[[#This Row],[Beginning
Balance]]*(InterestRate/PaymentsPerYear),"")</f>
        <v>1814.8470143103996</v>
      </c>
      <c r="J137" s="25">
        <f ca="1">IF(PaymentSchedule3[[#This Row],[Payment Number]]&lt;&gt;"",IF(PaymentSchedule3[[#This Row],[Scheduled Payment]]+PaymentSchedule3[[#This Row],[Extra
Payment]]&lt;=PaymentSchedule3[[#This Row],[Beginning
Balance]],PaymentSchedule3[[#This Row],[Beginning
Balance]]-PaymentSchedule3[[#This Row],[Principal]],0),"")</f>
        <v>299815.70136824885</v>
      </c>
      <c r="K137" s="25">
        <f ca="1">IF(PaymentSchedule3[[#This Row],[Payment Number]]&lt;&gt;"",SUM(INDEX(PaymentSchedule3[Interest],1,1):PaymentSchedule3[[#This Row],[Interest]]),"")</f>
        <v>245880.20691263623</v>
      </c>
    </row>
    <row r="138" spans="2:11" x14ac:dyDescent="0.3">
      <c r="B138" s="23">
        <f ca="1">IF(LoanIsGood,IF(ROW()-ROW(PaymentSchedule3[[#Headers],[Payment Number]])&gt;ScheduledNumberOfPayments,"",ROW()-ROW(PaymentSchedule3[[#Headers],[Payment Number]])),"")</f>
        <v>125</v>
      </c>
      <c r="C138" s="24">
        <f ca="1">IF(PaymentSchedule3[[#This Row],[Payment Number]]&lt;&gt;"",EOMONTH(LoanStartDate,ROW(PaymentSchedule3[[#This Row],[Payment Number]])-ROW(PaymentSchedule3[[#Headers],[Payment Number]])-2)+DAY(LoanStartDate),"")</f>
        <v>49228</v>
      </c>
      <c r="D138" s="25">
        <f ca="1">IF(PaymentSchedule3[[#This Row],[Payment Number]]&lt;&gt;"",IF(ROW()-ROW(PaymentSchedule3[[#Headers],[Beginning
Balance]])=1,LoanAmount,INDEX(PaymentSchedule3[Ending
Balance],ROW()-ROW(PaymentSchedule3[[#Headers],[Beginning
Balance]])-1)),"")</f>
        <v>299815.70136824885</v>
      </c>
      <c r="E138" s="25">
        <f ca="1">IF(PaymentSchedule3[[#This Row],[Payment Number]]&lt;&gt;"",ScheduledPayment,"")</f>
        <v>2387.6169801966716</v>
      </c>
      <c r="F1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8" s="25">
        <f ca="1">IF(PaymentSchedule3[[#This Row],[Payment Number]]&lt;&gt;"",PaymentSchedule3[[#This Row],[Total
Payment]]-PaymentSchedule3[[#This Row],[Interest]],"")</f>
        <v>576.23045109683494</v>
      </c>
      <c r="I138" s="25">
        <f ca="1">IF(PaymentSchedule3[[#This Row],[Payment Number]]&lt;&gt;"",PaymentSchedule3[[#This Row],[Beginning
Balance]]*(InterestRate/PaymentsPerYear),"")</f>
        <v>1811.3865290998367</v>
      </c>
      <c r="J138" s="25">
        <f ca="1">IF(PaymentSchedule3[[#This Row],[Payment Number]]&lt;&gt;"",IF(PaymentSchedule3[[#This Row],[Scheduled Payment]]+PaymentSchedule3[[#This Row],[Extra
Payment]]&lt;=PaymentSchedule3[[#This Row],[Beginning
Balance]],PaymentSchedule3[[#This Row],[Beginning
Balance]]-PaymentSchedule3[[#This Row],[Principal]],0),"")</f>
        <v>299239.47091715201</v>
      </c>
      <c r="K138" s="25">
        <f ca="1">IF(PaymentSchedule3[[#This Row],[Payment Number]]&lt;&gt;"",SUM(INDEX(PaymentSchedule3[Interest],1,1):PaymentSchedule3[[#This Row],[Interest]]),"")</f>
        <v>247691.59344173607</v>
      </c>
    </row>
    <row r="139" spans="2:11" x14ac:dyDescent="0.3">
      <c r="B139" s="23">
        <f ca="1">IF(LoanIsGood,IF(ROW()-ROW(PaymentSchedule3[[#Headers],[Payment Number]])&gt;ScheduledNumberOfPayments,"",ROW()-ROW(PaymentSchedule3[[#Headers],[Payment Number]])),"")</f>
        <v>126</v>
      </c>
      <c r="C139" s="24">
        <f ca="1">IF(PaymentSchedule3[[#This Row],[Payment Number]]&lt;&gt;"",EOMONTH(LoanStartDate,ROW(PaymentSchedule3[[#This Row],[Payment Number]])-ROW(PaymentSchedule3[[#Headers],[Payment Number]])-2)+DAY(LoanStartDate),"")</f>
        <v>49259</v>
      </c>
      <c r="D139" s="25">
        <f ca="1">IF(PaymentSchedule3[[#This Row],[Payment Number]]&lt;&gt;"",IF(ROW()-ROW(PaymentSchedule3[[#Headers],[Beginning
Balance]])=1,LoanAmount,INDEX(PaymentSchedule3[Ending
Balance],ROW()-ROW(PaymentSchedule3[[#Headers],[Beginning
Balance]])-1)),"")</f>
        <v>299239.47091715201</v>
      </c>
      <c r="E139" s="25">
        <f ca="1">IF(PaymentSchedule3[[#This Row],[Payment Number]]&lt;&gt;"",ScheduledPayment,"")</f>
        <v>2387.6169801966716</v>
      </c>
      <c r="F1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39" s="25">
        <f ca="1">IF(PaymentSchedule3[[#This Row],[Payment Number]]&lt;&gt;"",PaymentSchedule3[[#This Row],[Total
Payment]]-PaymentSchedule3[[#This Row],[Interest]],"")</f>
        <v>579.71184340554487</v>
      </c>
      <c r="I139" s="25">
        <f ca="1">IF(PaymentSchedule3[[#This Row],[Payment Number]]&lt;&gt;"",PaymentSchedule3[[#This Row],[Beginning
Balance]]*(InterestRate/PaymentsPerYear),"")</f>
        <v>1807.9051367911268</v>
      </c>
      <c r="J139" s="25">
        <f ca="1">IF(PaymentSchedule3[[#This Row],[Payment Number]]&lt;&gt;"",IF(PaymentSchedule3[[#This Row],[Scheduled Payment]]+PaymentSchedule3[[#This Row],[Extra
Payment]]&lt;=PaymentSchedule3[[#This Row],[Beginning
Balance]],PaymentSchedule3[[#This Row],[Beginning
Balance]]-PaymentSchedule3[[#This Row],[Principal]],0),"")</f>
        <v>298659.75907374645</v>
      </c>
      <c r="K139" s="25">
        <f ca="1">IF(PaymentSchedule3[[#This Row],[Payment Number]]&lt;&gt;"",SUM(INDEX(PaymentSchedule3[Interest],1,1):PaymentSchedule3[[#This Row],[Interest]]),"")</f>
        <v>249499.49857852719</v>
      </c>
    </row>
    <row r="140" spans="2:11" x14ac:dyDescent="0.3">
      <c r="B140" s="23">
        <f ca="1">IF(LoanIsGood,IF(ROW()-ROW(PaymentSchedule3[[#Headers],[Payment Number]])&gt;ScheduledNumberOfPayments,"",ROW()-ROW(PaymentSchedule3[[#Headers],[Payment Number]])),"")</f>
        <v>127</v>
      </c>
      <c r="C140" s="24">
        <f ca="1">IF(PaymentSchedule3[[#This Row],[Payment Number]]&lt;&gt;"",EOMONTH(LoanStartDate,ROW(PaymentSchedule3[[#This Row],[Payment Number]])-ROW(PaymentSchedule3[[#Headers],[Payment Number]])-2)+DAY(LoanStartDate),"")</f>
        <v>49289</v>
      </c>
      <c r="D140" s="25">
        <f ca="1">IF(PaymentSchedule3[[#This Row],[Payment Number]]&lt;&gt;"",IF(ROW()-ROW(PaymentSchedule3[[#Headers],[Beginning
Balance]])=1,LoanAmount,INDEX(PaymentSchedule3[Ending
Balance],ROW()-ROW(PaymentSchedule3[[#Headers],[Beginning
Balance]])-1)),"")</f>
        <v>298659.75907374645</v>
      </c>
      <c r="E140" s="25">
        <f ca="1">IF(PaymentSchedule3[[#This Row],[Payment Number]]&lt;&gt;"",ScheduledPayment,"")</f>
        <v>2387.6169801966716</v>
      </c>
      <c r="F1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0" s="25">
        <f ca="1">IF(PaymentSchedule3[[#This Row],[Payment Number]]&lt;&gt;"",PaymentSchedule3[[#This Row],[Total
Payment]]-PaymentSchedule3[[#This Row],[Interest]],"")</f>
        <v>583.21426912612014</v>
      </c>
      <c r="I140" s="25">
        <f ca="1">IF(PaymentSchedule3[[#This Row],[Payment Number]]&lt;&gt;"",PaymentSchedule3[[#This Row],[Beginning
Balance]]*(InterestRate/PaymentsPerYear),"")</f>
        <v>1804.4027110705515</v>
      </c>
      <c r="J140" s="25">
        <f ca="1">IF(PaymentSchedule3[[#This Row],[Payment Number]]&lt;&gt;"",IF(PaymentSchedule3[[#This Row],[Scheduled Payment]]+PaymentSchedule3[[#This Row],[Extra
Payment]]&lt;=PaymentSchedule3[[#This Row],[Beginning
Balance]],PaymentSchedule3[[#This Row],[Beginning
Balance]]-PaymentSchedule3[[#This Row],[Principal]],0),"")</f>
        <v>298076.54480462032</v>
      </c>
      <c r="K140" s="25">
        <f ca="1">IF(PaymentSchedule3[[#This Row],[Payment Number]]&lt;&gt;"",SUM(INDEX(PaymentSchedule3[Interest],1,1):PaymentSchedule3[[#This Row],[Interest]]),"")</f>
        <v>251303.90128959774</v>
      </c>
    </row>
    <row r="141" spans="2:11" x14ac:dyDescent="0.3">
      <c r="B141" s="23">
        <f ca="1">IF(LoanIsGood,IF(ROW()-ROW(PaymentSchedule3[[#Headers],[Payment Number]])&gt;ScheduledNumberOfPayments,"",ROW()-ROW(PaymentSchedule3[[#Headers],[Payment Number]])),"")</f>
        <v>128</v>
      </c>
      <c r="C141" s="24">
        <f ca="1">IF(PaymentSchedule3[[#This Row],[Payment Number]]&lt;&gt;"",EOMONTH(LoanStartDate,ROW(PaymentSchedule3[[#This Row],[Payment Number]])-ROW(PaymentSchedule3[[#Headers],[Payment Number]])-2)+DAY(LoanStartDate),"")</f>
        <v>49320</v>
      </c>
      <c r="D141" s="25">
        <f ca="1">IF(PaymentSchedule3[[#This Row],[Payment Number]]&lt;&gt;"",IF(ROW()-ROW(PaymentSchedule3[[#Headers],[Beginning
Balance]])=1,LoanAmount,INDEX(PaymentSchedule3[Ending
Balance],ROW()-ROW(PaymentSchedule3[[#Headers],[Beginning
Balance]])-1)),"")</f>
        <v>298076.54480462032</v>
      </c>
      <c r="E141" s="25">
        <f ca="1">IF(PaymentSchedule3[[#This Row],[Payment Number]]&lt;&gt;"",ScheduledPayment,"")</f>
        <v>2387.6169801966716</v>
      </c>
      <c r="F1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1" s="25">
        <f ca="1">IF(PaymentSchedule3[[#This Row],[Payment Number]]&lt;&gt;"",PaymentSchedule3[[#This Row],[Total
Payment]]-PaymentSchedule3[[#This Row],[Interest]],"")</f>
        <v>586.737855335424</v>
      </c>
      <c r="I141" s="25">
        <f ca="1">IF(PaymentSchedule3[[#This Row],[Payment Number]]&lt;&gt;"",PaymentSchedule3[[#This Row],[Beginning
Balance]]*(InterestRate/PaymentsPerYear),"")</f>
        <v>1800.8791248612476</v>
      </c>
      <c r="J141" s="25">
        <f ca="1">IF(PaymentSchedule3[[#This Row],[Payment Number]]&lt;&gt;"",IF(PaymentSchedule3[[#This Row],[Scheduled Payment]]+PaymentSchedule3[[#This Row],[Extra
Payment]]&lt;=PaymentSchedule3[[#This Row],[Beginning
Balance]],PaymentSchedule3[[#This Row],[Beginning
Balance]]-PaymentSchedule3[[#This Row],[Principal]],0),"")</f>
        <v>297489.80694928492</v>
      </c>
      <c r="K141" s="25">
        <f ca="1">IF(PaymentSchedule3[[#This Row],[Payment Number]]&lt;&gt;"",SUM(INDEX(PaymentSchedule3[Interest],1,1):PaymentSchedule3[[#This Row],[Interest]]),"")</f>
        <v>253104.78041445898</v>
      </c>
    </row>
    <row r="142" spans="2:11" x14ac:dyDescent="0.3">
      <c r="B142" s="23">
        <f ca="1">IF(LoanIsGood,IF(ROW()-ROW(PaymentSchedule3[[#Headers],[Payment Number]])&gt;ScheduledNumberOfPayments,"",ROW()-ROW(PaymentSchedule3[[#Headers],[Payment Number]])),"")</f>
        <v>129</v>
      </c>
      <c r="C142" s="24">
        <f ca="1">IF(PaymentSchedule3[[#This Row],[Payment Number]]&lt;&gt;"",EOMONTH(LoanStartDate,ROW(PaymentSchedule3[[#This Row],[Payment Number]])-ROW(PaymentSchedule3[[#Headers],[Payment Number]])-2)+DAY(LoanStartDate),"")</f>
        <v>49351</v>
      </c>
      <c r="D142" s="25">
        <f ca="1">IF(PaymentSchedule3[[#This Row],[Payment Number]]&lt;&gt;"",IF(ROW()-ROW(PaymentSchedule3[[#Headers],[Beginning
Balance]])=1,LoanAmount,INDEX(PaymentSchedule3[Ending
Balance],ROW()-ROW(PaymentSchedule3[[#Headers],[Beginning
Balance]])-1)),"")</f>
        <v>297489.80694928492</v>
      </c>
      <c r="E142" s="25">
        <f ca="1">IF(PaymentSchedule3[[#This Row],[Payment Number]]&lt;&gt;"",ScheduledPayment,"")</f>
        <v>2387.6169801966716</v>
      </c>
      <c r="F1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2" s="25">
        <f ca="1">IF(PaymentSchedule3[[#This Row],[Payment Number]]&lt;&gt;"",PaymentSchedule3[[#This Row],[Total
Payment]]-PaymentSchedule3[[#This Row],[Interest]],"")</f>
        <v>590.28272987807532</v>
      </c>
      <c r="I142" s="25">
        <f ca="1">IF(PaymentSchedule3[[#This Row],[Payment Number]]&lt;&gt;"",PaymentSchedule3[[#This Row],[Beginning
Balance]]*(InterestRate/PaymentsPerYear),"")</f>
        <v>1797.3342503185963</v>
      </c>
      <c r="J142" s="25">
        <f ca="1">IF(PaymentSchedule3[[#This Row],[Payment Number]]&lt;&gt;"",IF(PaymentSchedule3[[#This Row],[Scheduled Payment]]+PaymentSchedule3[[#This Row],[Extra
Payment]]&lt;=PaymentSchedule3[[#This Row],[Beginning
Balance]],PaymentSchedule3[[#This Row],[Beginning
Balance]]-PaymentSchedule3[[#This Row],[Principal]],0),"")</f>
        <v>296899.52421940683</v>
      </c>
      <c r="K142" s="25">
        <f ca="1">IF(PaymentSchedule3[[#This Row],[Payment Number]]&lt;&gt;"",SUM(INDEX(PaymentSchedule3[Interest],1,1):PaymentSchedule3[[#This Row],[Interest]]),"")</f>
        <v>254902.11466477756</v>
      </c>
    </row>
    <row r="143" spans="2:11" x14ac:dyDescent="0.3">
      <c r="B143" s="23">
        <f ca="1">IF(LoanIsGood,IF(ROW()-ROW(PaymentSchedule3[[#Headers],[Payment Number]])&gt;ScheduledNumberOfPayments,"",ROW()-ROW(PaymentSchedule3[[#Headers],[Payment Number]])),"")</f>
        <v>130</v>
      </c>
      <c r="C143" s="24">
        <f ca="1">IF(PaymentSchedule3[[#This Row],[Payment Number]]&lt;&gt;"",EOMONTH(LoanStartDate,ROW(PaymentSchedule3[[#This Row],[Payment Number]])-ROW(PaymentSchedule3[[#Headers],[Payment Number]])-2)+DAY(LoanStartDate),"")</f>
        <v>49379</v>
      </c>
      <c r="D143" s="25">
        <f ca="1">IF(PaymentSchedule3[[#This Row],[Payment Number]]&lt;&gt;"",IF(ROW()-ROW(PaymentSchedule3[[#Headers],[Beginning
Balance]])=1,LoanAmount,INDEX(PaymentSchedule3[Ending
Balance],ROW()-ROW(PaymentSchedule3[[#Headers],[Beginning
Balance]])-1)),"")</f>
        <v>296899.52421940683</v>
      </c>
      <c r="E143" s="25">
        <f ca="1">IF(PaymentSchedule3[[#This Row],[Payment Number]]&lt;&gt;"",ScheduledPayment,"")</f>
        <v>2387.6169801966716</v>
      </c>
      <c r="F1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3" s="25">
        <f ca="1">IF(PaymentSchedule3[[#This Row],[Payment Number]]&lt;&gt;"",PaymentSchedule3[[#This Row],[Total
Payment]]-PaymentSchedule3[[#This Row],[Interest]],"")</f>
        <v>593.84902137108884</v>
      </c>
      <c r="I143" s="25">
        <f ca="1">IF(PaymentSchedule3[[#This Row],[Payment Number]]&lt;&gt;"",PaymentSchedule3[[#This Row],[Beginning
Balance]]*(InterestRate/PaymentsPerYear),"")</f>
        <v>1793.7679588255828</v>
      </c>
      <c r="J143" s="25">
        <f ca="1">IF(PaymentSchedule3[[#This Row],[Payment Number]]&lt;&gt;"",IF(PaymentSchedule3[[#This Row],[Scheduled Payment]]+PaymentSchedule3[[#This Row],[Extra
Payment]]&lt;=PaymentSchedule3[[#This Row],[Beginning
Balance]],PaymentSchedule3[[#This Row],[Beginning
Balance]]-PaymentSchedule3[[#This Row],[Principal]],0),"")</f>
        <v>296305.67519803572</v>
      </c>
      <c r="K143" s="25">
        <f ca="1">IF(PaymentSchedule3[[#This Row],[Payment Number]]&lt;&gt;"",SUM(INDEX(PaymentSchedule3[Interest],1,1):PaymentSchedule3[[#This Row],[Interest]]),"")</f>
        <v>256695.88262360313</v>
      </c>
    </row>
    <row r="144" spans="2:11" x14ac:dyDescent="0.3">
      <c r="B144" s="23">
        <f ca="1">IF(LoanIsGood,IF(ROW()-ROW(PaymentSchedule3[[#Headers],[Payment Number]])&gt;ScheduledNumberOfPayments,"",ROW()-ROW(PaymentSchedule3[[#Headers],[Payment Number]])),"")</f>
        <v>131</v>
      </c>
      <c r="C144" s="24">
        <f ca="1">IF(PaymentSchedule3[[#This Row],[Payment Number]]&lt;&gt;"",EOMONTH(LoanStartDate,ROW(PaymentSchedule3[[#This Row],[Payment Number]])-ROW(PaymentSchedule3[[#Headers],[Payment Number]])-2)+DAY(LoanStartDate),"")</f>
        <v>49410</v>
      </c>
      <c r="D144" s="25">
        <f ca="1">IF(PaymentSchedule3[[#This Row],[Payment Number]]&lt;&gt;"",IF(ROW()-ROW(PaymentSchedule3[[#Headers],[Beginning
Balance]])=1,LoanAmount,INDEX(PaymentSchedule3[Ending
Balance],ROW()-ROW(PaymentSchedule3[[#Headers],[Beginning
Balance]])-1)),"")</f>
        <v>296305.67519803572</v>
      </c>
      <c r="E144" s="25">
        <f ca="1">IF(PaymentSchedule3[[#This Row],[Payment Number]]&lt;&gt;"",ScheduledPayment,"")</f>
        <v>2387.6169801966716</v>
      </c>
      <c r="F1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4" s="25">
        <f ca="1">IF(PaymentSchedule3[[#This Row],[Payment Number]]&lt;&gt;"",PaymentSchedule3[[#This Row],[Total
Payment]]-PaymentSchedule3[[#This Row],[Interest]],"")</f>
        <v>597.43685920853909</v>
      </c>
      <c r="I144" s="25">
        <f ca="1">IF(PaymentSchedule3[[#This Row],[Payment Number]]&lt;&gt;"",PaymentSchedule3[[#This Row],[Beginning
Balance]]*(InterestRate/PaymentsPerYear),"")</f>
        <v>1790.1801209881326</v>
      </c>
      <c r="J144" s="25">
        <f ca="1">IF(PaymentSchedule3[[#This Row],[Payment Number]]&lt;&gt;"",IF(PaymentSchedule3[[#This Row],[Scheduled Payment]]+PaymentSchedule3[[#This Row],[Extra
Payment]]&lt;=PaymentSchedule3[[#This Row],[Beginning
Balance]],PaymentSchedule3[[#This Row],[Beginning
Balance]]-PaymentSchedule3[[#This Row],[Principal]],0),"")</f>
        <v>295708.23833882716</v>
      </c>
      <c r="K144" s="25">
        <f ca="1">IF(PaymentSchedule3[[#This Row],[Payment Number]]&lt;&gt;"",SUM(INDEX(PaymentSchedule3[Interest],1,1):PaymentSchedule3[[#This Row],[Interest]]),"")</f>
        <v>258486.06274459127</v>
      </c>
    </row>
    <row r="145" spans="2:11" x14ac:dyDescent="0.3">
      <c r="B145" s="23">
        <f ca="1">IF(LoanIsGood,IF(ROW()-ROW(PaymentSchedule3[[#Headers],[Payment Number]])&gt;ScheduledNumberOfPayments,"",ROW()-ROW(PaymentSchedule3[[#Headers],[Payment Number]])),"")</f>
        <v>132</v>
      </c>
      <c r="C145" s="24">
        <f ca="1">IF(PaymentSchedule3[[#This Row],[Payment Number]]&lt;&gt;"",EOMONTH(LoanStartDate,ROW(PaymentSchedule3[[#This Row],[Payment Number]])-ROW(PaymentSchedule3[[#Headers],[Payment Number]])-2)+DAY(LoanStartDate),"")</f>
        <v>49440</v>
      </c>
      <c r="D145" s="25">
        <f ca="1">IF(PaymentSchedule3[[#This Row],[Payment Number]]&lt;&gt;"",IF(ROW()-ROW(PaymentSchedule3[[#Headers],[Beginning
Balance]])=1,LoanAmount,INDEX(PaymentSchedule3[Ending
Balance],ROW()-ROW(PaymentSchedule3[[#Headers],[Beginning
Balance]])-1)),"")</f>
        <v>295708.23833882716</v>
      </c>
      <c r="E145" s="25">
        <f ca="1">IF(PaymentSchedule3[[#This Row],[Payment Number]]&lt;&gt;"",ScheduledPayment,"")</f>
        <v>2387.6169801966716</v>
      </c>
      <c r="F1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5" s="25">
        <f ca="1">IF(PaymentSchedule3[[#This Row],[Payment Number]]&lt;&gt;"",PaymentSchedule3[[#This Row],[Total
Payment]]-PaymentSchedule3[[#This Row],[Interest]],"")</f>
        <v>601.04637356625767</v>
      </c>
      <c r="I145" s="25">
        <f ca="1">IF(PaymentSchedule3[[#This Row],[Payment Number]]&lt;&gt;"",PaymentSchedule3[[#This Row],[Beginning
Balance]]*(InterestRate/PaymentsPerYear),"")</f>
        <v>1786.570606630414</v>
      </c>
      <c r="J145" s="25">
        <f ca="1">IF(PaymentSchedule3[[#This Row],[Payment Number]]&lt;&gt;"",IF(PaymentSchedule3[[#This Row],[Scheduled Payment]]+PaymentSchedule3[[#This Row],[Extra
Payment]]&lt;=PaymentSchedule3[[#This Row],[Beginning
Balance]],PaymentSchedule3[[#This Row],[Beginning
Balance]]-PaymentSchedule3[[#This Row],[Principal]],0),"")</f>
        <v>295107.19196526089</v>
      </c>
      <c r="K145" s="25">
        <f ca="1">IF(PaymentSchedule3[[#This Row],[Payment Number]]&lt;&gt;"",SUM(INDEX(PaymentSchedule3[Interest],1,1):PaymentSchedule3[[#This Row],[Interest]]),"")</f>
        <v>260272.63335122168</v>
      </c>
    </row>
    <row r="146" spans="2:11" x14ac:dyDescent="0.3">
      <c r="B146" s="23">
        <f ca="1">IF(LoanIsGood,IF(ROW()-ROW(PaymentSchedule3[[#Headers],[Payment Number]])&gt;ScheduledNumberOfPayments,"",ROW()-ROW(PaymentSchedule3[[#Headers],[Payment Number]])),"")</f>
        <v>133</v>
      </c>
      <c r="C146" s="24">
        <f ca="1">IF(PaymentSchedule3[[#This Row],[Payment Number]]&lt;&gt;"",EOMONTH(LoanStartDate,ROW(PaymentSchedule3[[#This Row],[Payment Number]])-ROW(PaymentSchedule3[[#Headers],[Payment Number]])-2)+DAY(LoanStartDate),"")</f>
        <v>49471</v>
      </c>
      <c r="D146" s="25">
        <f ca="1">IF(PaymentSchedule3[[#This Row],[Payment Number]]&lt;&gt;"",IF(ROW()-ROW(PaymentSchedule3[[#Headers],[Beginning
Balance]])=1,LoanAmount,INDEX(PaymentSchedule3[Ending
Balance],ROW()-ROW(PaymentSchedule3[[#Headers],[Beginning
Balance]])-1)),"")</f>
        <v>295107.19196526089</v>
      </c>
      <c r="E146" s="25">
        <f ca="1">IF(PaymentSchedule3[[#This Row],[Payment Number]]&lt;&gt;"",ScheduledPayment,"")</f>
        <v>2387.6169801966716</v>
      </c>
      <c r="F1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6" s="25">
        <f ca="1">IF(PaymentSchedule3[[#This Row],[Payment Number]]&lt;&gt;"",PaymentSchedule3[[#This Row],[Total
Payment]]-PaymentSchedule3[[#This Row],[Interest]],"")</f>
        <v>604.67769540655377</v>
      </c>
      <c r="I146" s="25">
        <f ca="1">IF(PaymentSchedule3[[#This Row],[Payment Number]]&lt;&gt;"",PaymentSchedule3[[#This Row],[Beginning
Balance]]*(InterestRate/PaymentsPerYear),"")</f>
        <v>1782.9392847901179</v>
      </c>
      <c r="J146" s="25">
        <f ca="1">IF(PaymentSchedule3[[#This Row],[Payment Number]]&lt;&gt;"",IF(PaymentSchedule3[[#This Row],[Scheduled Payment]]+PaymentSchedule3[[#This Row],[Extra
Payment]]&lt;=PaymentSchedule3[[#This Row],[Beginning
Balance]],PaymentSchedule3[[#This Row],[Beginning
Balance]]-PaymentSchedule3[[#This Row],[Principal]],0),"")</f>
        <v>294502.51426985435</v>
      </c>
      <c r="K146" s="25">
        <f ca="1">IF(PaymentSchedule3[[#This Row],[Payment Number]]&lt;&gt;"",SUM(INDEX(PaymentSchedule3[Interest],1,1):PaymentSchedule3[[#This Row],[Interest]]),"")</f>
        <v>262055.57263601178</v>
      </c>
    </row>
    <row r="147" spans="2:11" x14ac:dyDescent="0.3">
      <c r="B147" s="23">
        <f ca="1">IF(LoanIsGood,IF(ROW()-ROW(PaymentSchedule3[[#Headers],[Payment Number]])&gt;ScheduledNumberOfPayments,"",ROW()-ROW(PaymentSchedule3[[#Headers],[Payment Number]])),"")</f>
        <v>134</v>
      </c>
      <c r="C147" s="24">
        <f ca="1">IF(PaymentSchedule3[[#This Row],[Payment Number]]&lt;&gt;"",EOMONTH(LoanStartDate,ROW(PaymentSchedule3[[#This Row],[Payment Number]])-ROW(PaymentSchedule3[[#Headers],[Payment Number]])-2)+DAY(LoanStartDate),"")</f>
        <v>49501</v>
      </c>
      <c r="D147" s="25">
        <f ca="1">IF(PaymentSchedule3[[#This Row],[Payment Number]]&lt;&gt;"",IF(ROW()-ROW(PaymentSchedule3[[#Headers],[Beginning
Balance]])=1,LoanAmount,INDEX(PaymentSchedule3[Ending
Balance],ROW()-ROW(PaymentSchedule3[[#Headers],[Beginning
Balance]])-1)),"")</f>
        <v>294502.51426985435</v>
      </c>
      <c r="E147" s="25">
        <f ca="1">IF(PaymentSchedule3[[#This Row],[Payment Number]]&lt;&gt;"",ScheduledPayment,"")</f>
        <v>2387.6169801966716</v>
      </c>
      <c r="F1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7" s="25">
        <f ca="1">IF(PaymentSchedule3[[#This Row],[Payment Number]]&lt;&gt;"",PaymentSchedule3[[#This Row],[Total
Payment]]-PaymentSchedule3[[#This Row],[Interest]],"")</f>
        <v>608.3309564829683</v>
      </c>
      <c r="I147" s="25">
        <f ca="1">IF(PaymentSchedule3[[#This Row],[Payment Number]]&lt;&gt;"",PaymentSchedule3[[#This Row],[Beginning
Balance]]*(InterestRate/PaymentsPerYear),"")</f>
        <v>1779.2860237137033</v>
      </c>
      <c r="J147" s="25">
        <f ca="1">IF(PaymentSchedule3[[#This Row],[Payment Number]]&lt;&gt;"",IF(PaymentSchedule3[[#This Row],[Scheduled Payment]]+PaymentSchedule3[[#This Row],[Extra
Payment]]&lt;=PaymentSchedule3[[#This Row],[Beginning
Balance]],PaymentSchedule3[[#This Row],[Beginning
Balance]]-PaymentSchedule3[[#This Row],[Principal]],0),"")</f>
        <v>293894.18331337138</v>
      </c>
      <c r="K147" s="25">
        <f ca="1">IF(PaymentSchedule3[[#This Row],[Payment Number]]&lt;&gt;"",SUM(INDEX(PaymentSchedule3[Interest],1,1):PaymentSchedule3[[#This Row],[Interest]]),"")</f>
        <v>263834.85865972546</v>
      </c>
    </row>
    <row r="148" spans="2:11" x14ac:dyDescent="0.3">
      <c r="B148" s="23">
        <f ca="1">IF(LoanIsGood,IF(ROW()-ROW(PaymentSchedule3[[#Headers],[Payment Number]])&gt;ScheduledNumberOfPayments,"",ROW()-ROW(PaymentSchedule3[[#Headers],[Payment Number]])),"")</f>
        <v>135</v>
      </c>
      <c r="C148" s="24">
        <f ca="1">IF(PaymentSchedule3[[#This Row],[Payment Number]]&lt;&gt;"",EOMONTH(LoanStartDate,ROW(PaymentSchedule3[[#This Row],[Payment Number]])-ROW(PaymentSchedule3[[#Headers],[Payment Number]])-2)+DAY(LoanStartDate),"")</f>
        <v>49532</v>
      </c>
      <c r="D148" s="25">
        <f ca="1">IF(PaymentSchedule3[[#This Row],[Payment Number]]&lt;&gt;"",IF(ROW()-ROW(PaymentSchedule3[[#Headers],[Beginning
Balance]])=1,LoanAmount,INDEX(PaymentSchedule3[Ending
Balance],ROW()-ROW(PaymentSchedule3[[#Headers],[Beginning
Balance]])-1)),"")</f>
        <v>293894.18331337138</v>
      </c>
      <c r="E148" s="25">
        <f ca="1">IF(PaymentSchedule3[[#This Row],[Payment Number]]&lt;&gt;"",ScheduledPayment,"")</f>
        <v>2387.6169801966716</v>
      </c>
      <c r="F1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8" s="25">
        <f ca="1">IF(PaymentSchedule3[[#This Row],[Payment Number]]&lt;&gt;"",PaymentSchedule3[[#This Row],[Total
Payment]]-PaymentSchedule3[[#This Row],[Interest]],"")</f>
        <v>612.00628934505289</v>
      </c>
      <c r="I148" s="25">
        <f ca="1">IF(PaymentSchedule3[[#This Row],[Payment Number]]&lt;&gt;"",PaymentSchedule3[[#This Row],[Beginning
Balance]]*(InterestRate/PaymentsPerYear),"")</f>
        <v>1775.6106908516188</v>
      </c>
      <c r="J148" s="25">
        <f ca="1">IF(PaymentSchedule3[[#This Row],[Payment Number]]&lt;&gt;"",IF(PaymentSchedule3[[#This Row],[Scheduled Payment]]+PaymentSchedule3[[#This Row],[Extra
Payment]]&lt;=PaymentSchedule3[[#This Row],[Beginning
Balance]],PaymentSchedule3[[#This Row],[Beginning
Balance]]-PaymentSchedule3[[#This Row],[Principal]],0),"")</f>
        <v>293282.17702402634</v>
      </c>
      <c r="K148" s="25">
        <f ca="1">IF(PaymentSchedule3[[#This Row],[Payment Number]]&lt;&gt;"",SUM(INDEX(PaymentSchedule3[Interest],1,1):PaymentSchedule3[[#This Row],[Interest]]),"")</f>
        <v>265610.4693505771</v>
      </c>
    </row>
    <row r="149" spans="2:11" x14ac:dyDescent="0.3">
      <c r="B149" s="23">
        <f ca="1">IF(LoanIsGood,IF(ROW()-ROW(PaymentSchedule3[[#Headers],[Payment Number]])&gt;ScheduledNumberOfPayments,"",ROW()-ROW(PaymentSchedule3[[#Headers],[Payment Number]])),"")</f>
        <v>136</v>
      </c>
      <c r="C149" s="24">
        <f ca="1">IF(PaymentSchedule3[[#This Row],[Payment Number]]&lt;&gt;"",EOMONTH(LoanStartDate,ROW(PaymentSchedule3[[#This Row],[Payment Number]])-ROW(PaymentSchedule3[[#Headers],[Payment Number]])-2)+DAY(LoanStartDate),"")</f>
        <v>49563</v>
      </c>
      <c r="D149" s="25">
        <f ca="1">IF(PaymentSchedule3[[#This Row],[Payment Number]]&lt;&gt;"",IF(ROW()-ROW(PaymentSchedule3[[#Headers],[Beginning
Balance]])=1,LoanAmount,INDEX(PaymentSchedule3[Ending
Balance],ROW()-ROW(PaymentSchedule3[[#Headers],[Beginning
Balance]])-1)),"")</f>
        <v>293282.17702402634</v>
      </c>
      <c r="E149" s="25">
        <f ca="1">IF(PaymentSchedule3[[#This Row],[Payment Number]]&lt;&gt;"",ScheduledPayment,"")</f>
        <v>2387.6169801966716</v>
      </c>
      <c r="F1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49" s="25">
        <f ca="1">IF(PaymentSchedule3[[#This Row],[Payment Number]]&lt;&gt;"",PaymentSchedule3[[#This Row],[Total
Payment]]-PaymentSchedule3[[#This Row],[Interest]],"")</f>
        <v>615.70382734317923</v>
      </c>
      <c r="I149" s="25">
        <f ca="1">IF(PaymentSchedule3[[#This Row],[Payment Number]]&lt;&gt;"",PaymentSchedule3[[#This Row],[Beginning
Balance]]*(InterestRate/PaymentsPerYear),"")</f>
        <v>1771.9131528534924</v>
      </c>
      <c r="J149" s="25">
        <f ca="1">IF(PaymentSchedule3[[#This Row],[Payment Number]]&lt;&gt;"",IF(PaymentSchedule3[[#This Row],[Scheduled Payment]]+PaymentSchedule3[[#This Row],[Extra
Payment]]&lt;=PaymentSchedule3[[#This Row],[Beginning
Balance]],PaymentSchedule3[[#This Row],[Beginning
Balance]]-PaymentSchedule3[[#This Row],[Principal]],0),"")</f>
        <v>292666.47319668316</v>
      </c>
      <c r="K149" s="25">
        <f ca="1">IF(PaymentSchedule3[[#This Row],[Payment Number]]&lt;&gt;"",SUM(INDEX(PaymentSchedule3[Interest],1,1):PaymentSchedule3[[#This Row],[Interest]]),"")</f>
        <v>267382.38250343059</v>
      </c>
    </row>
    <row r="150" spans="2:11" x14ac:dyDescent="0.3">
      <c r="B150" s="23">
        <f ca="1">IF(LoanIsGood,IF(ROW()-ROW(PaymentSchedule3[[#Headers],[Payment Number]])&gt;ScheduledNumberOfPayments,"",ROW()-ROW(PaymentSchedule3[[#Headers],[Payment Number]])),"")</f>
        <v>137</v>
      </c>
      <c r="C150" s="24">
        <f ca="1">IF(PaymentSchedule3[[#This Row],[Payment Number]]&lt;&gt;"",EOMONTH(LoanStartDate,ROW(PaymentSchedule3[[#This Row],[Payment Number]])-ROW(PaymentSchedule3[[#Headers],[Payment Number]])-2)+DAY(LoanStartDate),"")</f>
        <v>49593</v>
      </c>
      <c r="D150" s="25">
        <f ca="1">IF(PaymentSchedule3[[#This Row],[Payment Number]]&lt;&gt;"",IF(ROW()-ROW(PaymentSchedule3[[#Headers],[Beginning
Balance]])=1,LoanAmount,INDEX(PaymentSchedule3[Ending
Balance],ROW()-ROW(PaymentSchedule3[[#Headers],[Beginning
Balance]])-1)),"")</f>
        <v>292666.47319668316</v>
      </c>
      <c r="E150" s="25">
        <f ca="1">IF(PaymentSchedule3[[#This Row],[Payment Number]]&lt;&gt;"",ScheduledPayment,"")</f>
        <v>2387.6169801966716</v>
      </c>
      <c r="F1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0" s="25">
        <f ca="1">IF(PaymentSchedule3[[#This Row],[Payment Number]]&lt;&gt;"",PaymentSchedule3[[#This Row],[Total
Payment]]-PaymentSchedule3[[#This Row],[Interest]],"")</f>
        <v>619.42370463337761</v>
      </c>
      <c r="I150" s="25">
        <f ca="1">IF(PaymentSchedule3[[#This Row],[Payment Number]]&lt;&gt;"",PaymentSchedule3[[#This Row],[Beginning
Balance]]*(InterestRate/PaymentsPerYear),"")</f>
        <v>1768.193275563294</v>
      </c>
      <c r="J150" s="25">
        <f ca="1">IF(PaymentSchedule3[[#This Row],[Payment Number]]&lt;&gt;"",IF(PaymentSchedule3[[#This Row],[Scheduled Payment]]+PaymentSchedule3[[#This Row],[Extra
Payment]]&lt;=PaymentSchedule3[[#This Row],[Beginning
Balance]],PaymentSchedule3[[#This Row],[Beginning
Balance]]-PaymentSchedule3[[#This Row],[Principal]],0),"")</f>
        <v>292047.04949204979</v>
      </c>
      <c r="K150" s="25">
        <f ca="1">IF(PaymentSchedule3[[#This Row],[Payment Number]]&lt;&gt;"",SUM(INDEX(PaymentSchedule3[Interest],1,1):PaymentSchedule3[[#This Row],[Interest]]),"")</f>
        <v>269150.57577899389</v>
      </c>
    </row>
    <row r="151" spans="2:11" x14ac:dyDescent="0.3">
      <c r="B151" s="23">
        <f ca="1">IF(LoanIsGood,IF(ROW()-ROW(PaymentSchedule3[[#Headers],[Payment Number]])&gt;ScheduledNumberOfPayments,"",ROW()-ROW(PaymentSchedule3[[#Headers],[Payment Number]])),"")</f>
        <v>138</v>
      </c>
      <c r="C151" s="24">
        <f ca="1">IF(PaymentSchedule3[[#This Row],[Payment Number]]&lt;&gt;"",EOMONTH(LoanStartDate,ROW(PaymentSchedule3[[#This Row],[Payment Number]])-ROW(PaymentSchedule3[[#Headers],[Payment Number]])-2)+DAY(LoanStartDate),"")</f>
        <v>49624</v>
      </c>
      <c r="D151" s="25">
        <f ca="1">IF(PaymentSchedule3[[#This Row],[Payment Number]]&lt;&gt;"",IF(ROW()-ROW(PaymentSchedule3[[#Headers],[Beginning
Balance]])=1,LoanAmount,INDEX(PaymentSchedule3[Ending
Balance],ROW()-ROW(PaymentSchedule3[[#Headers],[Beginning
Balance]])-1)),"")</f>
        <v>292047.04949204979</v>
      </c>
      <c r="E151" s="25">
        <f ca="1">IF(PaymentSchedule3[[#This Row],[Payment Number]]&lt;&gt;"",ScheduledPayment,"")</f>
        <v>2387.6169801966716</v>
      </c>
      <c r="F1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1" s="25">
        <f ca="1">IF(PaymentSchedule3[[#This Row],[Payment Number]]&lt;&gt;"",PaymentSchedule3[[#This Row],[Total
Payment]]-PaymentSchedule3[[#This Row],[Interest]],"")</f>
        <v>623.16605618220433</v>
      </c>
      <c r="I151" s="25">
        <f ca="1">IF(PaymentSchedule3[[#This Row],[Payment Number]]&lt;&gt;"",PaymentSchedule3[[#This Row],[Beginning
Balance]]*(InterestRate/PaymentsPerYear),"")</f>
        <v>1764.4509240144673</v>
      </c>
      <c r="J151" s="25">
        <f ca="1">IF(PaymentSchedule3[[#This Row],[Payment Number]]&lt;&gt;"",IF(PaymentSchedule3[[#This Row],[Scheduled Payment]]+PaymentSchedule3[[#This Row],[Extra
Payment]]&lt;=PaymentSchedule3[[#This Row],[Beginning
Balance]],PaymentSchedule3[[#This Row],[Beginning
Balance]]-PaymentSchedule3[[#This Row],[Principal]],0),"")</f>
        <v>291423.88343586761</v>
      </c>
      <c r="K151" s="25">
        <f ca="1">IF(PaymentSchedule3[[#This Row],[Payment Number]]&lt;&gt;"",SUM(INDEX(PaymentSchedule3[Interest],1,1):PaymentSchedule3[[#This Row],[Interest]]),"")</f>
        <v>270915.02670300833</v>
      </c>
    </row>
    <row r="152" spans="2:11" x14ac:dyDescent="0.3">
      <c r="B152" s="23">
        <f ca="1">IF(LoanIsGood,IF(ROW()-ROW(PaymentSchedule3[[#Headers],[Payment Number]])&gt;ScheduledNumberOfPayments,"",ROW()-ROW(PaymentSchedule3[[#Headers],[Payment Number]])),"")</f>
        <v>139</v>
      </c>
      <c r="C152" s="24">
        <f ca="1">IF(PaymentSchedule3[[#This Row],[Payment Number]]&lt;&gt;"",EOMONTH(LoanStartDate,ROW(PaymentSchedule3[[#This Row],[Payment Number]])-ROW(PaymentSchedule3[[#Headers],[Payment Number]])-2)+DAY(LoanStartDate),"")</f>
        <v>49654</v>
      </c>
      <c r="D152" s="25">
        <f ca="1">IF(PaymentSchedule3[[#This Row],[Payment Number]]&lt;&gt;"",IF(ROW()-ROW(PaymentSchedule3[[#Headers],[Beginning
Balance]])=1,LoanAmount,INDEX(PaymentSchedule3[Ending
Balance],ROW()-ROW(PaymentSchedule3[[#Headers],[Beginning
Balance]])-1)),"")</f>
        <v>291423.88343586761</v>
      </c>
      <c r="E152" s="25">
        <f ca="1">IF(PaymentSchedule3[[#This Row],[Payment Number]]&lt;&gt;"",ScheduledPayment,"")</f>
        <v>2387.6169801966716</v>
      </c>
      <c r="F1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2" s="25">
        <f ca="1">IF(PaymentSchedule3[[#This Row],[Payment Number]]&lt;&gt;"",PaymentSchedule3[[#This Row],[Total
Payment]]-PaymentSchedule3[[#This Row],[Interest]],"")</f>
        <v>626.93101777163815</v>
      </c>
      <c r="I152" s="25">
        <f ca="1">IF(PaymentSchedule3[[#This Row],[Payment Number]]&lt;&gt;"",PaymentSchedule3[[#This Row],[Beginning
Balance]]*(InterestRate/PaymentsPerYear),"")</f>
        <v>1760.6859624250335</v>
      </c>
      <c r="J152" s="25">
        <f ca="1">IF(PaymentSchedule3[[#This Row],[Payment Number]]&lt;&gt;"",IF(PaymentSchedule3[[#This Row],[Scheduled Payment]]+PaymentSchedule3[[#This Row],[Extra
Payment]]&lt;=PaymentSchedule3[[#This Row],[Beginning
Balance]],PaymentSchedule3[[#This Row],[Beginning
Balance]]-PaymentSchedule3[[#This Row],[Principal]],0),"")</f>
        <v>290796.95241809596</v>
      </c>
      <c r="K152" s="25">
        <f ca="1">IF(PaymentSchedule3[[#This Row],[Payment Number]]&lt;&gt;"",SUM(INDEX(PaymentSchedule3[Interest],1,1):PaymentSchedule3[[#This Row],[Interest]]),"")</f>
        <v>272675.71266543336</v>
      </c>
    </row>
    <row r="153" spans="2:11" x14ac:dyDescent="0.3">
      <c r="B153" s="23">
        <f ca="1">IF(LoanIsGood,IF(ROW()-ROW(PaymentSchedule3[[#Headers],[Payment Number]])&gt;ScheduledNumberOfPayments,"",ROW()-ROW(PaymentSchedule3[[#Headers],[Payment Number]])),"")</f>
        <v>140</v>
      </c>
      <c r="C153" s="24">
        <f ca="1">IF(PaymentSchedule3[[#This Row],[Payment Number]]&lt;&gt;"",EOMONTH(LoanStartDate,ROW(PaymentSchedule3[[#This Row],[Payment Number]])-ROW(PaymentSchedule3[[#Headers],[Payment Number]])-2)+DAY(LoanStartDate),"")</f>
        <v>49685</v>
      </c>
      <c r="D153" s="25">
        <f ca="1">IF(PaymentSchedule3[[#This Row],[Payment Number]]&lt;&gt;"",IF(ROW()-ROW(PaymentSchedule3[[#Headers],[Beginning
Balance]])=1,LoanAmount,INDEX(PaymentSchedule3[Ending
Balance],ROW()-ROW(PaymentSchedule3[[#Headers],[Beginning
Balance]])-1)),"")</f>
        <v>290796.95241809596</v>
      </c>
      <c r="E153" s="25">
        <f ca="1">IF(PaymentSchedule3[[#This Row],[Payment Number]]&lt;&gt;"",ScheduledPayment,"")</f>
        <v>2387.6169801966716</v>
      </c>
      <c r="F1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3" s="25">
        <f ca="1">IF(PaymentSchedule3[[#This Row],[Payment Number]]&lt;&gt;"",PaymentSchedule3[[#This Row],[Total
Payment]]-PaymentSchedule3[[#This Row],[Interest]],"")</f>
        <v>630.71872600400866</v>
      </c>
      <c r="I153" s="25">
        <f ca="1">IF(PaymentSchedule3[[#This Row],[Payment Number]]&lt;&gt;"",PaymentSchedule3[[#This Row],[Beginning
Balance]]*(InterestRate/PaymentsPerYear),"")</f>
        <v>1756.898254192663</v>
      </c>
      <c r="J153" s="25">
        <f ca="1">IF(PaymentSchedule3[[#This Row],[Payment Number]]&lt;&gt;"",IF(PaymentSchedule3[[#This Row],[Scheduled Payment]]+PaymentSchedule3[[#This Row],[Extra
Payment]]&lt;=PaymentSchedule3[[#This Row],[Beginning
Balance]],PaymentSchedule3[[#This Row],[Beginning
Balance]]-PaymentSchedule3[[#This Row],[Principal]],0),"")</f>
        <v>290166.23369209195</v>
      </c>
      <c r="K153" s="25">
        <f ca="1">IF(PaymentSchedule3[[#This Row],[Payment Number]]&lt;&gt;"",SUM(INDEX(PaymentSchedule3[Interest],1,1):PaymentSchedule3[[#This Row],[Interest]]),"")</f>
        <v>274432.61091962602</v>
      </c>
    </row>
    <row r="154" spans="2:11" x14ac:dyDescent="0.3">
      <c r="B154" s="23">
        <f ca="1">IF(LoanIsGood,IF(ROW()-ROW(PaymentSchedule3[[#Headers],[Payment Number]])&gt;ScheduledNumberOfPayments,"",ROW()-ROW(PaymentSchedule3[[#Headers],[Payment Number]])),"")</f>
        <v>141</v>
      </c>
      <c r="C154" s="24">
        <f ca="1">IF(PaymentSchedule3[[#This Row],[Payment Number]]&lt;&gt;"",EOMONTH(LoanStartDate,ROW(PaymentSchedule3[[#This Row],[Payment Number]])-ROW(PaymentSchedule3[[#Headers],[Payment Number]])-2)+DAY(LoanStartDate),"")</f>
        <v>49716</v>
      </c>
      <c r="D154" s="25">
        <f ca="1">IF(PaymentSchedule3[[#This Row],[Payment Number]]&lt;&gt;"",IF(ROW()-ROW(PaymentSchedule3[[#Headers],[Beginning
Balance]])=1,LoanAmount,INDEX(PaymentSchedule3[Ending
Balance],ROW()-ROW(PaymentSchedule3[[#Headers],[Beginning
Balance]])-1)),"")</f>
        <v>290166.23369209195</v>
      </c>
      <c r="E154" s="25">
        <f ca="1">IF(PaymentSchedule3[[#This Row],[Payment Number]]&lt;&gt;"",ScheduledPayment,"")</f>
        <v>2387.6169801966716</v>
      </c>
      <c r="F1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4" s="25">
        <f ca="1">IF(PaymentSchedule3[[#This Row],[Payment Number]]&lt;&gt;"",PaymentSchedule3[[#This Row],[Total
Payment]]-PaymentSchedule3[[#This Row],[Interest]],"")</f>
        <v>634.52931830694956</v>
      </c>
      <c r="I154" s="25">
        <f ca="1">IF(PaymentSchedule3[[#This Row],[Payment Number]]&lt;&gt;"",PaymentSchedule3[[#This Row],[Beginning
Balance]]*(InterestRate/PaymentsPerYear),"")</f>
        <v>1753.0876618897221</v>
      </c>
      <c r="J154" s="25">
        <f ca="1">IF(PaymentSchedule3[[#This Row],[Payment Number]]&lt;&gt;"",IF(PaymentSchedule3[[#This Row],[Scheduled Payment]]+PaymentSchedule3[[#This Row],[Extra
Payment]]&lt;=PaymentSchedule3[[#This Row],[Beginning
Balance]],PaymentSchedule3[[#This Row],[Beginning
Balance]]-PaymentSchedule3[[#This Row],[Principal]],0),"")</f>
        <v>289531.704373785</v>
      </c>
      <c r="K154" s="25">
        <f ca="1">IF(PaymentSchedule3[[#This Row],[Payment Number]]&lt;&gt;"",SUM(INDEX(PaymentSchedule3[Interest],1,1):PaymentSchedule3[[#This Row],[Interest]]),"")</f>
        <v>276185.69858151575</v>
      </c>
    </row>
    <row r="155" spans="2:11" x14ac:dyDescent="0.3">
      <c r="B155" s="23">
        <f ca="1">IF(LoanIsGood,IF(ROW()-ROW(PaymentSchedule3[[#Headers],[Payment Number]])&gt;ScheduledNumberOfPayments,"",ROW()-ROW(PaymentSchedule3[[#Headers],[Payment Number]])),"")</f>
        <v>142</v>
      </c>
      <c r="C155" s="24">
        <f ca="1">IF(PaymentSchedule3[[#This Row],[Payment Number]]&lt;&gt;"",EOMONTH(LoanStartDate,ROW(PaymentSchedule3[[#This Row],[Payment Number]])-ROW(PaymentSchedule3[[#Headers],[Payment Number]])-2)+DAY(LoanStartDate),"")</f>
        <v>49745</v>
      </c>
      <c r="D155" s="25">
        <f ca="1">IF(PaymentSchedule3[[#This Row],[Payment Number]]&lt;&gt;"",IF(ROW()-ROW(PaymentSchedule3[[#Headers],[Beginning
Balance]])=1,LoanAmount,INDEX(PaymentSchedule3[Ending
Balance],ROW()-ROW(PaymentSchedule3[[#Headers],[Beginning
Balance]])-1)),"")</f>
        <v>289531.704373785</v>
      </c>
      <c r="E155" s="25">
        <f ca="1">IF(PaymentSchedule3[[#This Row],[Payment Number]]&lt;&gt;"",ScheduledPayment,"")</f>
        <v>2387.6169801966716</v>
      </c>
      <c r="F1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5" s="25">
        <f ca="1">IF(PaymentSchedule3[[#This Row],[Payment Number]]&lt;&gt;"",PaymentSchedule3[[#This Row],[Total
Payment]]-PaymentSchedule3[[#This Row],[Interest]],"")</f>
        <v>638.3629329383873</v>
      </c>
      <c r="I155" s="25">
        <f ca="1">IF(PaymentSchedule3[[#This Row],[Payment Number]]&lt;&gt;"",PaymentSchedule3[[#This Row],[Beginning
Balance]]*(InterestRate/PaymentsPerYear),"")</f>
        <v>1749.2540472582843</v>
      </c>
      <c r="J155" s="25">
        <f ca="1">IF(PaymentSchedule3[[#This Row],[Payment Number]]&lt;&gt;"",IF(PaymentSchedule3[[#This Row],[Scheduled Payment]]+PaymentSchedule3[[#This Row],[Extra
Payment]]&lt;=PaymentSchedule3[[#This Row],[Beginning
Balance]],PaymentSchedule3[[#This Row],[Beginning
Balance]]-PaymentSchedule3[[#This Row],[Principal]],0),"")</f>
        <v>288893.34144084662</v>
      </c>
      <c r="K155" s="25">
        <f ca="1">IF(PaymentSchedule3[[#This Row],[Payment Number]]&lt;&gt;"",SUM(INDEX(PaymentSchedule3[Interest],1,1):PaymentSchedule3[[#This Row],[Interest]]),"")</f>
        <v>277934.95262877404</v>
      </c>
    </row>
    <row r="156" spans="2:11" x14ac:dyDescent="0.3">
      <c r="B156" s="23">
        <f ca="1">IF(LoanIsGood,IF(ROW()-ROW(PaymentSchedule3[[#Headers],[Payment Number]])&gt;ScheduledNumberOfPayments,"",ROW()-ROW(PaymentSchedule3[[#Headers],[Payment Number]])),"")</f>
        <v>143</v>
      </c>
      <c r="C156" s="24">
        <f ca="1">IF(PaymentSchedule3[[#This Row],[Payment Number]]&lt;&gt;"",EOMONTH(LoanStartDate,ROW(PaymentSchedule3[[#This Row],[Payment Number]])-ROW(PaymentSchedule3[[#Headers],[Payment Number]])-2)+DAY(LoanStartDate),"")</f>
        <v>49776</v>
      </c>
      <c r="D156" s="25">
        <f ca="1">IF(PaymentSchedule3[[#This Row],[Payment Number]]&lt;&gt;"",IF(ROW()-ROW(PaymentSchedule3[[#Headers],[Beginning
Balance]])=1,LoanAmount,INDEX(PaymentSchedule3[Ending
Balance],ROW()-ROW(PaymentSchedule3[[#Headers],[Beginning
Balance]])-1)),"")</f>
        <v>288893.34144084662</v>
      </c>
      <c r="E156" s="25">
        <f ca="1">IF(PaymentSchedule3[[#This Row],[Payment Number]]&lt;&gt;"",ScheduledPayment,"")</f>
        <v>2387.6169801966716</v>
      </c>
      <c r="F1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6" s="25">
        <f ca="1">IF(PaymentSchedule3[[#This Row],[Payment Number]]&lt;&gt;"",PaymentSchedule3[[#This Row],[Total
Payment]]-PaymentSchedule3[[#This Row],[Interest]],"")</f>
        <v>642.21970899155667</v>
      </c>
      <c r="I156" s="25">
        <f ca="1">IF(PaymentSchedule3[[#This Row],[Payment Number]]&lt;&gt;"",PaymentSchedule3[[#This Row],[Beginning
Balance]]*(InterestRate/PaymentsPerYear),"")</f>
        <v>1745.397271205115</v>
      </c>
      <c r="J156" s="25">
        <f ca="1">IF(PaymentSchedule3[[#This Row],[Payment Number]]&lt;&gt;"",IF(PaymentSchedule3[[#This Row],[Scheduled Payment]]+PaymentSchedule3[[#This Row],[Extra
Payment]]&lt;=PaymentSchedule3[[#This Row],[Beginning
Balance]],PaymentSchedule3[[#This Row],[Beginning
Balance]]-PaymentSchedule3[[#This Row],[Principal]],0),"")</f>
        <v>288251.12173185509</v>
      </c>
      <c r="K156" s="25">
        <f ca="1">IF(PaymentSchedule3[[#This Row],[Payment Number]]&lt;&gt;"",SUM(INDEX(PaymentSchedule3[Interest],1,1):PaymentSchedule3[[#This Row],[Interest]]),"")</f>
        <v>279680.34989997913</v>
      </c>
    </row>
    <row r="157" spans="2:11" x14ac:dyDescent="0.3">
      <c r="B157" s="23">
        <f ca="1">IF(LoanIsGood,IF(ROW()-ROW(PaymentSchedule3[[#Headers],[Payment Number]])&gt;ScheduledNumberOfPayments,"",ROW()-ROW(PaymentSchedule3[[#Headers],[Payment Number]])),"")</f>
        <v>144</v>
      </c>
      <c r="C157" s="24">
        <f ca="1">IF(PaymentSchedule3[[#This Row],[Payment Number]]&lt;&gt;"",EOMONTH(LoanStartDate,ROW(PaymentSchedule3[[#This Row],[Payment Number]])-ROW(PaymentSchedule3[[#Headers],[Payment Number]])-2)+DAY(LoanStartDate),"")</f>
        <v>49806</v>
      </c>
      <c r="D157" s="25">
        <f ca="1">IF(PaymentSchedule3[[#This Row],[Payment Number]]&lt;&gt;"",IF(ROW()-ROW(PaymentSchedule3[[#Headers],[Beginning
Balance]])=1,LoanAmount,INDEX(PaymentSchedule3[Ending
Balance],ROW()-ROW(PaymentSchedule3[[#Headers],[Beginning
Balance]])-1)),"")</f>
        <v>288251.12173185509</v>
      </c>
      <c r="E157" s="25">
        <f ca="1">IF(PaymentSchedule3[[#This Row],[Payment Number]]&lt;&gt;"",ScheduledPayment,"")</f>
        <v>2387.6169801966716</v>
      </c>
      <c r="F1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7" s="25">
        <f ca="1">IF(PaymentSchedule3[[#This Row],[Payment Number]]&lt;&gt;"",PaymentSchedule3[[#This Row],[Total
Payment]]-PaymentSchedule3[[#This Row],[Interest]],"")</f>
        <v>646.09978640004715</v>
      </c>
      <c r="I157" s="25">
        <f ca="1">IF(PaymentSchedule3[[#This Row],[Payment Number]]&lt;&gt;"",PaymentSchedule3[[#This Row],[Beginning
Balance]]*(InterestRate/PaymentsPerYear),"")</f>
        <v>1741.5171937966245</v>
      </c>
      <c r="J157" s="25">
        <f ca="1">IF(PaymentSchedule3[[#This Row],[Payment Number]]&lt;&gt;"",IF(PaymentSchedule3[[#This Row],[Scheduled Payment]]+PaymentSchedule3[[#This Row],[Extra
Payment]]&lt;=PaymentSchedule3[[#This Row],[Beginning
Balance]],PaymentSchedule3[[#This Row],[Beginning
Balance]]-PaymentSchedule3[[#This Row],[Principal]],0),"")</f>
        <v>287605.02194545505</v>
      </c>
      <c r="K157" s="25">
        <f ca="1">IF(PaymentSchedule3[[#This Row],[Payment Number]]&lt;&gt;"",SUM(INDEX(PaymentSchedule3[Interest],1,1):PaymentSchedule3[[#This Row],[Interest]]),"")</f>
        <v>281421.86709377577</v>
      </c>
    </row>
    <row r="158" spans="2:11" x14ac:dyDescent="0.3">
      <c r="B158" s="23">
        <f ca="1">IF(LoanIsGood,IF(ROW()-ROW(PaymentSchedule3[[#Headers],[Payment Number]])&gt;ScheduledNumberOfPayments,"",ROW()-ROW(PaymentSchedule3[[#Headers],[Payment Number]])),"")</f>
        <v>145</v>
      </c>
      <c r="C158" s="24">
        <f ca="1">IF(PaymentSchedule3[[#This Row],[Payment Number]]&lt;&gt;"",EOMONTH(LoanStartDate,ROW(PaymentSchedule3[[#This Row],[Payment Number]])-ROW(PaymentSchedule3[[#Headers],[Payment Number]])-2)+DAY(LoanStartDate),"")</f>
        <v>49837</v>
      </c>
      <c r="D158" s="25">
        <f ca="1">IF(PaymentSchedule3[[#This Row],[Payment Number]]&lt;&gt;"",IF(ROW()-ROW(PaymentSchedule3[[#Headers],[Beginning
Balance]])=1,LoanAmount,INDEX(PaymentSchedule3[Ending
Balance],ROW()-ROW(PaymentSchedule3[[#Headers],[Beginning
Balance]])-1)),"")</f>
        <v>287605.02194545505</v>
      </c>
      <c r="E158" s="25">
        <f ca="1">IF(PaymentSchedule3[[#This Row],[Payment Number]]&lt;&gt;"",ScheduledPayment,"")</f>
        <v>2387.6169801966716</v>
      </c>
      <c r="F1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8" s="25">
        <f ca="1">IF(PaymentSchedule3[[#This Row],[Payment Number]]&lt;&gt;"",PaymentSchedule3[[#This Row],[Total
Payment]]-PaymentSchedule3[[#This Row],[Interest]],"")</f>
        <v>650.00330594288084</v>
      </c>
      <c r="I158" s="25">
        <f ca="1">IF(PaymentSchedule3[[#This Row],[Payment Number]]&lt;&gt;"",PaymentSchedule3[[#This Row],[Beginning
Balance]]*(InterestRate/PaymentsPerYear),"")</f>
        <v>1737.6136742537908</v>
      </c>
      <c r="J158" s="25">
        <f ca="1">IF(PaymentSchedule3[[#This Row],[Payment Number]]&lt;&gt;"",IF(PaymentSchedule3[[#This Row],[Scheduled Payment]]+PaymentSchedule3[[#This Row],[Extra
Payment]]&lt;=PaymentSchedule3[[#This Row],[Beginning
Balance]],PaymentSchedule3[[#This Row],[Beginning
Balance]]-PaymentSchedule3[[#This Row],[Principal]],0),"")</f>
        <v>286955.01863951219</v>
      </c>
      <c r="K158" s="25">
        <f ca="1">IF(PaymentSchedule3[[#This Row],[Payment Number]]&lt;&gt;"",SUM(INDEX(PaymentSchedule3[Interest],1,1):PaymentSchedule3[[#This Row],[Interest]]),"")</f>
        <v>283159.48076802958</v>
      </c>
    </row>
    <row r="159" spans="2:11" x14ac:dyDescent="0.3">
      <c r="B159" s="23">
        <f ca="1">IF(LoanIsGood,IF(ROW()-ROW(PaymentSchedule3[[#Headers],[Payment Number]])&gt;ScheduledNumberOfPayments,"",ROW()-ROW(PaymentSchedule3[[#Headers],[Payment Number]])),"")</f>
        <v>146</v>
      </c>
      <c r="C159" s="24">
        <f ca="1">IF(PaymentSchedule3[[#This Row],[Payment Number]]&lt;&gt;"",EOMONTH(LoanStartDate,ROW(PaymentSchedule3[[#This Row],[Payment Number]])-ROW(PaymentSchedule3[[#Headers],[Payment Number]])-2)+DAY(LoanStartDate),"")</f>
        <v>49867</v>
      </c>
      <c r="D159" s="25">
        <f ca="1">IF(PaymentSchedule3[[#This Row],[Payment Number]]&lt;&gt;"",IF(ROW()-ROW(PaymentSchedule3[[#Headers],[Beginning
Balance]])=1,LoanAmount,INDEX(PaymentSchedule3[Ending
Balance],ROW()-ROW(PaymentSchedule3[[#Headers],[Beginning
Balance]])-1)),"")</f>
        <v>286955.01863951219</v>
      </c>
      <c r="E159" s="25">
        <f ca="1">IF(PaymentSchedule3[[#This Row],[Payment Number]]&lt;&gt;"",ScheduledPayment,"")</f>
        <v>2387.6169801966716</v>
      </c>
      <c r="F1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59" s="25">
        <f ca="1">IF(PaymentSchedule3[[#This Row],[Payment Number]]&lt;&gt;"",PaymentSchedule3[[#This Row],[Total
Payment]]-PaymentSchedule3[[#This Row],[Interest]],"")</f>
        <v>653.93040924961883</v>
      </c>
      <c r="I159" s="25">
        <f ca="1">IF(PaymentSchedule3[[#This Row],[Payment Number]]&lt;&gt;"",PaymentSchedule3[[#This Row],[Beginning
Balance]]*(InterestRate/PaymentsPerYear),"")</f>
        <v>1733.6865709470528</v>
      </c>
      <c r="J159" s="25">
        <f ca="1">IF(PaymentSchedule3[[#This Row],[Payment Number]]&lt;&gt;"",IF(PaymentSchedule3[[#This Row],[Scheduled Payment]]+PaymentSchedule3[[#This Row],[Extra
Payment]]&lt;=PaymentSchedule3[[#This Row],[Beginning
Balance]],PaymentSchedule3[[#This Row],[Beginning
Balance]]-PaymentSchedule3[[#This Row],[Principal]],0),"")</f>
        <v>286301.08823026257</v>
      </c>
      <c r="K159" s="25">
        <f ca="1">IF(PaymentSchedule3[[#This Row],[Payment Number]]&lt;&gt;"",SUM(INDEX(PaymentSchedule3[Interest],1,1):PaymentSchedule3[[#This Row],[Interest]]),"")</f>
        <v>284893.16733897664</v>
      </c>
    </row>
    <row r="160" spans="2:11" x14ac:dyDescent="0.3">
      <c r="B160" s="23">
        <f ca="1">IF(LoanIsGood,IF(ROW()-ROW(PaymentSchedule3[[#Headers],[Payment Number]])&gt;ScheduledNumberOfPayments,"",ROW()-ROW(PaymentSchedule3[[#Headers],[Payment Number]])),"")</f>
        <v>147</v>
      </c>
      <c r="C160" s="24">
        <f ca="1">IF(PaymentSchedule3[[#This Row],[Payment Number]]&lt;&gt;"",EOMONTH(LoanStartDate,ROW(PaymentSchedule3[[#This Row],[Payment Number]])-ROW(PaymentSchedule3[[#Headers],[Payment Number]])-2)+DAY(LoanStartDate),"")</f>
        <v>49898</v>
      </c>
      <c r="D160" s="25">
        <f ca="1">IF(PaymentSchedule3[[#This Row],[Payment Number]]&lt;&gt;"",IF(ROW()-ROW(PaymentSchedule3[[#Headers],[Beginning
Balance]])=1,LoanAmount,INDEX(PaymentSchedule3[Ending
Balance],ROW()-ROW(PaymentSchedule3[[#Headers],[Beginning
Balance]])-1)),"")</f>
        <v>286301.08823026257</v>
      </c>
      <c r="E160" s="25">
        <f ca="1">IF(PaymentSchedule3[[#This Row],[Payment Number]]&lt;&gt;"",ScheduledPayment,"")</f>
        <v>2387.6169801966716</v>
      </c>
      <c r="F1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0" s="25">
        <f ca="1">IF(PaymentSchedule3[[#This Row],[Payment Number]]&lt;&gt;"",PaymentSchedule3[[#This Row],[Total
Payment]]-PaymentSchedule3[[#This Row],[Interest]],"")</f>
        <v>657.88123880550211</v>
      </c>
      <c r="I160" s="25">
        <f ca="1">IF(PaymentSchedule3[[#This Row],[Payment Number]]&lt;&gt;"",PaymentSchedule3[[#This Row],[Beginning
Balance]]*(InterestRate/PaymentsPerYear),"")</f>
        <v>1729.7357413911695</v>
      </c>
      <c r="J160" s="25">
        <f ca="1">IF(PaymentSchedule3[[#This Row],[Payment Number]]&lt;&gt;"",IF(PaymentSchedule3[[#This Row],[Scheduled Payment]]+PaymentSchedule3[[#This Row],[Extra
Payment]]&lt;=PaymentSchedule3[[#This Row],[Beginning
Balance]],PaymentSchedule3[[#This Row],[Beginning
Balance]]-PaymentSchedule3[[#This Row],[Principal]],0),"")</f>
        <v>285643.20699145709</v>
      </c>
      <c r="K160" s="25">
        <f ca="1">IF(PaymentSchedule3[[#This Row],[Payment Number]]&lt;&gt;"",SUM(INDEX(PaymentSchedule3[Interest],1,1):PaymentSchedule3[[#This Row],[Interest]]),"")</f>
        <v>286622.90308036783</v>
      </c>
    </row>
    <row r="161" spans="2:11" x14ac:dyDescent="0.3">
      <c r="B161" s="23">
        <f ca="1">IF(LoanIsGood,IF(ROW()-ROW(PaymentSchedule3[[#Headers],[Payment Number]])&gt;ScheduledNumberOfPayments,"",ROW()-ROW(PaymentSchedule3[[#Headers],[Payment Number]])),"")</f>
        <v>148</v>
      </c>
      <c r="C161" s="24">
        <f ca="1">IF(PaymentSchedule3[[#This Row],[Payment Number]]&lt;&gt;"",EOMONTH(LoanStartDate,ROW(PaymentSchedule3[[#This Row],[Payment Number]])-ROW(PaymentSchedule3[[#Headers],[Payment Number]])-2)+DAY(LoanStartDate),"")</f>
        <v>49929</v>
      </c>
      <c r="D161" s="25">
        <f ca="1">IF(PaymentSchedule3[[#This Row],[Payment Number]]&lt;&gt;"",IF(ROW()-ROW(PaymentSchedule3[[#Headers],[Beginning
Balance]])=1,LoanAmount,INDEX(PaymentSchedule3[Ending
Balance],ROW()-ROW(PaymentSchedule3[[#Headers],[Beginning
Balance]])-1)),"")</f>
        <v>285643.20699145709</v>
      </c>
      <c r="E161" s="25">
        <f ca="1">IF(PaymentSchedule3[[#This Row],[Payment Number]]&lt;&gt;"",ScheduledPayment,"")</f>
        <v>2387.6169801966716</v>
      </c>
      <c r="F1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1" s="25">
        <f ca="1">IF(PaymentSchedule3[[#This Row],[Payment Number]]&lt;&gt;"",PaymentSchedule3[[#This Row],[Total
Payment]]-PaymentSchedule3[[#This Row],[Interest]],"")</f>
        <v>661.85593795661839</v>
      </c>
      <c r="I161" s="25">
        <f ca="1">IF(PaymentSchedule3[[#This Row],[Payment Number]]&lt;&gt;"",PaymentSchedule3[[#This Row],[Beginning
Balance]]*(InterestRate/PaymentsPerYear),"")</f>
        <v>1725.7610422400533</v>
      </c>
      <c r="J161" s="25">
        <f ca="1">IF(PaymentSchedule3[[#This Row],[Payment Number]]&lt;&gt;"",IF(PaymentSchedule3[[#This Row],[Scheduled Payment]]+PaymentSchedule3[[#This Row],[Extra
Payment]]&lt;=PaymentSchedule3[[#This Row],[Beginning
Balance]],PaymentSchedule3[[#This Row],[Beginning
Balance]]-PaymentSchedule3[[#This Row],[Principal]],0),"")</f>
        <v>284981.35105350049</v>
      </c>
      <c r="K161" s="25">
        <f ca="1">IF(PaymentSchedule3[[#This Row],[Payment Number]]&lt;&gt;"",SUM(INDEX(PaymentSchedule3[Interest],1,1):PaymentSchedule3[[#This Row],[Interest]]),"")</f>
        <v>288348.66412260791</v>
      </c>
    </row>
    <row r="162" spans="2:11" x14ac:dyDescent="0.3">
      <c r="B162" s="23">
        <f ca="1">IF(LoanIsGood,IF(ROW()-ROW(PaymentSchedule3[[#Headers],[Payment Number]])&gt;ScheduledNumberOfPayments,"",ROW()-ROW(PaymentSchedule3[[#Headers],[Payment Number]])),"")</f>
        <v>149</v>
      </c>
      <c r="C162" s="24">
        <f ca="1">IF(PaymentSchedule3[[#This Row],[Payment Number]]&lt;&gt;"",EOMONTH(LoanStartDate,ROW(PaymentSchedule3[[#This Row],[Payment Number]])-ROW(PaymentSchedule3[[#Headers],[Payment Number]])-2)+DAY(LoanStartDate),"")</f>
        <v>49959</v>
      </c>
      <c r="D162" s="25">
        <f ca="1">IF(PaymentSchedule3[[#This Row],[Payment Number]]&lt;&gt;"",IF(ROW()-ROW(PaymentSchedule3[[#Headers],[Beginning
Balance]])=1,LoanAmount,INDEX(PaymentSchedule3[Ending
Balance],ROW()-ROW(PaymentSchedule3[[#Headers],[Beginning
Balance]])-1)),"")</f>
        <v>284981.35105350049</v>
      </c>
      <c r="E162" s="25">
        <f ca="1">IF(PaymentSchedule3[[#This Row],[Payment Number]]&lt;&gt;"",ScheduledPayment,"")</f>
        <v>2387.6169801966716</v>
      </c>
      <c r="F1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2" s="25">
        <f ca="1">IF(PaymentSchedule3[[#This Row],[Payment Number]]&lt;&gt;"",PaymentSchedule3[[#This Row],[Total
Payment]]-PaymentSchedule3[[#This Row],[Interest]],"")</f>
        <v>665.85465091510628</v>
      </c>
      <c r="I162" s="25">
        <f ca="1">IF(PaymentSchedule3[[#This Row],[Payment Number]]&lt;&gt;"",PaymentSchedule3[[#This Row],[Beginning
Balance]]*(InterestRate/PaymentsPerYear),"")</f>
        <v>1721.7623292815654</v>
      </c>
      <c r="J162" s="25">
        <f ca="1">IF(PaymentSchedule3[[#This Row],[Payment Number]]&lt;&gt;"",IF(PaymentSchedule3[[#This Row],[Scheduled Payment]]+PaymentSchedule3[[#This Row],[Extra
Payment]]&lt;=PaymentSchedule3[[#This Row],[Beginning
Balance]],PaymentSchedule3[[#This Row],[Beginning
Balance]]-PaymentSchedule3[[#This Row],[Principal]],0),"")</f>
        <v>284315.49640258536</v>
      </c>
      <c r="K162" s="25">
        <f ca="1">IF(PaymentSchedule3[[#This Row],[Payment Number]]&lt;&gt;"",SUM(INDEX(PaymentSchedule3[Interest],1,1):PaymentSchedule3[[#This Row],[Interest]]),"")</f>
        <v>290070.42645188945</v>
      </c>
    </row>
    <row r="163" spans="2:11" x14ac:dyDescent="0.3">
      <c r="B163" s="23">
        <f ca="1">IF(LoanIsGood,IF(ROW()-ROW(PaymentSchedule3[[#Headers],[Payment Number]])&gt;ScheduledNumberOfPayments,"",ROW()-ROW(PaymentSchedule3[[#Headers],[Payment Number]])),"")</f>
        <v>150</v>
      </c>
      <c r="C163" s="24">
        <f ca="1">IF(PaymentSchedule3[[#This Row],[Payment Number]]&lt;&gt;"",EOMONTH(LoanStartDate,ROW(PaymentSchedule3[[#This Row],[Payment Number]])-ROW(PaymentSchedule3[[#Headers],[Payment Number]])-2)+DAY(LoanStartDate),"")</f>
        <v>49990</v>
      </c>
      <c r="D163" s="25">
        <f ca="1">IF(PaymentSchedule3[[#This Row],[Payment Number]]&lt;&gt;"",IF(ROW()-ROW(PaymentSchedule3[[#Headers],[Beginning
Balance]])=1,LoanAmount,INDEX(PaymentSchedule3[Ending
Balance],ROW()-ROW(PaymentSchedule3[[#Headers],[Beginning
Balance]])-1)),"")</f>
        <v>284315.49640258536</v>
      </c>
      <c r="E163" s="25">
        <f ca="1">IF(PaymentSchedule3[[#This Row],[Payment Number]]&lt;&gt;"",ScheduledPayment,"")</f>
        <v>2387.6169801966716</v>
      </c>
      <c r="F1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3" s="25">
        <f ca="1">IF(PaymentSchedule3[[#This Row],[Payment Number]]&lt;&gt;"",PaymentSchedule3[[#This Row],[Total
Payment]]-PaymentSchedule3[[#This Row],[Interest]],"")</f>
        <v>669.87752276438528</v>
      </c>
      <c r="I163" s="25">
        <f ca="1">IF(PaymentSchedule3[[#This Row],[Payment Number]]&lt;&gt;"",PaymentSchedule3[[#This Row],[Beginning
Balance]]*(InterestRate/PaymentsPerYear),"")</f>
        <v>1717.7394574322864</v>
      </c>
      <c r="J163" s="25">
        <f ca="1">IF(PaymentSchedule3[[#This Row],[Payment Number]]&lt;&gt;"",IF(PaymentSchedule3[[#This Row],[Scheduled Payment]]+PaymentSchedule3[[#This Row],[Extra
Payment]]&lt;=PaymentSchedule3[[#This Row],[Beginning
Balance]],PaymentSchedule3[[#This Row],[Beginning
Balance]]-PaymentSchedule3[[#This Row],[Principal]],0),"")</f>
        <v>283645.61887982098</v>
      </c>
      <c r="K163" s="25">
        <f ca="1">IF(PaymentSchedule3[[#This Row],[Payment Number]]&lt;&gt;"",SUM(INDEX(PaymentSchedule3[Interest],1,1):PaymentSchedule3[[#This Row],[Interest]]),"")</f>
        <v>291788.16590932175</v>
      </c>
    </row>
    <row r="164" spans="2:11" x14ac:dyDescent="0.3">
      <c r="B164" s="23">
        <f ca="1">IF(LoanIsGood,IF(ROW()-ROW(PaymentSchedule3[[#Headers],[Payment Number]])&gt;ScheduledNumberOfPayments,"",ROW()-ROW(PaymentSchedule3[[#Headers],[Payment Number]])),"")</f>
        <v>151</v>
      </c>
      <c r="C164" s="24">
        <f ca="1">IF(PaymentSchedule3[[#This Row],[Payment Number]]&lt;&gt;"",EOMONTH(LoanStartDate,ROW(PaymentSchedule3[[#This Row],[Payment Number]])-ROW(PaymentSchedule3[[#Headers],[Payment Number]])-2)+DAY(LoanStartDate),"")</f>
        <v>50020</v>
      </c>
      <c r="D164" s="25">
        <f ca="1">IF(PaymentSchedule3[[#This Row],[Payment Number]]&lt;&gt;"",IF(ROW()-ROW(PaymentSchedule3[[#Headers],[Beginning
Balance]])=1,LoanAmount,INDEX(PaymentSchedule3[Ending
Balance],ROW()-ROW(PaymentSchedule3[[#Headers],[Beginning
Balance]])-1)),"")</f>
        <v>283645.61887982098</v>
      </c>
      <c r="E164" s="25">
        <f ca="1">IF(PaymentSchedule3[[#This Row],[Payment Number]]&lt;&gt;"",ScheduledPayment,"")</f>
        <v>2387.6169801966716</v>
      </c>
      <c r="F1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4" s="25">
        <f ca="1">IF(PaymentSchedule3[[#This Row],[Payment Number]]&lt;&gt;"",PaymentSchedule3[[#This Row],[Total
Payment]]-PaymentSchedule3[[#This Row],[Interest]],"")</f>
        <v>673.92469946441997</v>
      </c>
      <c r="I164" s="25">
        <f ca="1">IF(PaymentSchedule3[[#This Row],[Payment Number]]&lt;&gt;"",PaymentSchedule3[[#This Row],[Beginning
Balance]]*(InterestRate/PaymentsPerYear),"")</f>
        <v>1713.6922807322517</v>
      </c>
      <c r="J164" s="25">
        <f ca="1">IF(PaymentSchedule3[[#This Row],[Payment Number]]&lt;&gt;"",IF(PaymentSchedule3[[#This Row],[Scheduled Payment]]+PaymentSchedule3[[#This Row],[Extra
Payment]]&lt;=PaymentSchedule3[[#This Row],[Beginning
Balance]],PaymentSchedule3[[#This Row],[Beginning
Balance]]-PaymentSchedule3[[#This Row],[Principal]],0),"")</f>
        <v>282971.69418035657</v>
      </c>
      <c r="K164" s="25">
        <f ca="1">IF(PaymentSchedule3[[#This Row],[Payment Number]]&lt;&gt;"",SUM(INDEX(PaymentSchedule3[Interest],1,1):PaymentSchedule3[[#This Row],[Interest]]),"")</f>
        <v>293501.85819005402</v>
      </c>
    </row>
    <row r="165" spans="2:11" x14ac:dyDescent="0.3">
      <c r="B165" s="23">
        <f ca="1">IF(LoanIsGood,IF(ROW()-ROW(PaymentSchedule3[[#Headers],[Payment Number]])&gt;ScheduledNumberOfPayments,"",ROW()-ROW(PaymentSchedule3[[#Headers],[Payment Number]])),"")</f>
        <v>152</v>
      </c>
      <c r="C165" s="24">
        <f ca="1">IF(PaymentSchedule3[[#This Row],[Payment Number]]&lt;&gt;"",EOMONTH(LoanStartDate,ROW(PaymentSchedule3[[#This Row],[Payment Number]])-ROW(PaymentSchedule3[[#Headers],[Payment Number]])-2)+DAY(LoanStartDate),"")</f>
        <v>50051</v>
      </c>
      <c r="D165" s="25">
        <f ca="1">IF(PaymentSchedule3[[#This Row],[Payment Number]]&lt;&gt;"",IF(ROW()-ROW(PaymentSchedule3[[#Headers],[Beginning
Balance]])=1,LoanAmount,INDEX(PaymentSchedule3[Ending
Balance],ROW()-ROW(PaymentSchedule3[[#Headers],[Beginning
Balance]])-1)),"")</f>
        <v>282971.69418035657</v>
      </c>
      <c r="E165" s="25">
        <f ca="1">IF(PaymentSchedule3[[#This Row],[Payment Number]]&lt;&gt;"",ScheduledPayment,"")</f>
        <v>2387.6169801966716</v>
      </c>
      <c r="F1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5" s="25">
        <f ca="1">IF(PaymentSchedule3[[#This Row],[Payment Number]]&lt;&gt;"",PaymentSchedule3[[#This Row],[Total
Payment]]-PaymentSchedule3[[#This Row],[Interest]],"")</f>
        <v>677.99632785701738</v>
      </c>
      <c r="I165" s="25">
        <f ca="1">IF(PaymentSchedule3[[#This Row],[Payment Number]]&lt;&gt;"",PaymentSchedule3[[#This Row],[Beginning
Balance]]*(InterestRate/PaymentsPerYear),"")</f>
        <v>1709.6206523396543</v>
      </c>
      <c r="J165" s="25">
        <f ca="1">IF(PaymentSchedule3[[#This Row],[Payment Number]]&lt;&gt;"",IF(PaymentSchedule3[[#This Row],[Scheduled Payment]]+PaymentSchedule3[[#This Row],[Extra
Payment]]&lt;=PaymentSchedule3[[#This Row],[Beginning
Balance]],PaymentSchedule3[[#This Row],[Beginning
Balance]]-PaymentSchedule3[[#This Row],[Principal]],0),"")</f>
        <v>282293.69785249955</v>
      </c>
      <c r="K165" s="25">
        <f ca="1">IF(PaymentSchedule3[[#This Row],[Payment Number]]&lt;&gt;"",SUM(INDEX(PaymentSchedule3[Interest],1,1):PaymentSchedule3[[#This Row],[Interest]]),"")</f>
        <v>295211.47884239367</v>
      </c>
    </row>
    <row r="166" spans="2:11" x14ac:dyDescent="0.3">
      <c r="B166" s="23">
        <f ca="1">IF(LoanIsGood,IF(ROW()-ROW(PaymentSchedule3[[#Headers],[Payment Number]])&gt;ScheduledNumberOfPayments,"",ROW()-ROW(PaymentSchedule3[[#Headers],[Payment Number]])),"")</f>
        <v>153</v>
      </c>
      <c r="C166" s="24">
        <f ca="1">IF(PaymentSchedule3[[#This Row],[Payment Number]]&lt;&gt;"",EOMONTH(LoanStartDate,ROW(PaymentSchedule3[[#This Row],[Payment Number]])-ROW(PaymentSchedule3[[#Headers],[Payment Number]])-2)+DAY(LoanStartDate),"")</f>
        <v>50082</v>
      </c>
      <c r="D166" s="25">
        <f ca="1">IF(PaymentSchedule3[[#This Row],[Payment Number]]&lt;&gt;"",IF(ROW()-ROW(PaymentSchedule3[[#Headers],[Beginning
Balance]])=1,LoanAmount,INDEX(PaymentSchedule3[Ending
Balance],ROW()-ROW(PaymentSchedule3[[#Headers],[Beginning
Balance]])-1)),"")</f>
        <v>282293.69785249955</v>
      </c>
      <c r="E166" s="25">
        <f ca="1">IF(PaymentSchedule3[[#This Row],[Payment Number]]&lt;&gt;"",ScheduledPayment,"")</f>
        <v>2387.6169801966716</v>
      </c>
      <c r="F1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6" s="25">
        <f ca="1">IF(PaymentSchedule3[[#This Row],[Payment Number]]&lt;&gt;"",PaymentSchedule3[[#This Row],[Total
Payment]]-PaymentSchedule3[[#This Row],[Interest]],"")</f>
        <v>682.0925556711536</v>
      </c>
      <c r="I166" s="25">
        <f ca="1">IF(PaymentSchedule3[[#This Row],[Payment Number]]&lt;&gt;"",PaymentSchedule3[[#This Row],[Beginning
Balance]]*(InterestRate/PaymentsPerYear),"")</f>
        <v>1705.524424525518</v>
      </c>
      <c r="J166" s="25">
        <f ca="1">IF(PaymentSchedule3[[#This Row],[Payment Number]]&lt;&gt;"",IF(PaymentSchedule3[[#This Row],[Scheduled Payment]]+PaymentSchedule3[[#This Row],[Extra
Payment]]&lt;=PaymentSchedule3[[#This Row],[Beginning
Balance]],PaymentSchedule3[[#This Row],[Beginning
Balance]]-PaymentSchedule3[[#This Row],[Principal]],0),"")</f>
        <v>281611.60529682838</v>
      </c>
      <c r="K166" s="25">
        <f ca="1">IF(PaymentSchedule3[[#This Row],[Payment Number]]&lt;&gt;"",SUM(INDEX(PaymentSchedule3[Interest],1,1):PaymentSchedule3[[#This Row],[Interest]]),"")</f>
        <v>296917.00326691917</v>
      </c>
    </row>
    <row r="167" spans="2:11" x14ac:dyDescent="0.3">
      <c r="B167" s="23">
        <f ca="1">IF(LoanIsGood,IF(ROW()-ROW(PaymentSchedule3[[#Headers],[Payment Number]])&gt;ScheduledNumberOfPayments,"",ROW()-ROW(PaymentSchedule3[[#Headers],[Payment Number]])),"")</f>
        <v>154</v>
      </c>
      <c r="C167" s="24">
        <f ca="1">IF(PaymentSchedule3[[#This Row],[Payment Number]]&lt;&gt;"",EOMONTH(LoanStartDate,ROW(PaymentSchedule3[[#This Row],[Payment Number]])-ROW(PaymentSchedule3[[#Headers],[Payment Number]])-2)+DAY(LoanStartDate),"")</f>
        <v>50110</v>
      </c>
      <c r="D167" s="25">
        <f ca="1">IF(PaymentSchedule3[[#This Row],[Payment Number]]&lt;&gt;"",IF(ROW()-ROW(PaymentSchedule3[[#Headers],[Beginning
Balance]])=1,LoanAmount,INDEX(PaymentSchedule3[Ending
Balance],ROW()-ROW(PaymentSchedule3[[#Headers],[Beginning
Balance]])-1)),"")</f>
        <v>281611.60529682838</v>
      </c>
      <c r="E167" s="25">
        <f ca="1">IF(PaymentSchedule3[[#This Row],[Payment Number]]&lt;&gt;"",ScheduledPayment,"")</f>
        <v>2387.6169801966716</v>
      </c>
      <c r="F1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7" s="25">
        <f ca="1">IF(PaymentSchedule3[[#This Row],[Payment Number]]&lt;&gt;"",PaymentSchedule3[[#This Row],[Total
Payment]]-PaymentSchedule3[[#This Row],[Interest]],"")</f>
        <v>686.21353152833353</v>
      </c>
      <c r="I167" s="25">
        <f ca="1">IF(PaymentSchedule3[[#This Row],[Payment Number]]&lt;&gt;"",PaymentSchedule3[[#This Row],[Beginning
Balance]]*(InterestRate/PaymentsPerYear),"")</f>
        <v>1701.4034486683381</v>
      </c>
      <c r="J167" s="25">
        <f ca="1">IF(PaymentSchedule3[[#This Row],[Payment Number]]&lt;&gt;"",IF(PaymentSchedule3[[#This Row],[Scheduled Payment]]+PaymentSchedule3[[#This Row],[Extra
Payment]]&lt;=PaymentSchedule3[[#This Row],[Beginning
Balance]],PaymentSchedule3[[#This Row],[Beginning
Balance]]-PaymentSchedule3[[#This Row],[Principal]],0),"")</f>
        <v>280925.39176530007</v>
      </c>
      <c r="K167" s="25">
        <f ca="1">IF(PaymentSchedule3[[#This Row],[Payment Number]]&lt;&gt;"",SUM(INDEX(PaymentSchedule3[Interest],1,1):PaymentSchedule3[[#This Row],[Interest]]),"")</f>
        <v>298618.40671558754</v>
      </c>
    </row>
    <row r="168" spans="2:11" x14ac:dyDescent="0.3">
      <c r="B168" s="23">
        <f ca="1">IF(LoanIsGood,IF(ROW()-ROW(PaymentSchedule3[[#Headers],[Payment Number]])&gt;ScheduledNumberOfPayments,"",ROW()-ROW(PaymentSchedule3[[#Headers],[Payment Number]])),"")</f>
        <v>155</v>
      </c>
      <c r="C168" s="24">
        <f ca="1">IF(PaymentSchedule3[[#This Row],[Payment Number]]&lt;&gt;"",EOMONTH(LoanStartDate,ROW(PaymentSchedule3[[#This Row],[Payment Number]])-ROW(PaymentSchedule3[[#Headers],[Payment Number]])-2)+DAY(LoanStartDate),"")</f>
        <v>50141</v>
      </c>
      <c r="D168" s="25">
        <f ca="1">IF(PaymentSchedule3[[#This Row],[Payment Number]]&lt;&gt;"",IF(ROW()-ROW(PaymentSchedule3[[#Headers],[Beginning
Balance]])=1,LoanAmount,INDEX(PaymentSchedule3[Ending
Balance],ROW()-ROW(PaymentSchedule3[[#Headers],[Beginning
Balance]])-1)),"")</f>
        <v>280925.39176530007</v>
      </c>
      <c r="E168" s="25">
        <f ca="1">IF(PaymentSchedule3[[#This Row],[Payment Number]]&lt;&gt;"",ScheduledPayment,"")</f>
        <v>2387.6169801966716</v>
      </c>
      <c r="F1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8" s="25">
        <f ca="1">IF(PaymentSchedule3[[#This Row],[Payment Number]]&lt;&gt;"",PaymentSchedule3[[#This Row],[Total
Payment]]-PaymentSchedule3[[#This Row],[Interest]],"")</f>
        <v>690.35940494798388</v>
      </c>
      <c r="I168" s="25">
        <f ca="1">IF(PaymentSchedule3[[#This Row],[Payment Number]]&lt;&gt;"",PaymentSchedule3[[#This Row],[Beginning
Balance]]*(InterestRate/PaymentsPerYear),"")</f>
        <v>1697.2575752486878</v>
      </c>
      <c r="J168" s="25">
        <f ca="1">IF(PaymentSchedule3[[#This Row],[Payment Number]]&lt;&gt;"",IF(PaymentSchedule3[[#This Row],[Scheduled Payment]]+PaymentSchedule3[[#This Row],[Extra
Payment]]&lt;=PaymentSchedule3[[#This Row],[Beginning
Balance]],PaymentSchedule3[[#This Row],[Beginning
Balance]]-PaymentSchedule3[[#This Row],[Principal]],0),"")</f>
        <v>280235.03236035211</v>
      </c>
      <c r="K168" s="25">
        <f ca="1">IF(PaymentSchedule3[[#This Row],[Payment Number]]&lt;&gt;"",SUM(INDEX(PaymentSchedule3[Interest],1,1):PaymentSchedule3[[#This Row],[Interest]]),"")</f>
        <v>300315.6642908362</v>
      </c>
    </row>
    <row r="169" spans="2:11" x14ac:dyDescent="0.3">
      <c r="B169" s="23">
        <f ca="1">IF(LoanIsGood,IF(ROW()-ROW(PaymentSchedule3[[#Headers],[Payment Number]])&gt;ScheduledNumberOfPayments,"",ROW()-ROW(PaymentSchedule3[[#Headers],[Payment Number]])),"")</f>
        <v>156</v>
      </c>
      <c r="C169" s="24">
        <f ca="1">IF(PaymentSchedule3[[#This Row],[Payment Number]]&lt;&gt;"",EOMONTH(LoanStartDate,ROW(PaymentSchedule3[[#This Row],[Payment Number]])-ROW(PaymentSchedule3[[#Headers],[Payment Number]])-2)+DAY(LoanStartDate),"")</f>
        <v>50171</v>
      </c>
      <c r="D169" s="25">
        <f ca="1">IF(PaymentSchedule3[[#This Row],[Payment Number]]&lt;&gt;"",IF(ROW()-ROW(PaymentSchedule3[[#Headers],[Beginning
Balance]])=1,LoanAmount,INDEX(PaymentSchedule3[Ending
Balance],ROW()-ROW(PaymentSchedule3[[#Headers],[Beginning
Balance]])-1)),"")</f>
        <v>280235.03236035211</v>
      </c>
      <c r="E169" s="25">
        <f ca="1">IF(PaymentSchedule3[[#This Row],[Payment Number]]&lt;&gt;"",ScheduledPayment,"")</f>
        <v>2387.6169801966716</v>
      </c>
      <c r="F1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69" s="25">
        <f ca="1">IF(PaymentSchedule3[[#This Row],[Payment Number]]&lt;&gt;"",PaymentSchedule3[[#This Row],[Total
Payment]]-PaymentSchedule3[[#This Row],[Interest]],"")</f>
        <v>694.53032635287764</v>
      </c>
      <c r="I169" s="25">
        <f ca="1">IF(PaymentSchedule3[[#This Row],[Payment Number]]&lt;&gt;"",PaymentSchedule3[[#This Row],[Beginning
Balance]]*(InterestRate/PaymentsPerYear),"")</f>
        <v>1693.086653843794</v>
      </c>
      <c r="J169" s="25">
        <f ca="1">IF(PaymentSchedule3[[#This Row],[Payment Number]]&lt;&gt;"",IF(PaymentSchedule3[[#This Row],[Scheduled Payment]]+PaymentSchedule3[[#This Row],[Extra
Payment]]&lt;=PaymentSchedule3[[#This Row],[Beginning
Balance]],PaymentSchedule3[[#This Row],[Beginning
Balance]]-PaymentSchedule3[[#This Row],[Principal]],0),"")</f>
        <v>279540.50203399925</v>
      </c>
      <c r="K169" s="25">
        <f ca="1">IF(PaymentSchedule3[[#This Row],[Payment Number]]&lt;&gt;"",SUM(INDEX(PaymentSchedule3[Interest],1,1):PaymentSchedule3[[#This Row],[Interest]]),"")</f>
        <v>302008.75094468001</v>
      </c>
    </row>
    <row r="170" spans="2:11" x14ac:dyDescent="0.3">
      <c r="B170" s="23">
        <f ca="1">IF(LoanIsGood,IF(ROW()-ROW(PaymentSchedule3[[#Headers],[Payment Number]])&gt;ScheduledNumberOfPayments,"",ROW()-ROW(PaymentSchedule3[[#Headers],[Payment Number]])),"")</f>
        <v>157</v>
      </c>
      <c r="C170" s="24">
        <f ca="1">IF(PaymentSchedule3[[#This Row],[Payment Number]]&lt;&gt;"",EOMONTH(LoanStartDate,ROW(PaymentSchedule3[[#This Row],[Payment Number]])-ROW(PaymentSchedule3[[#Headers],[Payment Number]])-2)+DAY(LoanStartDate),"")</f>
        <v>50202</v>
      </c>
      <c r="D170" s="25">
        <f ca="1">IF(PaymentSchedule3[[#This Row],[Payment Number]]&lt;&gt;"",IF(ROW()-ROW(PaymentSchedule3[[#Headers],[Beginning
Balance]])=1,LoanAmount,INDEX(PaymentSchedule3[Ending
Balance],ROW()-ROW(PaymentSchedule3[[#Headers],[Beginning
Balance]])-1)),"")</f>
        <v>279540.50203399925</v>
      </c>
      <c r="E170" s="25">
        <f ca="1">IF(PaymentSchedule3[[#This Row],[Payment Number]]&lt;&gt;"",ScheduledPayment,"")</f>
        <v>2387.6169801966716</v>
      </c>
      <c r="F1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0" s="25">
        <f ca="1">IF(PaymentSchedule3[[#This Row],[Payment Number]]&lt;&gt;"",PaymentSchedule3[[#This Row],[Total
Payment]]-PaymentSchedule3[[#This Row],[Interest]],"")</f>
        <v>698.7264470745929</v>
      </c>
      <c r="I170" s="25">
        <f ca="1">IF(PaymentSchedule3[[#This Row],[Payment Number]]&lt;&gt;"",PaymentSchedule3[[#This Row],[Beginning
Balance]]*(InterestRate/PaymentsPerYear),"")</f>
        <v>1688.8905331220788</v>
      </c>
      <c r="J170" s="25">
        <f ca="1">IF(PaymentSchedule3[[#This Row],[Payment Number]]&lt;&gt;"",IF(PaymentSchedule3[[#This Row],[Scheduled Payment]]+PaymentSchedule3[[#This Row],[Extra
Payment]]&lt;=PaymentSchedule3[[#This Row],[Beginning
Balance]],PaymentSchedule3[[#This Row],[Beginning
Balance]]-PaymentSchedule3[[#This Row],[Principal]],0),"")</f>
        <v>278841.77558692463</v>
      </c>
      <c r="K170" s="25">
        <f ca="1">IF(PaymentSchedule3[[#This Row],[Payment Number]]&lt;&gt;"",SUM(INDEX(PaymentSchedule3[Interest],1,1):PaymentSchedule3[[#This Row],[Interest]]),"")</f>
        <v>303697.64147780207</v>
      </c>
    </row>
    <row r="171" spans="2:11" x14ac:dyDescent="0.3">
      <c r="B171" s="23">
        <f ca="1">IF(LoanIsGood,IF(ROW()-ROW(PaymentSchedule3[[#Headers],[Payment Number]])&gt;ScheduledNumberOfPayments,"",ROW()-ROW(PaymentSchedule3[[#Headers],[Payment Number]])),"")</f>
        <v>158</v>
      </c>
      <c r="C171" s="24">
        <f ca="1">IF(PaymentSchedule3[[#This Row],[Payment Number]]&lt;&gt;"",EOMONTH(LoanStartDate,ROW(PaymentSchedule3[[#This Row],[Payment Number]])-ROW(PaymentSchedule3[[#Headers],[Payment Number]])-2)+DAY(LoanStartDate),"")</f>
        <v>50232</v>
      </c>
      <c r="D171" s="25">
        <f ca="1">IF(PaymentSchedule3[[#This Row],[Payment Number]]&lt;&gt;"",IF(ROW()-ROW(PaymentSchedule3[[#Headers],[Beginning
Balance]])=1,LoanAmount,INDEX(PaymentSchedule3[Ending
Balance],ROW()-ROW(PaymentSchedule3[[#Headers],[Beginning
Balance]])-1)),"")</f>
        <v>278841.77558692463</v>
      </c>
      <c r="E171" s="25">
        <f ca="1">IF(PaymentSchedule3[[#This Row],[Payment Number]]&lt;&gt;"",ScheduledPayment,"")</f>
        <v>2387.6169801966716</v>
      </c>
      <c r="F1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1" s="25">
        <f ca="1">IF(PaymentSchedule3[[#This Row],[Payment Number]]&lt;&gt;"",PaymentSchedule3[[#This Row],[Total
Payment]]-PaymentSchedule3[[#This Row],[Interest]],"")</f>
        <v>702.94791935900207</v>
      </c>
      <c r="I171" s="25">
        <f ca="1">IF(PaymentSchedule3[[#This Row],[Payment Number]]&lt;&gt;"",PaymentSchedule3[[#This Row],[Beginning
Balance]]*(InterestRate/PaymentsPerYear),"")</f>
        <v>1684.6690608376696</v>
      </c>
      <c r="J171" s="25">
        <f ca="1">IF(PaymentSchedule3[[#This Row],[Payment Number]]&lt;&gt;"",IF(PaymentSchedule3[[#This Row],[Scheduled Payment]]+PaymentSchedule3[[#This Row],[Extra
Payment]]&lt;=PaymentSchedule3[[#This Row],[Beginning
Balance]],PaymentSchedule3[[#This Row],[Beginning
Balance]]-PaymentSchedule3[[#This Row],[Principal]],0),"")</f>
        <v>278138.82766756561</v>
      </c>
      <c r="K171" s="25">
        <f ca="1">IF(PaymentSchedule3[[#This Row],[Payment Number]]&lt;&gt;"",SUM(INDEX(PaymentSchedule3[Interest],1,1):PaymentSchedule3[[#This Row],[Interest]]),"")</f>
        <v>305382.31053863972</v>
      </c>
    </row>
    <row r="172" spans="2:11" x14ac:dyDescent="0.3">
      <c r="B172" s="23">
        <f ca="1">IF(LoanIsGood,IF(ROW()-ROW(PaymentSchedule3[[#Headers],[Payment Number]])&gt;ScheduledNumberOfPayments,"",ROW()-ROW(PaymentSchedule3[[#Headers],[Payment Number]])),"")</f>
        <v>159</v>
      </c>
      <c r="C172" s="24">
        <f ca="1">IF(PaymentSchedule3[[#This Row],[Payment Number]]&lt;&gt;"",EOMONTH(LoanStartDate,ROW(PaymentSchedule3[[#This Row],[Payment Number]])-ROW(PaymentSchedule3[[#Headers],[Payment Number]])-2)+DAY(LoanStartDate),"")</f>
        <v>50263</v>
      </c>
      <c r="D172" s="25">
        <f ca="1">IF(PaymentSchedule3[[#This Row],[Payment Number]]&lt;&gt;"",IF(ROW()-ROW(PaymentSchedule3[[#Headers],[Beginning
Balance]])=1,LoanAmount,INDEX(PaymentSchedule3[Ending
Balance],ROW()-ROW(PaymentSchedule3[[#Headers],[Beginning
Balance]])-1)),"")</f>
        <v>278138.82766756561</v>
      </c>
      <c r="E172" s="25">
        <f ca="1">IF(PaymentSchedule3[[#This Row],[Payment Number]]&lt;&gt;"",ScheduledPayment,"")</f>
        <v>2387.6169801966716</v>
      </c>
      <c r="F1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2" s="25">
        <f ca="1">IF(PaymentSchedule3[[#This Row],[Payment Number]]&lt;&gt;"",PaymentSchedule3[[#This Row],[Total
Payment]]-PaymentSchedule3[[#This Row],[Interest]],"")</f>
        <v>707.19489637179618</v>
      </c>
      <c r="I172" s="25">
        <f ca="1">IF(PaymentSchedule3[[#This Row],[Payment Number]]&lt;&gt;"",PaymentSchedule3[[#This Row],[Beginning
Balance]]*(InterestRate/PaymentsPerYear),"")</f>
        <v>1680.4220838248755</v>
      </c>
      <c r="J172" s="25">
        <f ca="1">IF(PaymentSchedule3[[#This Row],[Payment Number]]&lt;&gt;"",IF(PaymentSchedule3[[#This Row],[Scheduled Payment]]+PaymentSchedule3[[#This Row],[Extra
Payment]]&lt;=PaymentSchedule3[[#This Row],[Beginning
Balance]],PaymentSchedule3[[#This Row],[Beginning
Balance]]-PaymentSchedule3[[#This Row],[Principal]],0),"")</f>
        <v>277431.63277119381</v>
      </c>
      <c r="K172" s="25">
        <f ca="1">IF(PaymentSchedule3[[#This Row],[Payment Number]]&lt;&gt;"",SUM(INDEX(PaymentSchedule3[Interest],1,1):PaymentSchedule3[[#This Row],[Interest]]),"")</f>
        <v>307062.73262246459</v>
      </c>
    </row>
    <row r="173" spans="2:11" x14ac:dyDescent="0.3">
      <c r="B173" s="23">
        <f ca="1">IF(LoanIsGood,IF(ROW()-ROW(PaymentSchedule3[[#Headers],[Payment Number]])&gt;ScheduledNumberOfPayments,"",ROW()-ROW(PaymentSchedule3[[#Headers],[Payment Number]])),"")</f>
        <v>160</v>
      </c>
      <c r="C173" s="24">
        <f ca="1">IF(PaymentSchedule3[[#This Row],[Payment Number]]&lt;&gt;"",EOMONTH(LoanStartDate,ROW(PaymentSchedule3[[#This Row],[Payment Number]])-ROW(PaymentSchedule3[[#Headers],[Payment Number]])-2)+DAY(LoanStartDate),"")</f>
        <v>50294</v>
      </c>
      <c r="D173" s="25">
        <f ca="1">IF(PaymentSchedule3[[#This Row],[Payment Number]]&lt;&gt;"",IF(ROW()-ROW(PaymentSchedule3[[#Headers],[Beginning
Balance]])=1,LoanAmount,INDEX(PaymentSchedule3[Ending
Balance],ROW()-ROW(PaymentSchedule3[[#Headers],[Beginning
Balance]])-1)),"")</f>
        <v>277431.63277119381</v>
      </c>
      <c r="E173" s="25">
        <f ca="1">IF(PaymentSchedule3[[#This Row],[Payment Number]]&lt;&gt;"",ScheduledPayment,"")</f>
        <v>2387.6169801966716</v>
      </c>
      <c r="F1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3" s="25">
        <f ca="1">IF(PaymentSchedule3[[#This Row],[Payment Number]]&lt;&gt;"",PaymentSchedule3[[#This Row],[Total
Payment]]-PaymentSchedule3[[#This Row],[Interest]],"")</f>
        <v>711.46753220404253</v>
      </c>
      <c r="I173" s="25">
        <f ca="1">IF(PaymentSchedule3[[#This Row],[Payment Number]]&lt;&gt;"",PaymentSchedule3[[#This Row],[Beginning
Balance]]*(InterestRate/PaymentsPerYear),"")</f>
        <v>1676.1494479926291</v>
      </c>
      <c r="J173" s="25">
        <f ca="1">IF(PaymentSchedule3[[#This Row],[Payment Number]]&lt;&gt;"",IF(PaymentSchedule3[[#This Row],[Scheduled Payment]]+PaymentSchedule3[[#This Row],[Extra
Payment]]&lt;=PaymentSchedule3[[#This Row],[Beginning
Balance]],PaymentSchedule3[[#This Row],[Beginning
Balance]]-PaymentSchedule3[[#This Row],[Principal]],0),"")</f>
        <v>276720.16523898975</v>
      </c>
      <c r="K173" s="25">
        <f ca="1">IF(PaymentSchedule3[[#This Row],[Payment Number]]&lt;&gt;"",SUM(INDEX(PaymentSchedule3[Interest],1,1):PaymentSchedule3[[#This Row],[Interest]]),"")</f>
        <v>308738.88207045721</v>
      </c>
    </row>
    <row r="174" spans="2:11" x14ac:dyDescent="0.3">
      <c r="B174" s="23">
        <f ca="1">IF(LoanIsGood,IF(ROW()-ROW(PaymentSchedule3[[#Headers],[Payment Number]])&gt;ScheduledNumberOfPayments,"",ROW()-ROW(PaymentSchedule3[[#Headers],[Payment Number]])),"")</f>
        <v>161</v>
      </c>
      <c r="C174" s="24">
        <f ca="1">IF(PaymentSchedule3[[#This Row],[Payment Number]]&lt;&gt;"",EOMONTH(LoanStartDate,ROW(PaymentSchedule3[[#This Row],[Payment Number]])-ROW(PaymentSchedule3[[#Headers],[Payment Number]])-2)+DAY(LoanStartDate),"")</f>
        <v>50324</v>
      </c>
      <c r="D174" s="25">
        <f ca="1">IF(PaymentSchedule3[[#This Row],[Payment Number]]&lt;&gt;"",IF(ROW()-ROW(PaymentSchedule3[[#Headers],[Beginning
Balance]])=1,LoanAmount,INDEX(PaymentSchedule3[Ending
Balance],ROW()-ROW(PaymentSchedule3[[#Headers],[Beginning
Balance]])-1)),"")</f>
        <v>276720.16523898975</v>
      </c>
      <c r="E174" s="25">
        <f ca="1">IF(PaymentSchedule3[[#This Row],[Payment Number]]&lt;&gt;"",ScheduledPayment,"")</f>
        <v>2387.6169801966716</v>
      </c>
      <c r="F17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4" s="25">
        <f ca="1">IF(PaymentSchedule3[[#This Row],[Payment Number]]&lt;&gt;"",PaymentSchedule3[[#This Row],[Total
Payment]]-PaymentSchedule3[[#This Row],[Interest]],"")</f>
        <v>715.76598187777518</v>
      </c>
      <c r="I174" s="25">
        <f ca="1">IF(PaymentSchedule3[[#This Row],[Payment Number]]&lt;&gt;"",PaymentSchedule3[[#This Row],[Beginning
Balance]]*(InterestRate/PaymentsPerYear),"")</f>
        <v>1671.8509983188965</v>
      </c>
      <c r="J174" s="25">
        <f ca="1">IF(PaymentSchedule3[[#This Row],[Payment Number]]&lt;&gt;"",IF(PaymentSchedule3[[#This Row],[Scheduled Payment]]+PaymentSchedule3[[#This Row],[Extra
Payment]]&lt;=PaymentSchedule3[[#This Row],[Beginning
Balance]],PaymentSchedule3[[#This Row],[Beginning
Balance]]-PaymentSchedule3[[#This Row],[Principal]],0),"")</f>
        <v>276004.399257112</v>
      </c>
      <c r="K174" s="25">
        <f ca="1">IF(PaymentSchedule3[[#This Row],[Payment Number]]&lt;&gt;"",SUM(INDEX(PaymentSchedule3[Interest],1,1):PaymentSchedule3[[#This Row],[Interest]]),"")</f>
        <v>310410.73306877608</v>
      </c>
    </row>
    <row r="175" spans="2:11" x14ac:dyDescent="0.3">
      <c r="B175" s="23">
        <f ca="1">IF(LoanIsGood,IF(ROW()-ROW(PaymentSchedule3[[#Headers],[Payment Number]])&gt;ScheduledNumberOfPayments,"",ROW()-ROW(PaymentSchedule3[[#Headers],[Payment Number]])),"")</f>
        <v>162</v>
      </c>
      <c r="C175" s="24">
        <f ca="1">IF(PaymentSchedule3[[#This Row],[Payment Number]]&lt;&gt;"",EOMONTH(LoanStartDate,ROW(PaymentSchedule3[[#This Row],[Payment Number]])-ROW(PaymentSchedule3[[#Headers],[Payment Number]])-2)+DAY(LoanStartDate),"")</f>
        <v>50355</v>
      </c>
      <c r="D175" s="25">
        <f ca="1">IF(PaymentSchedule3[[#This Row],[Payment Number]]&lt;&gt;"",IF(ROW()-ROW(PaymentSchedule3[[#Headers],[Beginning
Balance]])=1,LoanAmount,INDEX(PaymentSchedule3[Ending
Balance],ROW()-ROW(PaymentSchedule3[[#Headers],[Beginning
Balance]])-1)),"")</f>
        <v>276004.399257112</v>
      </c>
      <c r="E175" s="25">
        <f ca="1">IF(PaymentSchedule3[[#This Row],[Payment Number]]&lt;&gt;"",ScheduledPayment,"")</f>
        <v>2387.6169801966716</v>
      </c>
      <c r="F17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5" s="25">
        <f ca="1">IF(PaymentSchedule3[[#This Row],[Payment Number]]&lt;&gt;"",PaymentSchedule3[[#This Row],[Total
Payment]]-PaymentSchedule3[[#This Row],[Interest]],"")</f>
        <v>720.0904013516199</v>
      </c>
      <c r="I175" s="25">
        <f ca="1">IF(PaymentSchedule3[[#This Row],[Payment Number]]&lt;&gt;"",PaymentSchedule3[[#This Row],[Beginning
Balance]]*(InterestRate/PaymentsPerYear),"")</f>
        <v>1667.5265788450517</v>
      </c>
      <c r="J175" s="25">
        <f ca="1">IF(PaymentSchedule3[[#This Row],[Payment Number]]&lt;&gt;"",IF(PaymentSchedule3[[#This Row],[Scheduled Payment]]+PaymentSchedule3[[#This Row],[Extra
Payment]]&lt;=PaymentSchedule3[[#This Row],[Beginning
Balance]],PaymentSchedule3[[#This Row],[Beginning
Balance]]-PaymentSchedule3[[#This Row],[Principal]],0),"")</f>
        <v>275284.30885576038</v>
      </c>
      <c r="K175" s="25">
        <f ca="1">IF(PaymentSchedule3[[#This Row],[Payment Number]]&lt;&gt;"",SUM(INDEX(PaymentSchedule3[Interest],1,1):PaymentSchedule3[[#This Row],[Interest]]),"")</f>
        <v>312078.25964762113</v>
      </c>
    </row>
    <row r="176" spans="2:11" x14ac:dyDescent="0.3">
      <c r="B176" s="23">
        <f ca="1">IF(LoanIsGood,IF(ROW()-ROW(PaymentSchedule3[[#Headers],[Payment Number]])&gt;ScheduledNumberOfPayments,"",ROW()-ROW(PaymentSchedule3[[#Headers],[Payment Number]])),"")</f>
        <v>163</v>
      </c>
      <c r="C176" s="24">
        <f ca="1">IF(PaymentSchedule3[[#This Row],[Payment Number]]&lt;&gt;"",EOMONTH(LoanStartDate,ROW(PaymentSchedule3[[#This Row],[Payment Number]])-ROW(PaymentSchedule3[[#Headers],[Payment Number]])-2)+DAY(LoanStartDate),"")</f>
        <v>50385</v>
      </c>
      <c r="D176" s="25">
        <f ca="1">IF(PaymentSchedule3[[#This Row],[Payment Number]]&lt;&gt;"",IF(ROW()-ROW(PaymentSchedule3[[#Headers],[Beginning
Balance]])=1,LoanAmount,INDEX(PaymentSchedule3[Ending
Balance],ROW()-ROW(PaymentSchedule3[[#Headers],[Beginning
Balance]])-1)),"")</f>
        <v>275284.30885576038</v>
      </c>
      <c r="E176" s="25">
        <f ca="1">IF(PaymentSchedule3[[#This Row],[Payment Number]]&lt;&gt;"",ScheduledPayment,"")</f>
        <v>2387.6169801966716</v>
      </c>
      <c r="F17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6" s="25">
        <f ca="1">IF(PaymentSchedule3[[#This Row],[Payment Number]]&lt;&gt;"",PaymentSchedule3[[#This Row],[Total
Payment]]-PaymentSchedule3[[#This Row],[Interest]],"")</f>
        <v>724.44094752645265</v>
      </c>
      <c r="I176" s="25">
        <f ca="1">IF(PaymentSchedule3[[#This Row],[Payment Number]]&lt;&gt;"",PaymentSchedule3[[#This Row],[Beginning
Balance]]*(InterestRate/PaymentsPerYear),"")</f>
        <v>1663.176032670219</v>
      </c>
      <c r="J176" s="25">
        <f ca="1">IF(PaymentSchedule3[[#This Row],[Payment Number]]&lt;&gt;"",IF(PaymentSchedule3[[#This Row],[Scheduled Payment]]+PaymentSchedule3[[#This Row],[Extra
Payment]]&lt;=PaymentSchedule3[[#This Row],[Beginning
Balance]],PaymentSchedule3[[#This Row],[Beginning
Balance]]-PaymentSchedule3[[#This Row],[Principal]],0),"")</f>
        <v>274559.86790823395</v>
      </c>
      <c r="K176" s="25">
        <f ca="1">IF(PaymentSchedule3[[#This Row],[Payment Number]]&lt;&gt;"",SUM(INDEX(PaymentSchedule3[Interest],1,1):PaymentSchedule3[[#This Row],[Interest]]),"")</f>
        <v>313741.43568029132</v>
      </c>
    </row>
    <row r="177" spans="2:11" x14ac:dyDescent="0.3">
      <c r="B177" s="23">
        <f ca="1">IF(LoanIsGood,IF(ROW()-ROW(PaymentSchedule3[[#Headers],[Payment Number]])&gt;ScheduledNumberOfPayments,"",ROW()-ROW(PaymentSchedule3[[#Headers],[Payment Number]])),"")</f>
        <v>164</v>
      </c>
      <c r="C177" s="24">
        <f ca="1">IF(PaymentSchedule3[[#This Row],[Payment Number]]&lt;&gt;"",EOMONTH(LoanStartDate,ROW(PaymentSchedule3[[#This Row],[Payment Number]])-ROW(PaymentSchedule3[[#Headers],[Payment Number]])-2)+DAY(LoanStartDate),"")</f>
        <v>50416</v>
      </c>
      <c r="D177" s="25">
        <f ca="1">IF(PaymentSchedule3[[#This Row],[Payment Number]]&lt;&gt;"",IF(ROW()-ROW(PaymentSchedule3[[#Headers],[Beginning
Balance]])=1,LoanAmount,INDEX(PaymentSchedule3[Ending
Balance],ROW()-ROW(PaymentSchedule3[[#Headers],[Beginning
Balance]])-1)),"")</f>
        <v>274559.86790823395</v>
      </c>
      <c r="E177" s="25">
        <f ca="1">IF(PaymentSchedule3[[#This Row],[Payment Number]]&lt;&gt;"",ScheduledPayment,"")</f>
        <v>2387.6169801966716</v>
      </c>
      <c r="F17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7" s="25">
        <f ca="1">IF(PaymentSchedule3[[#This Row],[Payment Number]]&lt;&gt;"",PaymentSchedule3[[#This Row],[Total
Payment]]-PaymentSchedule3[[#This Row],[Interest]],"")</f>
        <v>728.81777825109157</v>
      </c>
      <c r="I177" s="25">
        <f ca="1">IF(PaymentSchedule3[[#This Row],[Payment Number]]&lt;&gt;"",PaymentSchedule3[[#This Row],[Beginning
Balance]]*(InterestRate/PaymentsPerYear),"")</f>
        <v>1658.7992019455801</v>
      </c>
      <c r="J177" s="25">
        <f ca="1">IF(PaymentSchedule3[[#This Row],[Payment Number]]&lt;&gt;"",IF(PaymentSchedule3[[#This Row],[Scheduled Payment]]+PaymentSchedule3[[#This Row],[Extra
Payment]]&lt;=PaymentSchedule3[[#This Row],[Beginning
Balance]],PaymentSchedule3[[#This Row],[Beginning
Balance]]-PaymentSchedule3[[#This Row],[Principal]],0),"")</f>
        <v>273831.05012998288</v>
      </c>
      <c r="K177" s="25">
        <f ca="1">IF(PaymentSchedule3[[#This Row],[Payment Number]]&lt;&gt;"",SUM(INDEX(PaymentSchedule3[Interest],1,1):PaymentSchedule3[[#This Row],[Interest]]),"")</f>
        <v>315400.23488223692</v>
      </c>
    </row>
    <row r="178" spans="2:11" x14ac:dyDescent="0.3">
      <c r="B178" s="23">
        <f ca="1">IF(LoanIsGood,IF(ROW()-ROW(PaymentSchedule3[[#Headers],[Payment Number]])&gt;ScheduledNumberOfPayments,"",ROW()-ROW(PaymentSchedule3[[#Headers],[Payment Number]])),"")</f>
        <v>165</v>
      </c>
      <c r="C178" s="24">
        <f ca="1">IF(PaymentSchedule3[[#This Row],[Payment Number]]&lt;&gt;"",EOMONTH(LoanStartDate,ROW(PaymentSchedule3[[#This Row],[Payment Number]])-ROW(PaymentSchedule3[[#Headers],[Payment Number]])-2)+DAY(LoanStartDate),"")</f>
        <v>50447</v>
      </c>
      <c r="D178" s="25">
        <f ca="1">IF(PaymentSchedule3[[#This Row],[Payment Number]]&lt;&gt;"",IF(ROW()-ROW(PaymentSchedule3[[#Headers],[Beginning
Balance]])=1,LoanAmount,INDEX(PaymentSchedule3[Ending
Balance],ROW()-ROW(PaymentSchedule3[[#Headers],[Beginning
Balance]])-1)),"")</f>
        <v>273831.05012998288</v>
      </c>
      <c r="E178" s="25">
        <f ca="1">IF(PaymentSchedule3[[#This Row],[Payment Number]]&lt;&gt;"",ScheduledPayment,"")</f>
        <v>2387.6169801966716</v>
      </c>
      <c r="F17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8" s="25">
        <f ca="1">IF(PaymentSchedule3[[#This Row],[Payment Number]]&lt;&gt;"",PaymentSchedule3[[#This Row],[Total
Payment]]-PaymentSchedule3[[#This Row],[Interest]],"")</f>
        <v>733.22105232802505</v>
      </c>
      <c r="I178" s="25">
        <f ca="1">IF(PaymentSchedule3[[#This Row],[Payment Number]]&lt;&gt;"",PaymentSchedule3[[#This Row],[Beginning
Balance]]*(InterestRate/PaymentsPerYear),"")</f>
        <v>1654.3959278686466</v>
      </c>
      <c r="J178" s="25">
        <f ca="1">IF(PaymentSchedule3[[#This Row],[Payment Number]]&lt;&gt;"",IF(PaymentSchedule3[[#This Row],[Scheduled Payment]]+PaymentSchedule3[[#This Row],[Extra
Payment]]&lt;=PaymentSchedule3[[#This Row],[Beginning
Balance]],PaymentSchedule3[[#This Row],[Beginning
Balance]]-PaymentSchedule3[[#This Row],[Principal]],0),"")</f>
        <v>273097.82907765487</v>
      </c>
      <c r="K178" s="25">
        <f ca="1">IF(PaymentSchedule3[[#This Row],[Payment Number]]&lt;&gt;"",SUM(INDEX(PaymentSchedule3[Interest],1,1):PaymentSchedule3[[#This Row],[Interest]]),"")</f>
        <v>317054.63081010559</v>
      </c>
    </row>
    <row r="179" spans="2:11" x14ac:dyDescent="0.3">
      <c r="B179" s="23">
        <f ca="1">IF(LoanIsGood,IF(ROW()-ROW(PaymentSchedule3[[#Headers],[Payment Number]])&gt;ScheduledNumberOfPayments,"",ROW()-ROW(PaymentSchedule3[[#Headers],[Payment Number]])),"")</f>
        <v>166</v>
      </c>
      <c r="C179" s="24">
        <f ca="1">IF(PaymentSchedule3[[#This Row],[Payment Number]]&lt;&gt;"",EOMONTH(LoanStartDate,ROW(PaymentSchedule3[[#This Row],[Payment Number]])-ROW(PaymentSchedule3[[#Headers],[Payment Number]])-2)+DAY(LoanStartDate),"")</f>
        <v>50475</v>
      </c>
      <c r="D179" s="25">
        <f ca="1">IF(PaymentSchedule3[[#This Row],[Payment Number]]&lt;&gt;"",IF(ROW()-ROW(PaymentSchedule3[[#Headers],[Beginning
Balance]])=1,LoanAmount,INDEX(PaymentSchedule3[Ending
Balance],ROW()-ROW(PaymentSchedule3[[#Headers],[Beginning
Balance]])-1)),"")</f>
        <v>273097.82907765487</v>
      </c>
      <c r="E179" s="25">
        <f ca="1">IF(PaymentSchedule3[[#This Row],[Payment Number]]&lt;&gt;"",ScheduledPayment,"")</f>
        <v>2387.6169801966716</v>
      </c>
      <c r="F17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7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79" s="25">
        <f ca="1">IF(PaymentSchedule3[[#This Row],[Payment Number]]&lt;&gt;"",PaymentSchedule3[[#This Row],[Total
Payment]]-PaymentSchedule3[[#This Row],[Interest]],"")</f>
        <v>737.65092951917359</v>
      </c>
      <c r="I179" s="25">
        <f ca="1">IF(PaymentSchedule3[[#This Row],[Payment Number]]&lt;&gt;"",PaymentSchedule3[[#This Row],[Beginning
Balance]]*(InterestRate/PaymentsPerYear),"")</f>
        <v>1649.9660506774981</v>
      </c>
      <c r="J179" s="25">
        <f ca="1">IF(PaymentSchedule3[[#This Row],[Payment Number]]&lt;&gt;"",IF(PaymentSchedule3[[#This Row],[Scheduled Payment]]+PaymentSchedule3[[#This Row],[Extra
Payment]]&lt;=PaymentSchedule3[[#This Row],[Beginning
Balance]],PaymentSchedule3[[#This Row],[Beginning
Balance]]-PaymentSchedule3[[#This Row],[Principal]],0),"")</f>
        <v>272360.17814813572</v>
      </c>
      <c r="K179" s="25">
        <f ca="1">IF(PaymentSchedule3[[#This Row],[Payment Number]]&lt;&gt;"",SUM(INDEX(PaymentSchedule3[Interest],1,1):PaymentSchedule3[[#This Row],[Interest]]),"")</f>
        <v>318704.59686078312</v>
      </c>
    </row>
    <row r="180" spans="2:11" x14ac:dyDescent="0.3">
      <c r="B180" s="23">
        <f ca="1">IF(LoanIsGood,IF(ROW()-ROW(PaymentSchedule3[[#Headers],[Payment Number]])&gt;ScheduledNumberOfPayments,"",ROW()-ROW(PaymentSchedule3[[#Headers],[Payment Number]])),"")</f>
        <v>167</v>
      </c>
      <c r="C180" s="24">
        <f ca="1">IF(PaymentSchedule3[[#This Row],[Payment Number]]&lt;&gt;"",EOMONTH(LoanStartDate,ROW(PaymentSchedule3[[#This Row],[Payment Number]])-ROW(PaymentSchedule3[[#Headers],[Payment Number]])-2)+DAY(LoanStartDate),"")</f>
        <v>50506</v>
      </c>
      <c r="D180" s="25">
        <f ca="1">IF(PaymentSchedule3[[#This Row],[Payment Number]]&lt;&gt;"",IF(ROW()-ROW(PaymentSchedule3[[#Headers],[Beginning
Balance]])=1,LoanAmount,INDEX(PaymentSchedule3[Ending
Balance],ROW()-ROW(PaymentSchedule3[[#Headers],[Beginning
Balance]])-1)),"")</f>
        <v>272360.17814813572</v>
      </c>
      <c r="E180" s="25">
        <f ca="1">IF(PaymentSchedule3[[#This Row],[Payment Number]]&lt;&gt;"",ScheduledPayment,"")</f>
        <v>2387.6169801966716</v>
      </c>
      <c r="F18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0" s="25">
        <f ca="1">IF(PaymentSchedule3[[#This Row],[Payment Number]]&lt;&gt;"",PaymentSchedule3[[#This Row],[Total
Payment]]-PaymentSchedule3[[#This Row],[Interest]],"")</f>
        <v>742.10757055168506</v>
      </c>
      <c r="I180" s="25">
        <f ca="1">IF(PaymentSchedule3[[#This Row],[Payment Number]]&lt;&gt;"",PaymentSchedule3[[#This Row],[Beginning
Balance]]*(InterestRate/PaymentsPerYear),"")</f>
        <v>1645.5094096449866</v>
      </c>
      <c r="J180" s="25">
        <f ca="1">IF(PaymentSchedule3[[#This Row],[Payment Number]]&lt;&gt;"",IF(PaymentSchedule3[[#This Row],[Scheduled Payment]]+PaymentSchedule3[[#This Row],[Extra
Payment]]&lt;=PaymentSchedule3[[#This Row],[Beginning
Balance]],PaymentSchedule3[[#This Row],[Beginning
Balance]]-PaymentSchedule3[[#This Row],[Principal]],0),"")</f>
        <v>271618.07057758403</v>
      </c>
      <c r="K180" s="25">
        <f ca="1">IF(PaymentSchedule3[[#This Row],[Payment Number]]&lt;&gt;"",SUM(INDEX(PaymentSchedule3[Interest],1,1):PaymentSchedule3[[#This Row],[Interest]]),"")</f>
        <v>320350.10627042811</v>
      </c>
    </row>
    <row r="181" spans="2:11" x14ac:dyDescent="0.3">
      <c r="B181" s="23">
        <f ca="1">IF(LoanIsGood,IF(ROW()-ROW(PaymentSchedule3[[#Headers],[Payment Number]])&gt;ScheduledNumberOfPayments,"",ROW()-ROW(PaymentSchedule3[[#Headers],[Payment Number]])),"")</f>
        <v>168</v>
      </c>
      <c r="C181" s="24">
        <f ca="1">IF(PaymentSchedule3[[#This Row],[Payment Number]]&lt;&gt;"",EOMONTH(LoanStartDate,ROW(PaymentSchedule3[[#This Row],[Payment Number]])-ROW(PaymentSchedule3[[#Headers],[Payment Number]])-2)+DAY(LoanStartDate),"")</f>
        <v>50536</v>
      </c>
      <c r="D181" s="25">
        <f ca="1">IF(PaymentSchedule3[[#This Row],[Payment Number]]&lt;&gt;"",IF(ROW()-ROW(PaymentSchedule3[[#Headers],[Beginning
Balance]])=1,LoanAmount,INDEX(PaymentSchedule3[Ending
Balance],ROW()-ROW(PaymentSchedule3[[#Headers],[Beginning
Balance]])-1)),"")</f>
        <v>271618.07057758403</v>
      </c>
      <c r="E181" s="25">
        <f ca="1">IF(PaymentSchedule3[[#This Row],[Payment Number]]&lt;&gt;"",ScheduledPayment,"")</f>
        <v>2387.6169801966716</v>
      </c>
      <c r="F18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1" s="25">
        <f ca="1">IF(PaymentSchedule3[[#This Row],[Payment Number]]&lt;&gt;"",PaymentSchedule3[[#This Row],[Total
Payment]]-PaymentSchedule3[[#This Row],[Interest]],"")</f>
        <v>746.59113712376825</v>
      </c>
      <c r="I181" s="25">
        <f ca="1">IF(PaymentSchedule3[[#This Row],[Payment Number]]&lt;&gt;"",PaymentSchedule3[[#This Row],[Beginning
Balance]]*(InterestRate/PaymentsPerYear),"")</f>
        <v>1641.0258430729034</v>
      </c>
      <c r="J181" s="25">
        <f ca="1">IF(PaymentSchedule3[[#This Row],[Payment Number]]&lt;&gt;"",IF(PaymentSchedule3[[#This Row],[Scheduled Payment]]+PaymentSchedule3[[#This Row],[Extra
Payment]]&lt;=PaymentSchedule3[[#This Row],[Beginning
Balance]],PaymentSchedule3[[#This Row],[Beginning
Balance]]-PaymentSchedule3[[#This Row],[Principal]],0),"")</f>
        <v>270871.47944046027</v>
      </c>
      <c r="K181" s="25">
        <f ca="1">IF(PaymentSchedule3[[#This Row],[Payment Number]]&lt;&gt;"",SUM(INDEX(PaymentSchedule3[Interest],1,1):PaymentSchedule3[[#This Row],[Interest]]),"")</f>
        <v>321991.13211350102</v>
      </c>
    </row>
    <row r="182" spans="2:11" x14ac:dyDescent="0.3">
      <c r="B182" s="23">
        <f ca="1">IF(LoanIsGood,IF(ROW()-ROW(PaymentSchedule3[[#Headers],[Payment Number]])&gt;ScheduledNumberOfPayments,"",ROW()-ROW(PaymentSchedule3[[#Headers],[Payment Number]])),"")</f>
        <v>169</v>
      </c>
      <c r="C182" s="24">
        <f ca="1">IF(PaymentSchedule3[[#This Row],[Payment Number]]&lt;&gt;"",EOMONTH(LoanStartDate,ROW(PaymentSchedule3[[#This Row],[Payment Number]])-ROW(PaymentSchedule3[[#Headers],[Payment Number]])-2)+DAY(LoanStartDate),"")</f>
        <v>50567</v>
      </c>
      <c r="D182" s="25">
        <f ca="1">IF(PaymentSchedule3[[#This Row],[Payment Number]]&lt;&gt;"",IF(ROW()-ROW(PaymentSchedule3[[#Headers],[Beginning
Balance]])=1,LoanAmount,INDEX(PaymentSchedule3[Ending
Balance],ROW()-ROW(PaymentSchedule3[[#Headers],[Beginning
Balance]])-1)),"")</f>
        <v>270871.47944046027</v>
      </c>
      <c r="E182" s="25">
        <f ca="1">IF(PaymentSchedule3[[#This Row],[Payment Number]]&lt;&gt;"",ScheduledPayment,"")</f>
        <v>2387.6169801966716</v>
      </c>
      <c r="F18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2" s="25">
        <f ca="1">IF(PaymentSchedule3[[#This Row],[Payment Number]]&lt;&gt;"",PaymentSchedule3[[#This Row],[Total
Payment]]-PaymentSchedule3[[#This Row],[Interest]],"")</f>
        <v>751.10179191055749</v>
      </c>
      <c r="I182" s="25">
        <f ca="1">IF(PaymentSchedule3[[#This Row],[Payment Number]]&lt;&gt;"",PaymentSchedule3[[#This Row],[Beginning
Balance]]*(InterestRate/PaymentsPerYear),"")</f>
        <v>1636.5151882861142</v>
      </c>
      <c r="J182" s="25">
        <f ca="1">IF(PaymentSchedule3[[#This Row],[Payment Number]]&lt;&gt;"",IF(PaymentSchedule3[[#This Row],[Scheduled Payment]]+PaymentSchedule3[[#This Row],[Extra
Payment]]&lt;=PaymentSchedule3[[#This Row],[Beginning
Balance]],PaymentSchedule3[[#This Row],[Beginning
Balance]]-PaymentSchedule3[[#This Row],[Principal]],0),"")</f>
        <v>270120.37764854974</v>
      </c>
      <c r="K182" s="25">
        <f ca="1">IF(PaymentSchedule3[[#This Row],[Payment Number]]&lt;&gt;"",SUM(INDEX(PaymentSchedule3[Interest],1,1):PaymentSchedule3[[#This Row],[Interest]]),"")</f>
        <v>323627.64730178716</v>
      </c>
    </row>
    <row r="183" spans="2:11" x14ac:dyDescent="0.3">
      <c r="B183" s="23">
        <f ca="1">IF(LoanIsGood,IF(ROW()-ROW(PaymentSchedule3[[#Headers],[Payment Number]])&gt;ScheduledNumberOfPayments,"",ROW()-ROW(PaymentSchedule3[[#Headers],[Payment Number]])),"")</f>
        <v>170</v>
      </c>
      <c r="C183" s="24">
        <f ca="1">IF(PaymentSchedule3[[#This Row],[Payment Number]]&lt;&gt;"",EOMONTH(LoanStartDate,ROW(PaymentSchedule3[[#This Row],[Payment Number]])-ROW(PaymentSchedule3[[#Headers],[Payment Number]])-2)+DAY(LoanStartDate),"")</f>
        <v>50597</v>
      </c>
      <c r="D183" s="25">
        <f ca="1">IF(PaymentSchedule3[[#This Row],[Payment Number]]&lt;&gt;"",IF(ROW()-ROW(PaymentSchedule3[[#Headers],[Beginning
Balance]])=1,LoanAmount,INDEX(PaymentSchedule3[Ending
Balance],ROW()-ROW(PaymentSchedule3[[#Headers],[Beginning
Balance]])-1)),"")</f>
        <v>270120.37764854974</v>
      </c>
      <c r="E183" s="25">
        <f ca="1">IF(PaymentSchedule3[[#This Row],[Payment Number]]&lt;&gt;"",ScheduledPayment,"")</f>
        <v>2387.6169801966716</v>
      </c>
      <c r="F18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3" s="25">
        <f ca="1">IF(PaymentSchedule3[[#This Row],[Payment Number]]&lt;&gt;"",PaymentSchedule3[[#This Row],[Total
Payment]]-PaymentSchedule3[[#This Row],[Interest]],"")</f>
        <v>755.63969857001712</v>
      </c>
      <c r="I183" s="25">
        <f ca="1">IF(PaymentSchedule3[[#This Row],[Payment Number]]&lt;&gt;"",PaymentSchedule3[[#This Row],[Beginning
Balance]]*(InterestRate/PaymentsPerYear),"")</f>
        <v>1631.9772816266545</v>
      </c>
      <c r="J183" s="25">
        <f ca="1">IF(PaymentSchedule3[[#This Row],[Payment Number]]&lt;&gt;"",IF(PaymentSchedule3[[#This Row],[Scheduled Payment]]+PaymentSchedule3[[#This Row],[Extra
Payment]]&lt;=PaymentSchedule3[[#This Row],[Beginning
Balance]],PaymentSchedule3[[#This Row],[Beginning
Balance]]-PaymentSchedule3[[#This Row],[Principal]],0),"")</f>
        <v>269364.73794997972</v>
      </c>
      <c r="K183" s="25">
        <f ca="1">IF(PaymentSchedule3[[#This Row],[Payment Number]]&lt;&gt;"",SUM(INDEX(PaymentSchedule3[Interest],1,1):PaymentSchedule3[[#This Row],[Interest]]),"")</f>
        <v>325259.62458341382</v>
      </c>
    </row>
    <row r="184" spans="2:11" x14ac:dyDescent="0.3">
      <c r="B184" s="23">
        <f ca="1">IF(LoanIsGood,IF(ROW()-ROW(PaymentSchedule3[[#Headers],[Payment Number]])&gt;ScheduledNumberOfPayments,"",ROW()-ROW(PaymentSchedule3[[#Headers],[Payment Number]])),"")</f>
        <v>171</v>
      </c>
      <c r="C184" s="24">
        <f ca="1">IF(PaymentSchedule3[[#This Row],[Payment Number]]&lt;&gt;"",EOMONTH(LoanStartDate,ROW(PaymentSchedule3[[#This Row],[Payment Number]])-ROW(PaymentSchedule3[[#Headers],[Payment Number]])-2)+DAY(LoanStartDate),"")</f>
        <v>50628</v>
      </c>
      <c r="D184" s="25">
        <f ca="1">IF(PaymentSchedule3[[#This Row],[Payment Number]]&lt;&gt;"",IF(ROW()-ROW(PaymentSchedule3[[#Headers],[Beginning
Balance]])=1,LoanAmount,INDEX(PaymentSchedule3[Ending
Balance],ROW()-ROW(PaymentSchedule3[[#Headers],[Beginning
Balance]])-1)),"")</f>
        <v>269364.73794997972</v>
      </c>
      <c r="E184" s="25">
        <f ca="1">IF(PaymentSchedule3[[#This Row],[Payment Number]]&lt;&gt;"",ScheduledPayment,"")</f>
        <v>2387.6169801966716</v>
      </c>
      <c r="F18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4" s="25">
        <f ca="1">IF(PaymentSchedule3[[#This Row],[Payment Number]]&lt;&gt;"",PaymentSchedule3[[#This Row],[Total
Payment]]-PaymentSchedule3[[#This Row],[Interest]],"")</f>
        <v>760.20502174887747</v>
      </c>
      <c r="I184" s="25">
        <f ca="1">IF(PaymentSchedule3[[#This Row],[Payment Number]]&lt;&gt;"",PaymentSchedule3[[#This Row],[Beginning
Balance]]*(InterestRate/PaymentsPerYear),"")</f>
        <v>1627.4119584477942</v>
      </c>
      <c r="J184" s="25">
        <f ca="1">IF(PaymentSchedule3[[#This Row],[Payment Number]]&lt;&gt;"",IF(PaymentSchedule3[[#This Row],[Scheduled Payment]]+PaymentSchedule3[[#This Row],[Extra
Payment]]&lt;=PaymentSchedule3[[#This Row],[Beginning
Balance]],PaymentSchedule3[[#This Row],[Beginning
Balance]]-PaymentSchedule3[[#This Row],[Principal]],0),"")</f>
        <v>268604.53292823082</v>
      </c>
      <c r="K184" s="25">
        <f ca="1">IF(PaymentSchedule3[[#This Row],[Payment Number]]&lt;&gt;"",SUM(INDEX(PaymentSchedule3[Interest],1,1):PaymentSchedule3[[#This Row],[Interest]]),"")</f>
        <v>326887.0365418616</v>
      </c>
    </row>
    <row r="185" spans="2:11" x14ac:dyDescent="0.3">
      <c r="B185" s="23">
        <f ca="1">IF(LoanIsGood,IF(ROW()-ROW(PaymentSchedule3[[#Headers],[Payment Number]])&gt;ScheduledNumberOfPayments,"",ROW()-ROW(PaymentSchedule3[[#Headers],[Payment Number]])),"")</f>
        <v>172</v>
      </c>
      <c r="C185" s="24">
        <f ca="1">IF(PaymentSchedule3[[#This Row],[Payment Number]]&lt;&gt;"",EOMONTH(LoanStartDate,ROW(PaymentSchedule3[[#This Row],[Payment Number]])-ROW(PaymentSchedule3[[#Headers],[Payment Number]])-2)+DAY(LoanStartDate),"")</f>
        <v>50659</v>
      </c>
      <c r="D185" s="25">
        <f ca="1">IF(PaymentSchedule3[[#This Row],[Payment Number]]&lt;&gt;"",IF(ROW()-ROW(PaymentSchedule3[[#Headers],[Beginning
Balance]])=1,LoanAmount,INDEX(PaymentSchedule3[Ending
Balance],ROW()-ROW(PaymentSchedule3[[#Headers],[Beginning
Balance]])-1)),"")</f>
        <v>268604.53292823082</v>
      </c>
      <c r="E185" s="25">
        <f ca="1">IF(PaymentSchedule3[[#This Row],[Payment Number]]&lt;&gt;"",ScheduledPayment,"")</f>
        <v>2387.6169801966716</v>
      </c>
      <c r="F18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5" s="25">
        <f ca="1">IF(PaymentSchedule3[[#This Row],[Payment Number]]&lt;&gt;"",PaymentSchedule3[[#This Row],[Total
Payment]]-PaymentSchedule3[[#This Row],[Interest]],"")</f>
        <v>764.79792708861055</v>
      </c>
      <c r="I185" s="25">
        <f ca="1">IF(PaymentSchedule3[[#This Row],[Payment Number]]&lt;&gt;"",PaymentSchedule3[[#This Row],[Beginning
Balance]]*(InterestRate/PaymentsPerYear),"")</f>
        <v>1622.8190531080611</v>
      </c>
      <c r="J185" s="25">
        <f ca="1">IF(PaymentSchedule3[[#This Row],[Payment Number]]&lt;&gt;"",IF(PaymentSchedule3[[#This Row],[Scheduled Payment]]+PaymentSchedule3[[#This Row],[Extra
Payment]]&lt;=PaymentSchedule3[[#This Row],[Beginning
Balance]],PaymentSchedule3[[#This Row],[Beginning
Balance]]-PaymentSchedule3[[#This Row],[Principal]],0),"")</f>
        <v>267839.73500114219</v>
      </c>
      <c r="K185" s="25">
        <f ca="1">IF(PaymentSchedule3[[#This Row],[Payment Number]]&lt;&gt;"",SUM(INDEX(PaymentSchedule3[Interest],1,1):PaymentSchedule3[[#This Row],[Interest]]),"")</f>
        <v>328509.85559496965</v>
      </c>
    </row>
    <row r="186" spans="2:11" x14ac:dyDescent="0.3">
      <c r="B186" s="23">
        <f ca="1">IF(LoanIsGood,IF(ROW()-ROW(PaymentSchedule3[[#Headers],[Payment Number]])&gt;ScheduledNumberOfPayments,"",ROW()-ROW(PaymentSchedule3[[#Headers],[Payment Number]])),"")</f>
        <v>173</v>
      </c>
      <c r="C186" s="24">
        <f ca="1">IF(PaymentSchedule3[[#This Row],[Payment Number]]&lt;&gt;"",EOMONTH(LoanStartDate,ROW(PaymentSchedule3[[#This Row],[Payment Number]])-ROW(PaymentSchedule3[[#Headers],[Payment Number]])-2)+DAY(LoanStartDate),"")</f>
        <v>50689</v>
      </c>
      <c r="D186" s="25">
        <f ca="1">IF(PaymentSchedule3[[#This Row],[Payment Number]]&lt;&gt;"",IF(ROW()-ROW(PaymentSchedule3[[#Headers],[Beginning
Balance]])=1,LoanAmount,INDEX(PaymentSchedule3[Ending
Balance],ROW()-ROW(PaymentSchedule3[[#Headers],[Beginning
Balance]])-1)),"")</f>
        <v>267839.73500114219</v>
      </c>
      <c r="E186" s="25">
        <f ca="1">IF(PaymentSchedule3[[#This Row],[Payment Number]]&lt;&gt;"",ScheduledPayment,"")</f>
        <v>2387.6169801966716</v>
      </c>
      <c r="F18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6" s="25">
        <f ca="1">IF(PaymentSchedule3[[#This Row],[Payment Number]]&lt;&gt;"",PaymentSchedule3[[#This Row],[Total
Payment]]-PaymentSchedule3[[#This Row],[Interest]],"")</f>
        <v>769.41858123143766</v>
      </c>
      <c r="I186" s="25">
        <f ca="1">IF(PaymentSchedule3[[#This Row],[Payment Number]]&lt;&gt;"",PaymentSchedule3[[#This Row],[Beginning
Balance]]*(InterestRate/PaymentsPerYear),"")</f>
        <v>1618.198398965234</v>
      </c>
      <c r="J186" s="25">
        <f ca="1">IF(PaymentSchedule3[[#This Row],[Payment Number]]&lt;&gt;"",IF(PaymentSchedule3[[#This Row],[Scheduled Payment]]+PaymentSchedule3[[#This Row],[Extra
Payment]]&lt;=PaymentSchedule3[[#This Row],[Beginning
Balance]],PaymentSchedule3[[#This Row],[Beginning
Balance]]-PaymentSchedule3[[#This Row],[Principal]],0),"")</f>
        <v>267070.31641991076</v>
      </c>
      <c r="K186" s="25">
        <f ca="1">IF(PaymentSchedule3[[#This Row],[Payment Number]]&lt;&gt;"",SUM(INDEX(PaymentSchedule3[Interest],1,1):PaymentSchedule3[[#This Row],[Interest]]),"")</f>
        <v>330128.05399393488</v>
      </c>
    </row>
    <row r="187" spans="2:11" x14ac:dyDescent="0.3">
      <c r="B187" s="23">
        <f ca="1">IF(LoanIsGood,IF(ROW()-ROW(PaymentSchedule3[[#Headers],[Payment Number]])&gt;ScheduledNumberOfPayments,"",ROW()-ROW(PaymentSchedule3[[#Headers],[Payment Number]])),"")</f>
        <v>174</v>
      </c>
      <c r="C187" s="24">
        <f ca="1">IF(PaymentSchedule3[[#This Row],[Payment Number]]&lt;&gt;"",EOMONTH(LoanStartDate,ROW(PaymentSchedule3[[#This Row],[Payment Number]])-ROW(PaymentSchedule3[[#Headers],[Payment Number]])-2)+DAY(LoanStartDate),"")</f>
        <v>50720</v>
      </c>
      <c r="D187" s="25">
        <f ca="1">IF(PaymentSchedule3[[#This Row],[Payment Number]]&lt;&gt;"",IF(ROW()-ROW(PaymentSchedule3[[#Headers],[Beginning
Balance]])=1,LoanAmount,INDEX(PaymentSchedule3[Ending
Balance],ROW()-ROW(PaymentSchedule3[[#Headers],[Beginning
Balance]])-1)),"")</f>
        <v>267070.31641991076</v>
      </c>
      <c r="E187" s="25">
        <f ca="1">IF(PaymentSchedule3[[#This Row],[Payment Number]]&lt;&gt;"",ScheduledPayment,"")</f>
        <v>2387.6169801966716</v>
      </c>
      <c r="F18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7" s="25">
        <f ca="1">IF(PaymentSchedule3[[#This Row],[Payment Number]]&lt;&gt;"",PaymentSchedule3[[#This Row],[Total
Payment]]-PaymentSchedule3[[#This Row],[Interest]],"")</f>
        <v>774.06715182637754</v>
      </c>
      <c r="I187" s="25">
        <f ca="1">IF(PaymentSchedule3[[#This Row],[Payment Number]]&lt;&gt;"",PaymentSchedule3[[#This Row],[Beginning
Balance]]*(InterestRate/PaymentsPerYear),"")</f>
        <v>1613.5498283702941</v>
      </c>
      <c r="J187" s="25">
        <f ca="1">IF(PaymentSchedule3[[#This Row],[Payment Number]]&lt;&gt;"",IF(PaymentSchedule3[[#This Row],[Scheduled Payment]]+PaymentSchedule3[[#This Row],[Extra
Payment]]&lt;=PaymentSchedule3[[#This Row],[Beginning
Balance]],PaymentSchedule3[[#This Row],[Beginning
Balance]]-PaymentSchedule3[[#This Row],[Principal]],0),"")</f>
        <v>266296.24926808436</v>
      </c>
      <c r="K187" s="25">
        <f ca="1">IF(PaymentSchedule3[[#This Row],[Payment Number]]&lt;&gt;"",SUM(INDEX(PaymentSchedule3[Interest],1,1):PaymentSchedule3[[#This Row],[Interest]]),"")</f>
        <v>331741.60382230516</v>
      </c>
    </row>
    <row r="188" spans="2:11" x14ac:dyDescent="0.3">
      <c r="B188" s="23">
        <f ca="1">IF(LoanIsGood,IF(ROW()-ROW(PaymentSchedule3[[#Headers],[Payment Number]])&gt;ScheduledNumberOfPayments,"",ROW()-ROW(PaymentSchedule3[[#Headers],[Payment Number]])),"")</f>
        <v>175</v>
      </c>
      <c r="C188" s="24">
        <f ca="1">IF(PaymentSchedule3[[#This Row],[Payment Number]]&lt;&gt;"",EOMONTH(LoanStartDate,ROW(PaymentSchedule3[[#This Row],[Payment Number]])-ROW(PaymentSchedule3[[#Headers],[Payment Number]])-2)+DAY(LoanStartDate),"")</f>
        <v>50750</v>
      </c>
      <c r="D188" s="25">
        <f ca="1">IF(PaymentSchedule3[[#This Row],[Payment Number]]&lt;&gt;"",IF(ROW()-ROW(PaymentSchedule3[[#Headers],[Beginning
Balance]])=1,LoanAmount,INDEX(PaymentSchedule3[Ending
Balance],ROW()-ROW(PaymentSchedule3[[#Headers],[Beginning
Balance]])-1)),"")</f>
        <v>266296.24926808436</v>
      </c>
      <c r="E188" s="25">
        <f ca="1">IF(PaymentSchedule3[[#This Row],[Payment Number]]&lt;&gt;"",ScheduledPayment,"")</f>
        <v>2387.6169801966716</v>
      </c>
      <c r="F18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8" s="25">
        <f ca="1">IF(PaymentSchedule3[[#This Row],[Payment Number]]&lt;&gt;"",PaymentSchedule3[[#This Row],[Total
Payment]]-PaymentSchedule3[[#This Row],[Interest]],"")</f>
        <v>778.74380753532864</v>
      </c>
      <c r="I188" s="25">
        <f ca="1">IF(PaymentSchedule3[[#This Row],[Payment Number]]&lt;&gt;"",PaymentSchedule3[[#This Row],[Beginning
Balance]]*(InterestRate/PaymentsPerYear),"")</f>
        <v>1608.873172661343</v>
      </c>
      <c r="J188" s="25">
        <f ca="1">IF(PaymentSchedule3[[#This Row],[Payment Number]]&lt;&gt;"",IF(PaymentSchedule3[[#This Row],[Scheduled Payment]]+PaymentSchedule3[[#This Row],[Extra
Payment]]&lt;=PaymentSchedule3[[#This Row],[Beginning
Balance]],PaymentSchedule3[[#This Row],[Beginning
Balance]]-PaymentSchedule3[[#This Row],[Principal]],0),"")</f>
        <v>265517.50546054903</v>
      </c>
      <c r="K188" s="25">
        <f ca="1">IF(PaymentSchedule3[[#This Row],[Payment Number]]&lt;&gt;"",SUM(INDEX(PaymentSchedule3[Interest],1,1):PaymentSchedule3[[#This Row],[Interest]]),"")</f>
        <v>333350.47699496651</v>
      </c>
    </row>
    <row r="189" spans="2:11" x14ac:dyDescent="0.3">
      <c r="B189" s="23">
        <f ca="1">IF(LoanIsGood,IF(ROW()-ROW(PaymentSchedule3[[#Headers],[Payment Number]])&gt;ScheduledNumberOfPayments,"",ROW()-ROW(PaymentSchedule3[[#Headers],[Payment Number]])),"")</f>
        <v>176</v>
      </c>
      <c r="C189" s="24">
        <f ca="1">IF(PaymentSchedule3[[#This Row],[Payment Number]]&lt;&gt;"",EOMONTH(LoanStartDate,ROW(PaymentSchedule3[[#This Row],[Payment Number]])-ROW(PaymentSchedule3[[#Headers],[Payment Number]])-2)+DAY(LoanStartDate),"")</f>
        <v>50781</v>
      </c>
      <c r="D189" s="25">
        <f ca="1">IF(PaymentSchedule3[[#This Row],[Payment Number]]&lt;&gt;"",IF(ROW()-ROW(PaymentSchedule3[[#Headers],[Beginning
Balance]])=1,LoanAmount,INDEX(PaymentSchedule3[Ending
Balance],ROW()-ROW(PaymentSchedule3[[#Headers],[Beginning
Balance]])-1)),"")</f>
        <v>265517.50546054903</v>
      </c>
      <c r="E189" s="25">
        <f ca="1">IF(PaymentSchedule3[[#This Row],[Payment Number]]&lt;&gt;"",ScheduledPayment,"")</f>
        <v>2387.6169801966716</v>
      </c>
      <c r="F18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8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89" s="25">
        <f ca="1">IF(PaymentSchedule3[[#This Row],[Payment Number]]&lt;&gt;"",PaymentSchedule3[[#This Row],[Total
Payment]]-PaymentSchedule3[[#This Row],[Interest]],"")</f>
        <v>783.44871803918795</v>
      </c>
      <c r="I189" s="25">
        <f ca="1">IF(PaymentSchedule3[[#This Row],[Payment Number]]&lt;&gt;"",PaymentSchedule3[[#This Row],[Beginning
Balance]]*(InterestRate/PaymentsPerYear),"")</f>
        <v>1604.1682621574837</v>
      </c>
      <c r="J189" s="25">
        <f ca="1">IF(PaymentSchedule3[[#This Row],[Payment Number]]&lt;&gt;"",IF(PaymentSchedule3[[#This Row],[Scheduled Payment]]+PaymentSchedule3[[#This Row],[Extra
Payment]]&lt;=PaymentSchedule3[[#This Row],[Beginning
Balance]],PaymentSchedule3[[#This Row],[Beginning
Balance]]-PaymentSchedule3[[#This Row],[Principal]],0),"")</f>
        <v>264734.05674250983</v>
      </c>
      <c r="K189" s="25">
        <f ca="1">IF(PaymentSchedule3[[#This Row],[Payment Number]]&lt;&gt;"",SUM(INDEX(PaymentSchedule3[Interest],1,1):PaymentSchedule3[[#This Row],[Interest]]),"")</f>
        <v>334954.64525712398</v>
      </c>
    </row>
    <row r="190" spans="2:11" x14ac:dyDescent="0.3">
      <c r="B190" s="23">
        <f ca="1">IF(LoanIsGood,IF(ROW()-ROW(PaymentSchedule3[[#Headers],[Payment Number]])&gt;ScheduledNumberOfPayments,"",ROW()-ROW(PaymentSchedule3[[#Headers],[Payment Number]])),"")</f>
        <v>177</v>
      </c>
      <c r="C190" s="24">
        <f ca="1">IF(PaymentSchedule3[[#This Row],[Payment Number]]&lt;&gt;"",EOMONTH(LoanStartDate,ROW(PaymentSchedule3[[#This Row],[Payment Number]])-ROW(PaymentSchedule3[[#Headers],[Payment Number]])-2)+DAY(LoanStartDate),"")</f>
        <v>50812</v>
      </c>
      <c r="D190" s="25">
        <f ca="1">IF(PaymentSchedule3[[#This Row],[Payment Number]]&lt;&gt;"",IF(ROW()-ROW(PaymentSchedule3[[#Headers],[Beginning
Balance]])=1,LoanAmount,INDEX(PaymentSchedule3[Ending
Balance],ROW()-ROW(PaymentSchedule3[[#Headers],[Beginning
Balance]])-1)),"")</f>
        <v>264734.05674250983</v>
      </c>
      <c r="E190" s="25">
        <f ca="1">IF(PaymentSchedule3[[#This Row],[Payment Number]]&lt;&gt;"",ScheduledPayment,"")</f>
        <v>2387.6169801966716</v>
      </c>
      <c r="F19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0" s="25">
        <f ca="1">IF(PaymentSchedule3[[#This Row],[Payment Number]]&lt;&gt;"",PaymentSchedule3[[#This Row],[Total
Payment]]-PaymentSchedule3[[#This Row],[Interest]],"")</f>
        <v>788.18205404400805</v>
      </c>
      <c r="I190" s="25">
        <f ca="1">IF(PaymentSchedule3[[#This Row],[Payment Number]]&lt;&gt;"",PaymentSchedule3[[#This Row],[Beginning
Balance]]*(InterestRate/PaymentsPerYear),"")</f>
        <v>1599.4349261526636</v>
      </c>
      <c r="J190" s="25">
        <f ca="1">IF(PaymentSchedule3[[#This Row],[Payment Number]]&lt;&gt;"",IF(PaymentSchedule3[[#This Row],[Scheduled Payment]]+PaymentSchedule3[[#This Row],[Extra
Payment]]&lt;=PaymentSchedule3[[#This Row],[Beginning
Balance]],PaymentSchedule3[[#This Row],[Beginning
Balance]]-PaymentSchedule3[[#This Row],[Principal]],0),"")</f>
        <v>263945.87468846585</v>
      </c>
      <c r="K190" s="25">
        <f ca="1">IF(PaymentSchedule3[[#This Row],[Payment Number]]&lt;&gt;"",SUM(INDEX(PaymentSchedule3[Interest],1,1):PaymentSchedule3[[#This Row],[Interest]]),"")</f>
        <v>336554.08018327662</v>
      </c>
    </row>
    <row r="191" spans="2:11" x14ac:dyDescent="0.3">
      <c r="B191" s="23">
        <f ca="1">IF(LoanIsGood,IF(ROW()-ROW(PaymentSchedule3[[#Headers],[Payment Number]])&gt;ScheduledNumberOfPayments,"",ROW()-ROW(PaymentSchedule3[[#Headers],[Payment Number]])),"")</f>
        <v>178</v>
      </c>
      <c r="C191" s="24">
        <f ca="1">IF(PaymentSchedule3[[#This Row],[Payment Number]]&lt;&gt;"",EOMONTH(LoanStartDate,ROW(PaymentSchedule3[[#This Row],[Payment Number]])-ROW(PaymentSchedule3[[#Headers],[Payment Number]])-2)+DAY(LoanStartDate),"")</f>
        <v>50840</v>
      </c>
      <c r="D191" s="25">
        <f ca="1">IF(PaymentSchedule3[[#This Row],[Payment Number]]&lt;&gt;"",IF(ROW()-ROW(PaymentSchedule3[[#Headers],[Beginning
Balance]])=1,LoanAmount,INDEX(PaymentSchedule3[Ending
Balance],ROW()-ROW(PaymentSchedule3[[#Headers],[Beginning
Balance]])-1)),"")</f>
        <v>263945.87468846585</v>
      </c>
      <c r="E191" s="25">
        <f ca="1">IF(PaymentSchedule3[[#This Row],[Payment Number]]&lt;&gt;"",ScheduledPayment,"")</f>
        <v>2387.6169801966716</v>
      </c>
      <c r="F19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1" s="25">
        <f ca="1">IF(PaymentSchedule3[[#This Row],[Payment Number]]&lt;&gt;"",PaymentSchedule3[[#This Row],[Total
Payment]]-PaymentSchedule3[[#This Row],[Interest]],"")</f>
        <v>792.94398728719057</v>
      </c>
      <c r="I191" s="25">
        <f ca="1">IF(PaymentSchedule3[[#This Row],[Payment Number]]&lt;&gt;"",PaymentSchedule3[[#This Row],[Beginning
Balance]]*(InterestRate/PaymentsPerYear),"")</f>
        <v>1594.6729929094811</v>
      </c>
      <c r="J191" s="25">
        <f ca="1">IF(PaymentSchedule3[[#This Row],[Payment Number]]&lt;&gt;"",IF(PaymentSchedule3[[#This Row],[Scheduled Payment]]+PaymentSchedule3[[#This Row],[Extra
Payment]]&lt;=PaymentSchedule3[[#This Row],[Beginning
Balance]],PaymentSchedule3[[#This Row],[Beginning
Balance]]-PaymentSchedule3[[#This Row],[Principal]],0),"")</f>
        <v>263152.93070117867</v>
      </c>
      <c r="K191" s="25">
        <f ca="1">IF(PaymentSchedule3[[#This Row],[Payment Number]]&lt;&gt;"",SUM(INDEX(PaymentSchedule3[Interest],1,1):PaymentSchedule3[[#This Row],[Interest]]),"")</f>
        <v>338148.75317618612</v>
      </c>
    </row>
    <row r="192" spans="2:11" x14ac:dyDescent="0.3">
      <c r="B192" s="23">
        <f ca="1">IF(LoanIsGood,IF(ROW()-ROW(PaymentSchedule3[[#Headers],[Payment Number]])&gt;ScheduledNumberOfPayments,"",ROW()-ROW(PaymentSchedule3[[#Headers],[Payment Number]])),"")</f>
        <v>179</v>
      </c>
      <c r="C192" s="24">
        <f ca="1">IF(PaymentSchedule3[[#This Row],[Payment Number]]&lt;&gt;"",EOMONTH(LoanStartDate,ROW(PaymentSchedule3[[#This Row],[Payment Number]])-ROW(PaymentSchedule3[[#Headers],[Payment Number]])-2)+DAY(LoanStartDate),"")</f>
        <v>50871</v>
      </c>
      <c r="D192" s="25">
        <f ca="1">IF(PaymentSchedule3[[#This Row],[Payment Number]]&lt;&gt;"",IF(ROW()-ROW(PaymentSchedule3[[#Headers],[Beginning
Balance]])=1,LoanAmount,INDEX(PaymentSchedule3[Ending
Balance],ROW()-ROW(PaymentSchedule3[[#Headers],[Beginning
Balance]])-1)),"")</f>
        <v>263152.93070117867</v>
      </c>
      <c r="E192" s="25">
        <f ca="1">IF(PaymentSchedule3[[#This Row],[Payment Number]]&lt;&gt;"",ScheduledPayment,"")</f>
        <v>2387.6169801966716</v>
      </c>
      <c r="F19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2" s="25">
        <f ca="1">IF(PaymentSchedule3[[#This Row],[Payment Number]]&lt;&gt;"",PaymentSchedule3[[#This Row],[Total
Payment]]-PaymentSchedule3[[#This Row],[Interest]],"")</f>
        <v>797.73469054371731</v>
      </c>
      <c r="I192" s="25">
        <f ca="1">IF(PaymentSchedule3[[#This Row],[Payment Number]]&lt;&gt;"",PaymentSchedule3[[#This Row],[Beginning
Balance]]*(InterestRate/PaymentsPerYear),"")</f>
        <v>1589.8822896529543</v>
      </c>
      <c r="J192" s="25">
        <f ca="1">IF(PaymentSchedule3[[#This Row],[Payment Number]]&lt;&gt;"",IF(PaymentSchedule3[[#This Row],[Scheduled Payment]]+PaymentSchedule3[[#This Row],[Extra
Payment]]&lt;=PaymentSchedule3[[#This Row],[Beginning
Balance]],PaymentSchedule3[[#This Row],[Beginning
Balance]]-PaymentSchedule3[[#This Row],[Principal]],0),"")</f>
        <v>262355.19601063494</v>
      </c>
      <c r="K192" s="25">
        <f ca="1">IF(PaymentSchedule3[[#This Row],[Payment Number]]&lt;&gt;"",SUM(INDEX(PaymentSchedule3[Interest],1,1):PaymentSchedule3[[#This Row],[Interest]]),"")</f>
        <v>339738.63546583906</v>
      </c>
    </row>
    <row r="193" spans="2:11" x14ac:dyDescent="0.3">
      <c r="B193" s="23">
        <f ca="1">IF(LoanIsGood,IF(ROW()-ROW(PaymentSchedule3[[#Headers],[Payment Number]])&gt;ScheduledNumberOfPayments,"",ROW()-ROW(PaymentSchedule3[[#Headers],[Payment Number]])),"")</f>
        <v>180</v>
      </c>
      <c r="C193" s="24">
        <f ca="1">IF(PaymentSchedule3[[#This Row],[Payment Number]]&lt;&gt;"",EOMONTH(LoanStartDate,ROW(PaymentSchedule3[[#This Row],[Payment Number]])-ROW(PaymentSchedule3[[#Headers],[Payment Number]])-2)+DAY(LoanStartDate),"")</f>
        <v>50901</v>
      </c>
      <c r="D193" s="25">
        <f ca="1">IF(PaymentSchedule3[[#This Row],[Payment Number]]&lt;&gt;"",IF(ROW()-ROW(PaymentSchedule3[[#Headers],[Beginning
Balance]])=1,LoanAmount,INDEX(PaymentSchedule3[Ending
Balance],ROW()-ROW(PaymentSchedule3[[#Headers],[Beginning
Balance]])-1)),"")</f>
        <v>262355.19601063494</v>
      </c>
      <c r="E193" s="25">
        <f ca="1">IF(PaymentSchedule3[[#This Row],[Payment Number]]&lt;&gt;"",ScheduledPayment,"")</f>
        <v>2387.6169801966716</v>
      </c>
      <c r="F19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3" s="25">
        <f ca="1">IF(PaymentSchedule3[[#This Row],[Payment Number]]&lt;&gt;"",PaymentSchedule3[[#This Row],[Total
Payment]]-PaymentSchedule3[[#This Row],[Interest]],"")</f>
        <v>802.55433763241899</v>
      </c>
      <c r="I193" s="25">
        <f ca="1">IF(PaymentSchedule3[[#This Row],[Payment Number]]&lt;&gt;"",PaymentSchedule3[[#This Row],[Beginning
Balance]]*(InterestRate/PaymentsPerYear),"")</f>
        <v>1585.0626425642527</v>
      </c>
      <c r="J193" s="25">
        <f ca="1">IF(PaymentSchedule3[[#This Row],[Payment Number]]&lt;&gt;"",IF(PaymentSchedule3[[#This Row],[Scheduled Payment]]+PaymentSchedule3[[#This Row],[Extra
Payment]]&lt;=PaymentSchedule3[[#This Row],[Beginning
Balance]],PaymentSchedule3[[#This Row],[Beginning
Balance]]-PaymentSchedule3[[#This Row],[Principal]],0),"")</f>
        <v>261552.64167300254</v>
      </c>
      <c r="K193" s="25">
        <f ca="1">IF(PaymentSchedule3[[#This Row],[Payment Number]]&lt;&gt;"",SUM(INDEX(PaymentSchedule3[Interest],1,1):PaymentSchedule3[[#This Row],[Interest]]),"")</f>
        <v>341323.6981084033</v>
      </c>
    </row>
    <row r="194" spans="2:11" x14ac:dyDescent="0.3">
      <c r="B194" s="23">
        <f ca="1">IF(LoanIsGood,IF(ROW()-ROW(PaymentSchedule3[[#Headers],[Payment Number]])&gt;ScheduledNumberOfPayments,"",ROW()-ROW(PaymentSchedule3[[#Headers],[Payment Number]])),"")</f>
        <v>181</v>
      </c>
      <c r="C194" s="24">
        <f ca="1">IF(PaymentSchedule3[[#This Row],[Payment Number]]&lt;&gt;"",EOMONTH(LoanStartDate,ROW(PaymentSchedule3[[#This Row],[Payment Number]])-ROW(PaymentSchedule3[[#Headers],[Payment Number]])-2)+DAY(LoanStartDate),"")</f>
        <v>50932</v>
      </c>
      <c r="D194" s="25">
        <f ca="1">IF(PaymentSchedule3[[#This Row],[Payment Number]]&lt;&gt;"",IF(ROW()-ROW(PaymentSchedule3[[#Headers],[Beginning
Balance]])=1,LoanAmount,INDEX(PaymentSchedule3[Ending
Balance],ROW()-ROW(PaymentSchedule3[[#Headers],[Beginning
Balance]])-1)),"")</f>
        <v>261552.64167300254</v>
      </c>
      <c r="E194" s="25">
        <f ca="1">IF(PaymentSchedule3[[#This Row],[Payment Number]]&lt;&gt;"",ScheduledPayment,"")</f>
        <v>2387.6169801966716</v>
      </c>
      <c r="F19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4" s="25">
        <f ca="1">IF(PaymentSchedule3[[#This Row],[Payment Number]]&lt;&gt;"",PaymentSchedule3[[#This Row],[Total
Payment]]-PaymentSchedule3[[#This Row],[Interest]],"")</f>
        <v>807.40310342228145</v>
      </c>
      <c r="I194" s="25">
        <f ca="1">IF(PaymentSchedule3[[#This Row],[Payment Number]]&lt;&gt;"",PaymentSchedule3[[#This Row],[Beginning
Balance]]*(InterestRate/PaymentsPerYear),"")</f>
        <v>1580.2138767743902</v>
      </c>
      <c r="J194" s="25">
        <f ca="1">IF(PaymentSchedule3[[#This Row],[Payment Number]]&lt;&gt;"",IF(PaymentSchedule3[[#This Row],[Scheduled Payment]]+PaymentSchedule3[[#This Row],[Extra
Payment]]&lt;=PaymentSchedule3[[#This Row],[Beginning
Balance]],PaymentSchedule3[[#This Row],[Beginning
Balance]]-PaymentSchedule3[[#This Row],[Principal]],0),"")</f>
        <v>260745.23856958025</v>
      </c>
      <c r="K194" s="25">
        <f ca="1">IF(PaymentSchedule3[[#This Row],[Payment Number]]&lt;&gt;"",SUM(INDEX(PaymentSchedule3[Interest],1,1):PaymentSchedule3[[#This Row],[Interest]]),"")</f>
        <v>342903.91198517772</v>
      </c>
    </row>
    <row r="195" spans="2:11" x14ac:dyDescent="0.3">
      <c r="B195" s="23">
        <f ca="1">IF(LoanIsGood,IF(ROW()-ROW(PaymentSchedule3[[#Headers],[Payment Number]])&gt;ScheduledNumberOfPayments,"",ROW()-ROW(PaymentSchedule3[[#Headers],[Payment Number]])),"")</f>
        <v>182</v>
      </c>
      <c r="C195" s="24">
        <f ca="1">IF(PaymentSchedule3[[#This Row],[Payment Number]]&lt;&gt;"",EOMONTH(LoanStartDate,ROW(PaymentSchedule3[[#This Row],[Payment Number]])-ROW(PaymentSchedule3[[#Headers],[Payment Number]])-2)+DAY(LoanStartDate),"")</f>
        <v>50962</v>
      </c>
      <c r="D195" s="25">
        <f ca="1">IF(PaymentSchedule3[[#This Row],[Payment Number]]&lt;&gt;"",IF(ROW()-ROW(PaymentSchedule3[[#Headers],[Beginning
Balance]])=1,LoanAmount,INDEX(PaymentSchedule3[Ending
Balance],ROW()-ROW(PaymentSchedule3[[#Headers],[Beginning
Balance]])-1)),"")</f>
        <v>260745.23856958025</v>
      </c>
      <c r="E195" s="25">
        <f ca="1">IF(PaymentSchedule3[[#This Row],[Payment Number]]&lt;&gt;"",ScheduledPayment,"")</f>
        <v>2387.6169801966716</v>
      </c>
      <c r="F19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5" s="25">
        <f ca="1">IF(PaymentSchedule3[[#This Row],[Payment Number]]&lt;&gt;"",PaymentSchedule3[[#This Row],[Total
Payment]]-PaymentSchedule3[[#This Row],[Interest]],"")</f>
        <v>812.28116383879092</v>
      </c>
      <c r="I195" s="25">
        <f ca="1">IF(PaymentSchedule3[[#This Row],[Payment Number]]&lt;&gt;"",PaymentSchedule3[[#This Row],[Beginning
Balance]]*(InterestRate/PaymentsPerYear),"")</f>
        <v>1575.3358163578807</v>
      </c>
      <c r="J195" s="25">
        <f ca="1">IF(PaymentSchedule3[[#This Row],[Payment Number]]&lt;&gt;"",IF(PaymentSchedule3[[#This Row],[Scheduled Payment]]+PaymentSchedule3[[#This Row],[Extra
Payment]]&lt;=PaymentSchedule3[[#This Row],[Beginning
Balance]],PaymentSchedule3[[#This Row],[Beginning
Balance]]-PaymentSchedule3[[#This Row],[Principal]],0),"")</f>
        <v>259932.95740574147</v>
      </c>
      <c r="K195" s="25">
        <f ca="1">IF(PaymentSchedule3[[#This Row],[Payment Number]]&lt;&gt;"",SUM(INDEX(PaymentSchedule3[Interest],1,1):PaymentSchedule3[[#This Row],[Interest]]),"")</f>
        <v>344479.24780153559</v>
      </c>
    </row>
    <row r="196" spans="2:11" x14ac:dyDescent="0.3">
      <c r="B196" s="23">
        <f ca="1">IF(LoanIsGood,IF(ROW()-ROW(PaymentSchedule3[[#Headers],[Payment Number]])&gt;ScheduledNumberOfPayments,"",ROW()-ROW(PaymentSchedule3[[#Headers],[Payment Number]])),"")</f>
        <v>183</v>
      </c>
      <c r="C196" s="24">
        <f ca="1">IF(PaymentSchedule3[[#This Row],[Payment Number]]&lt;&gt;"",EOMONTH(LoanStartDate,ROW(PaymentSchedule3[[#This Row],[Payment Number]])-ROW(PaymentSchedule3[[#Headers],[Payment Number]])-2)+DAY(LoanStartDate),"")</f>
        <v>50993</v>
      </c>
      <c r="D196" s="25">
        <f ca="1">IF(PaymentSchedule3[[#This Row],[Payment Number]]&lt;&gt;"",IF(ROW()-ROW(PaymentSchedule3[[#Headers],[Beginning
Balance]])=1,LoanAmount,INDEX(PaymentSchedule3[Ending
Balance],ROW()-ROW(PaymentSchedule3[[#Headers],[Beginning
Balance]])-1)),"")</f>
        <v>259932.95740574147</v>
      </c>
      <c r="E196" s="25">
        <f ca="1">IF(PaymentSchedule3[[#This Row],[Payment Number]]&lt;&gt;"",ScheduledPayment,"")</f>
        <v>2387.6169801966716</v>
      </c>
      <c r="F19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6" s="25">
        <f ca="1">IF(PaymentSchedule3[[#This Row],[Payment Number]]&lt;&gt;"",PaymentSchedule3[[#This Row],[Total
Payment]]-PaymentSchedule3[[#This Row],[Interest]],"")</f>
        <v>817.18869587031691</v>
      </c>
      <c r="I196" s="25">
        <f ca="1">IF(PaymentSchedule3[[#This Row],[Payment Number]]&lt;&gt;"",PaymentSchedule3[[#This Row],[Beginning
Balance]]*(InterestRate/PaymentsPerYear),"")</f>
        <v>1570.4282843263547</v>
      </c>
      <c r="J196" s="25">
        <f ca="1">IF(PaymentSchedule3[[#This Row],[Payment Number]]&lt;&gt;"",IF(PaymentSchedule3[[#This Row],[Scheduled Payment]]+PaymentSchedule3[[#This Row],[Extra
Payment]]&lt;=PaymentSchedule3[[#This Row],[Beginning
Balance]],PaymentSchedule3[[#This Row],[Beginning
Balance]]-PaymentSchedule3[[#This Row],[Principal]],0),"")</f>
        <v>259115.76870987116</v>
      </c>
      <c r="K196" s="25">
        <f ca="1">IF(PaymentSchedule3[[#This Row],[Payment Number]]&lt;&gt;"",SUM(INDEX(PaymentSchedule3[Interest],1,1):PaymentSchedule3[[#This Row],[Interest]]),"")</f>
        <v>346049.67608586192</v>
      </c>
    </row>
    <row r="197" spans="2:11" x14ac:dyDescent="0.3">
      <c r="B197" s="23">
        <f ca="1">IF(LoanIsGood,IF(ROW()-ROW(PaymentSchedule3[[#Headers],[Payment Number]])&gt;ScheduledNumberOfPayments,"",ROW()-ROW(PaymentSchedule3[[#Headers],[Payment Number]])),"")</f>
        <v>184</v>
      </c>
      <c r="C197" s="24">
        <f ca="1">IF(PaymentSchedule3[[#This Row],[Payment Number]]&lt;&gt;"",EOMONTH(LoanStartDate,ROW(PaymentSchedule3[[#This Row],[Payment Number]])-ROW(PaymentSchedule3[[#Headers],[Payment Number]])-2)+DAY(LoanStartDate),"")</f>
        <v>51024</v>
      </c>
      <c r="D197" s="25">
        <f ca="1">IF(PaymentSchedule3[[#This Row],[Payment Number]]&lt;&gt;"",IF(ROW()-ROW(PaymentSchedule3[[#Headers],[Beginning
Balance]])=1,LoanAmount,INDEX(PaymentSchedule3[Ending
Balance],ROW()-ROW(PaymentSchedule3[[#Headers],[Beginning
Balance]])-1)),"")</f>
        <v>259115.76870987116</v>
      </c>
      <c r="E197" s="25">
        <f ca="1">IF(PaymentSchedule3[[#This Row],[Payment Number]]&lt;&gt;"",ScheduledPayment,"")</f>
        <v>2387.6169801966716</v>
      </c>
      <c r="F19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7" s="25">
        <f ca="1">IF(PaymentSchedule3[[#This Row],[Payment Number]]&lt;&gt;"",PaymentSchedule3[[#This Row],[Total
Payment]]-PaymentSchedule3[[#This Row],[Interest]],"")</f>
        <v>822.12587757453343</v>
      </c>
      <c r="I197" s="25">
        <f ca="1">IF(PaymentSchedule3[[#This Row],[Payment Number]]&lt;&gt;"",PaymentSchedule3[[#This Row],[Beginning
Balance]]*(InterestRate/PaymentsPerYear),"")</f>
        <v>1565.4911026221382</v>
      </c>
      <c r="J197" s="25">
        <f ca="1">IF(PaymentSchedule3[[#This Row],[Payment Number]]&lt;&gt;"",IF(PaymentSchedule3[[#This Row],[Scheduled Payment]]+PaymentSchedule3[[#This Row],[Extra
Payment]]&lt;=PaymentSchedule3[[#This Row],[Beginning
Balance]],PaymentSchedule3[[#This Row],[Beginning
Balance]]-PaymentSchedule3[[#This Row],[Principal]],0),"")</f>
        <v>258293.64283229664</v>
      </c>
      <c r="K197" s="25">
        <f ca="1">IF(PaymentSchedule3[[#This Row],[Payment Number]]&lt;&gt;"",SUM(INDEX(PaymentSchedule3[Interest],1,1):PaymentSchedule3[[#This Row],[Interest]]),"")</f>
        <v>347615.16718848405</v>
      </c>
    </row>
    <row r="198" spans="2:11" x14ac:dyDescent="0.3">
      <c r="B198" s="23">
        <f ca="1">IF(LoanIsGood,IF(ROW()-ROW(PaymentSchedule3[[#Headers],[Payment Number]])&gt;ScheduledNumberOfPayments,"",ROW()-ROW(PaymentSchedule3[[#Headers],[Payment Number]])),"")</f>
        <v>185</v>
      </c>
      <c r="C198" s="24">
        <f ca="1">IF(PaymentSchedule3[[#This Row],[Payment Number]]&lt;&gt;"",EOMONTH(LoanStartDate,ROW(PaymentSchedule3[[#This Row],[Payment Number]])-ROW(PaymentSchedule3[[#Headers],[Payment Number]])-2)+DAY(LoanStartDate),"")</f>
        <v>51054</v>
      </c>
      <c r="D198" s="25">
        <f ca="1">IF(PaymentSchedule3[[#This Row],[Payment Number]]&lt;&gt;"",IF(ROW()-ROW(PaymentSchedule3[[#Headers],[Beginning
Balance]])=1,LoanAmount,INDEX(PaymentSchedule3[Ending
Balance],ROW()-ROW(PaymentSchedule3[[#Headers],[Beginning
Balance]])-1)),"")</f>
        <v>258293.64283229664</v>
      </c>
      <c r="E198" s="25">
        <f ca="1">IF(PaymentSchedule3[[#This Row],[Payment Number]]&lt;&gt;"",ScheduledPayment,"")</f>
        <v>2387.6169801966716</v>
      </c>
      <c r="F19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8" s="25">
        <f ca="1">IF(PaymentSchedule3[[#This Row],[Payment Number]]&lt;&gt;"",PaymentSchedule3[[#This Row],[Total
Payment]]-PaymentSchedule3[[#This Row],[Interest]],"")</f>
        <v>827.09288808487941</v>
      </c>
      <c r="I198" s="25">
        <f ca="1">IF(PaymentSchedule3[[#This Row],[Payment Number]]&lt;&gt;"",PaymentSchedule3[[#This Row],[Beginning
Balance]]*(InterestRate/PaymentsPerYear),"")</f>
        <v>1560.5240921117922</v>
      </c>
      <c r="J198" s="25">
        <f ca="1">IF(PaymentSchedule3[[#This Row],[Payment Number]]&lt;&gt;"",IF(PaymentSchedule3[[#This Row],[Scheduled Payment]]+PaymentSchedule3[[#This Row],[Extra
Payment]]&lt;=PaymentSchedule3[[#This Row],[Beginning
Balance]],PaymentSchedule3[[#This Row],[Beginning
Balance]]-PaymentSchedule3[[#This Row],[Principal]],0),"")</f>
        <v>257466.54994421176</v>
      </c>
      <c r="K198" s="25">
        <f ca="1">IF(PaymentSchedule3[[#This Row],[Payment Number]]&lt;&gt;"",SUM(INDEX(PaymentSchedule3[Interest],1,1):PaymentSchedule3[[#This Row],[Interest]]),"")</f>
        <v>349175.69128059584</v>
      </c>
    </row>
    <row r="199" spans="2:11" x14ac:dyDescent="0.3">
      <c r="B199" s="23">
        <f ca="1">IF(LoanIsGood,IF(ROW()-ROW(PaymentSchedule3[[#Headers],[Payment Number]])&gt;ScheduledNumberOfPayments,"",ROW()-ROW(PaymentSchedule3[[#Headers],[Payment Number]])),"")</f>
        <v>186</v>
      </c>
      <c r="C199" s="24">
        <f ca="1">IF(PaymentSchedule3[[#This Row],[Payment Number]]&lt;&gt;"",EOMONTH(LoanStartDate,ROW(PaymentSchedule3[[#This Row],[Payment Number]])-ROW(PaymentSchedule3[[#Headers],[Payment Number]])-2)+DAY(LoanStartDate),"")</f>
        <v>51085</v>
      </c>
      <c r="D199" s="25">
        <f ca="1">IF(PaymentSchedule3[[#This Row],[Payment Number]]&lt;&gt;"",IF(ROW()-ROW(PaymentSchedule3[[#Headers],[Beginning
Balance]])=1,LoanAmount,INDEX(PaymentSchedule3[Ending
Balance],ROW()-ROW(PaymentSchedule3[[#Headers],[Beginning
Balance]])-1)),"")</f>
        <v>257466.54994421176</v>
      </c>
      <c r="E199" s="25">
        <f ca="1">IF(PaymentSchedule3[[#This Row],[Payment Number]]&lt;&gt;"",ScheduledPayment,"")</f>
        <v>2387.6169801966716</v>
      </c>
      <c r="F19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19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199" s="25">
        <f ca="1">IF(PaymentSchedule3[[#This Row],[Payment Number]]&lt;&gt;"",PaymentSchedule3[[#This Row],[Total
Payment]]-PaymentSchedule3[[#This Row],[Interest]],"")</f>
        <v>832.089907617059</v>
      </c>
      <c r="I199" s="25">
        <f ca="1">IF(PaymentSchedule3[[#This Row],[Payment Number]]&lt;&gt;"",PaymentSchedule3[[#This Row],[Beginning
Balance]]*(InterestRate/PaymentsPerYear),"")</f>
        <v>1555.5270725796126</v>
      </c>
      <c r="J199" s="25">
        <f ca="1">IF(PaymentSchedule3[[#This Row],[Payment Number]]&lt;&gt;"",IF(PaymentSchedule3[[#This Row],[Scheduled Payment]]+PaymentSchedule3[[#This Row],[Extra
Payment]]&lt;=PaymentSchedule3[[#This Row],[Beginning
Balance]],PaymentSchedule3[[#This Row],[Beginning
Balance]]-PaymentSchedule3[[#This Row],[Principal]],0),"")</f>
        <v>256634.46003659471</v>
      </c>
      <c r="K199" s="25">
        <f ca="1">IF(PaymentSchedule3[[#This Row],[Payment Number]]&lt;&gt;"",SUM(INDEX(PaymentSchedule3[Interest],1,1):PaymentSchedule3[[#This Row],[Interest]]),"")</f>
        <v>350731.21835317544</v>
      </c>
    </row>
    <row r="200" spans="2:11" x14ac:dyDescent="0.3">
      <c r="B200" s="23">
        <f ca="1">IF(LoanIsGood,IF(ROW()-ROW(PaymentSchedule3[[#Headers],[Payment Number]])&gt;ScheduledNumberOfPayments,"",ROW()-ROW(PaymentSchedule3[[#Headers],[Payment Number]])),"")</f>
        <v>187</v>
      </c>
      <c r="C200" s="24">
        <f ca="1">IF(PaymentSchedule3[[#This Row],[Payment Number]]&lt;&gt;"",EOMONTH(LoanStartDate,ROW(PaymentSchedule3[[#This Row],[Payment Number]])-ROW(PaymentSchedule3[[#Headers],[Payment Number]])-2)+DAY(LoanStartDate),"")</f>
        <v>51115</v>
      </c>
      <c r="D200" s="25">
        <f ca="1">IF(PaymentSchedule3[[#This Row],[Payment Number]]&lt;&gt;"",IF(ROW()-ROW(PaymentSchedule3[[#Headers],[Beginning
Balance]])=1,LoanAmount,INDEX(PaymentSchedule3[Ending
Balance],ROW()-ROW(PaymentSchedule3[[#Headers],[Beginning
Balance]])-1)),"")</f>
        <v>256634.46003659471</v>
      </c>
      <c r="E200" s="25">
        <f ca="1">IF(PaymentSchedule3[[#This Row],[Payment Number]]&lt;&gt;"",ScheduledPayment,"")</f>
        <v>2387.6169801966716</v>
      </c>
      <c r="F20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0" s="25">
        <f ca="1">IF(PaymentSchedule3[[#This Row],[Payment Number]]&lt;&gt;"",PaymentSchedule3[[#This Row],[Total
Payment]]-PaymentSchedule3[[#This Row],[Interest]],"")</f>
        <v>837.11711747557865</v>
      </c>
      <c r="I200" s="25">
        <f ca="1">IF(PaymentSchedule3[[#This Row],[Payment Number]]&lt;&gt;"",PaymentSchedule3[[#This Row],[Beginning
Balance]]*(InterestRate/PaymentsPerYear),"")</f>
        <v>1550.499862721093</v>
      </c>
      <c r="J200" s="25">
        <f ca="1">IF(PaymentSchedule3[[#This Row],[Payment Number]]&lt;&gt;"",IF(PaymentSchedule3[[#This Row],[Scheduled Payment]]+PaymentSchedule3[[#This Row],[Extra
Payment]]&lt;=PaymentSchedule3[[#This Row],[Beginning
Balance]],PaymentSchedule3[[#This Row],[Beginning
Balance]]-PaymentSchedule3[[#This Row],[Principal]],0),"")</f>
        <v>255797.34291911914</v>
      </c>
      <c r="K200" s="25">
        <f ca="1">IF(PaymentSchedule3[[#This Row],[Payment Number]]&lt;&gt;"",SUM(INDEX(PaymentSchedule3[Interest],1,1):PaymentSchedule3[[#This Row],[Interest]]),"")</f>
        <v>352281.71821589652</v>
      </c>
    </row>
    <row r="201" spans="2:11" x14ac:dyDescent="0.3">
      <c r="B201" s="23">
        <f ca="1">IF(LoanIsGood,IF(ROW()-ROW(PaymentSchedule3[[#Headers],[Payment Number]])&gt;ScheduledNumberOfPayments,"",ROW()-ROW(PaymentSchedule3[[#Headers],[Payment Number]])),"")</f>
        <v>188</v>
      </c>
      <c r="C201" s="24">
        <f ca="1">IF(PaymentSchedule3[[#This Row],[Payment Number]]&lt;&gt;"",EOMONTH(LoanStartDate,ROW(PaymentSchedule3[[#This Row],[Payment Number]])-ROW(PaymentSchedule3[[#Headers],[Payment Number]])-2)+DAY(LoanStartDate),"")</f>
        <v>51146</v>
      </c>
      <c r="D201" s="25">
        <f ca="1">IF(PaymentSchedule3[[#This Row],[Payment Number]]&lt;&gt;"",IF(ROW()-ROW(PaymentSchedule3[[#Headers],[Beginning
Balance]])=1,LoanAmount,INDEX(PaymentSchedule3[Ending
Balance],ROW()-ROW(PaymentSchedule3[[#Headers],[Beginning
Balance]])-1)),"")</f>
        <v>255797.34291911914</v>
      </c>
      <c r="E201" s="25">
        <f ca="1">IF(PaymentSchedule3[[#This Row],[Payment Number]]&lt;&gt;"",ScheduledPayment,"")</f>
        <v>2387.6169801966716</v>
      </c>
      <c r="F20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1" s="25">
        <f ca="1">IF(PaymentSchedule3[[#This Row],[Payment Number]]&lt;&gt;"",PaymentSchedule3[[#This Row],[Total
Payment]]-PaymentSchedule3[[#This Row],[Interest]],"")</f>
        <v>842.17470006032681</v>
      </c>
      <c r="I201" s="25">
        <f ca="1">IF(PaymentSchedule3[[#This Row],[Payment Number]]&lt;&gt;"",PaymentSchedule3[[#This Row],[Beginning
Balance]]*(InterestRate/PaymentsPerYear),"")</f>
        <v>1545.4422801363448</v>
      </c>
      <c r="J201" s="25">
        <f ca="1">IF(PaymentSchedule3[[#This Row],[Payment Number]]&lt;&gt;"",IF(PaymentSchedule3[[#This Row],[Scheduled Payment]]+PaymentSchedule3[[#This Row],[Extra
Payment]]&lt;=PaymentSchedule3[[#This Row],[Beginning
Balance]],PaymentSchedule3[[#This Row],[Beginning
Balance]]-PaymentSchedule3[[#This Row],[Principal]],0),"")</f>
        <v>254955.1682190588</v>
      </c>
      <c r="K201" s="25">
        <f ca="1">IF(PaymentSchedule3[[#This Row],[Payment Number]]&lt;&gt;"",SUM(INDEX(PaymentSchedule3[Interest],1,1):PaymentSchedule3[[#This Row],[Interest]]),"")</f>
        <v>353827.16049603286</v>
      </c>
    </row>
    <row r="202" spans="2:11" x14ac:dyDescent="0.3">
      <c r="B202" s="23">
        <f ca="1">IF(LoanIsGood,IF(ROW()-ROW(PaymentSchedule3[[#Headers],[Payment Number]])&gt;ScheduledNumberOfPayments,"",ROW()-ROW(PaymentSchedule3[[#Headers],[Payment Number]])),"")</f>
        <v>189</v>
      </c>
      <c r="C202" s="24">
        <f ca="1">IF(PaymentSchedule3[[#This Row],[Payment Number]]&lt;&gt;"",EOMONTH(LoanStartDate,ROW(PaymentSchedule3[[#This Row],[Payment Number]])-ROW(PaymentSchedule3[[#Headers],[Payment Number]])-2)+DAY(LoanStartDate),"")</f>
        <v>51177</v>
      </c>
      <c r="D202" s="25">
        <f ca="1">IF(PaymentSchedule3[[#This Row],[Payment Number]]&lt;&gt;"",IF(ROW()-ROW(PaymentSchedule3[[#Headers],[Beginning
Balance]])=1,LoanAmount,INDEX(PaymentSchedule3[Ending
Balance],ROW()-ROW(PaymentSchedule3[[#Headers],[Beginning
Balance]])-1)),"")</f>
        <v>254955.1682190588</v>
      </c>
      <c r="E202" s="25">
        <f ca="1">IF(PaymentSchedule3[[#This Row],[Payment Number]]&lt;&gt;"",ScheduledPayment,"")</f>
        <v>2387.6169801966716</v>
      </c>
      <c r="F20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2" s="25">
        <f ca="1">IF(PaymentSchedule3[[#This Row],[Payment Number]]&lt;&gt;"",PaymentSchedule3[[#This Row],[Total
Payment]]-PaymentSchedule3[[#This Row],[Interest]],"")</f>
        <v>847.26283887319141</v>
      </c>
      <c r="I202" s="25">
        <f ca="1">IF(PaymentSchedule3[[#This Row],[Payment Number]]&lt;&gt;"",PaymentSchedule3[[#This Row],[Beginning
Balance]]*(InterestRate/PaymentsPerYear),"")</f>
        <v>1540.3541413234802</v>
      </c>
      <c r="J202" s="25">
        <f ca="1">IF(PaymentSchedule3[[#This Row],[Payment Number]]&lt;&gt;"",IF(PaymentSchedule3[[#This Row],[Scheduled Payment]]+PaymentSchedule3[[#This Row],[Extra
Payment]]&lt;=PaymentSchedule3[[#This Row],[Beginning
Balance]],PaymentSchedule3[[#This Row],[Beginning
Balance]]-PaymentSchedule3[[#This Row],[Principal]],0),"")</f>
        <v>254107.90538018561</v>
      </c>
      <c r="K202" s="25">
        <f ca="1">IF(PaymentSchedule3[[#This Row],[Payment Number]]&lt;&gt;"",SUM(INDEX(PaymentSchedule3[Interest],1,1):PaymentSchedule3[[#This Row],[Interest]]),"")</f>
        <v>355367.51463735633</v>
      </c>
    </row>
    <row r="203" spans="2:11" x14ac:dyDescent="0.3">
      <c r="B203" s="23">
        <f ca="1">IF(LoanIsGood,IF(ROW()-ROW(PaymentSchedule3[[#Headers],[Payment Number]])&gt;ScheduledNumberOfPayments,"",ROW()-ROW(PaymentSchedule3[[#Headers],[Payment Number]])),"")</f>
        <v>190</v>
      </c>
      <c r="C203" s="24">
        <f ca="1">IF(PaymentSchedule3[[#This Row],[Payment Number]]&lt;&gt;"",EOMONTH(LoanStartDate,ROW(PaymentSchedule3[[#This Row],[Payment Number]])-ROW(PaymentSchedule3[[#Headers],[Payment Number]])-2)+DAY(LoanStartDate),"")</f>
        <v>51206</v>
      </c>
      <c r="D203" s="25">
        <f ca="1">IF(PaymentSchedule3[[#This Row],[Payment Number]]&lt;&gt;"",IF(ROW()-ROW(PaymentSchedule3[[#Headers],[Beginning
Balance]])=1,LoanAmount,INDEX(PaymentSchedule3[Ending
Balance],ROW()-ROW(PaymentSchedule3[[#Headers],[Beginning
Balance]])-1)),"")</f>
        <v>254107.90538018561</v>
      </c>
      <c r="E203" s="25">
        <f ca="1">IF(PaymentSchedule3[[#This Row],[Payment Number]]&lt;&gt;"",ScheduledPayment,"")</f>
        <v>2387.6169801966716</v>
      </c>
      <c r="F20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3" s="25">
        <f ca="1">IF(PaymentSchedule3[[#This Row],[Payment Number]]&lt;&gt;"",PaymentSchedule3[[#This Row],[Total
Payment]]-PaymentSchedule3[[#This Row],[Interest]],"")</f>
        <v>852.38171852471692</v>
      </c>
      <c r="I203" s="25">
        <f ca="1">IF(PaymentSchedule3[[#This Row],[Payment Number]]&lt;&gt;"",PaymentSchedule3[[#This Row],[Beginning
Balance]]*(InterestRate/PaymentsPerYear),"")</f>
        <v>1535.2352616719547</v>
      </c>
      <c r="J203" s="25">
        <f ca="1">IF(PaymentSchedule3[[#This Row],[Payment Number]]&lt;&gt;"",IF(PaymentSchedule3[[#This Row],[Scheduled Payment]]+PaymentSchedule3[[#This Row],[Extra
Payment]]&lt;=PaymentSchedule3[[#This Row],[Beginning
Balance]],PaymentSchedule3[[#This Row],[Beginning
Balance]]-PaymentSchedule3[[#This Row],[Principal]],0),"")</f>
        <v>253255.5236616609</v>
      </c>
      <c r="K203" s="25">
        <f ca="1">IF(PaymentSchedule3[[#This Row],[Payment Number]]&lt;&gt;"",SUM(INDEX(PaymentSchedule3[Interest],1,1):PaymentSchedule3[[#This Row],[Interest]]),"")</f>
        <v>356902.74989902828</v>
      </c>
    </row>
    <row r="204" spans="2:11" x14ac:dyDescent="0.3">
      <c r="B204" s="23">
        <f ca="1">IF(LoanIsGood,IF(ROW()-ROW(PaymentSchedule3[[#Headers],[Payment Number]])&gt;ScheduledNumberOfPayments,"",ROW()-ROW(PaymentSchedule3[[#Headers],[Payment Number]])),"")</f>
        <v>191</v>
      </c>
      <c r="C204" s="24">
        <f ca="1">IF(PaymentSchedule3[[#This Row],[Payment Number]]&lt;&gt;"",EOMONTH(LoanStartDate,ROW(PaymentSchedule3[[#This Row],[Payment Number]])-ROW(PaymentSchedule3[[#Headers],[Payment Number]])-2)+DAY(LoanStartDate),"")</f>
        <v>51237</v>
      </c>
      <c r="D204" s="25">
        <f ca="1">IF(PaymentSchedule3[[#This Row],[Payment Number]]&lt;&gt;"",IF(ROW()-ROW(PaymentSchedule3[[#Headers],[Beginning
Balance]])=1,LoanAmount,INDEX(PaymentSchedule3[Ending
Balance],ROW()-ROW(PaymentSchedule3[[#Headers],[Beginning
Balance]])-1)),"")</f>
        <v>253255.5236616609</v>
      </c>
      <c r="E204" s="25">
        <f ca="1">IF(PaymentSchedule3[[#This Row],[Payment Number]]&lt;&gt;"",ScheduledPayment,"")</f>
        <v>2387.6169801966716</v>
      </c>
      <c r="F20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4" s="25">
        <f ca="1">IF(PaymentSchedule3[[#This Row],[Payment Number]]&lt;&gt;"",PaymentSchedule3[[#This Row],[Total
Payment]]-PaymentSchedule3[[#This Row],[Interest]],"")</f>
        <v>857.53152474080366</v>
      </c>
      <c r="I204" s="25">
        <f ca="1">IF(PaymentSchedule3[[#This Row],[Payment Number]]&lt;&gt;"",PaymentSchedule3[[#This Row],[Beginning
Balance]]*(InterestRate/PaymentsPerYear),"")</f>
        <v>1530.085455455868</v>
      </c>
      <c r="J204" s="25">
        <f ca="1">IF(PaymentSchedule3[[#This Row],[Payment Number]]&lt;&gt;"",IF(PaymentSchedule3[[#This Row],[Scheduled Payment]]+PaymentSchedule3[[#This Row],[Extra
Payment]]&lt;=PaymentSchedule3[[#This Row],[Beginning
Balance]],PaymentSchedule3[[#This Row],[Beginning
Balance]]-PaymentSchedule3[[#This Row],[Principal]],0),"")</f>
        <v>252397.9921369201</v>
      </c>
      <c r="K204" s="25">
        <f ca="1">IF(PaymentSchedule3[[#This Row],[Payment Number]]&lt;&gt;"",SUM(INDEX(PaymentSchedule3[Interest],1,1):PaymentSchedule3[[#This Row],[Interest]]),"")</f>
        <v>358432.83535448415</v>
      </c>
    </row>
    <row r="205" spans="2:11" x14ac:dyDescent="0.3">
      <c r="B205" s="23">
        <f ca="1">IF(LoanIsGood,IF(ROW()-ROW(PaymentSchedule3[[#Headers],[Payment Number]])&gt;ScheduledNumberOfPayments,"",ROW()-ROW(PaymentSchedule3[[#Headers],[Payment Number]])),"")</f>
        <v>192</v>
      </c>
      <c r="C205" s="24">
        <f ca="1">IF(PaymentSchedule3[[#This Row],[Payment Number]]&lt;&gt;"",EOMONTH(LoanStartDate,ROW(PaymentSchedule3[[#This Row],[Payment Number]])-ROW(PaymentSchedule3[[#Headers],[Payment Number]])-2)+DAY(LoanStartDate),"")</f>
        <v>51267</v>
      </c>
      <c r="D205" s="25">
        <f ca="1">IF(PaymentSchedule3[[#This Row],[Payment Number]]&lt;&gt;"",IF(ROW()-ROW(PaymentSchedule3[[#Headers],[Beginning
Balance]])=1,LoanAmount,INDEX(PaymentSchedule3[Ending
Balance],ROW()-ROW(PaymentSchedule3[[#Headers],[Beginning
Balance]])-1)),"")</f>
        <v>252397.9921369201</v>
      </c>
      <c r="E205" s="25">
        <f ca="1">IF(PaymentSchedule3[[#This Row],[Payment Number]]&lt;&gt;"",ScheduledPayment,"")</f>
        <v>2387.6169801966716</v>
      </c>
      <c r="F20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5" s="25">
        <f ca="1">IF(PaymentSchedule3[[#This Row],[Payment Number]]&lt;&gt;"",PaymentSchedule3[[#This Row],[Total
Payment]]-PaymentSchedule3[[#This Row],[Interest]],"")</f>
        <v>862.71244436944608</v>
      </c>
      <c r="I205" s="25">
        <f ca="1">IF(PaymentSchedule3[[#This Row],[Payment Number]]&lt;&gt;"",PaymentSchedule3[[#This Row],[Beginning
Balance]]*(InterestRate/PaymentsPerYear),"")</f>
        <v>1524.9045358272256</v>
      </c>
      <c r="J205" s="25">
        <f ca="1">IF(PaymentSchedule3[[#This Row],[Payment Number]]&lt;&gt;"",IF(PaymentSchedule3[[#This Row],[Scheduled Payment]]+PaymentSchedule3[[#This Row],[Extra
Payment]]&lt;=PaymentSchedule3[[#This Row],[Beginning
Balance]],PaymentSchedule3[[#This Row],[Beginning
Balance]]-PaymentSchedule3[[#This Row],[Principal]],0),"")</f>
        <v>251535.27969255066</v>
      </c>
      <c r="K205" s="25">
        <f ca="1">IF(PaymentSchedule3[[#This Row],[Payment Number]]&lt;&gt;"",SUM(INDEX(PaymentSchedule3[Interest],1,1):PaymentSchedule3[[#This Row],[Interest]]),"")</f>
        <v>359957.73989031138</v>
      </c>
    </row>
    <row r="206" spans="2:11" x14ac:dyDescent="0.3">
      <c r="B206" s="23">
        <f ca="1">IF(LoanIsGood,IF(ROW()-ROW(PaymentSchedule3[[#Headers],[Payment Number]])&gt;ScheduledNumberOfPayments,"",ROW()-ROW(PaymentSchedule3[[#Headers],[Payment Number]])),"")</f>
        <v>193</v>
      </c>
      <c r="C206" s="24">
        <f ca="1">IF(PaymentSchedule3[[#This Row],[Payment Number]]&lt;&gt;"",EOMONTH(LoanStartDate,ROW(PaymentSchedule3[[#This Row],[Payment Number]])-ROW(PaymentSchedule3[[#Headers],[Payment Number]])-2)+DAY(LoanStartDate),"")</f>
        <v>51298</v>
      </c>
      <c r="D206" s="25">
        <f ca="1">IF(PaymentSchedule3[[#This Row],[Payment Number]]&lt;&gt;"",IF(ROW()-ROW(PaymentSchedule3[[#Headers],[Beginning
Balance]])=1,LoanAmount,INDEX(PaymentSchedule3[Ending
Balance],ROW()-ROW(PaymentSchedule3[[#Headers],[Beginning
Balance]])-1)),"")</f>
        <v>251535.27969255066</v>
      </c>
      <c r="E206" s="25">
        <f ca="1">IF(PaymentSchedule3[[#This Row],[Payment Number]]&lt;&gt;"",ScheduledPayment,"")</f>
        <v>2387.6169801966716</v>
      </c>
      <c r="F20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6" s="25">
        <f ca="1">IF(PaymentSchedule3[[#This Row],[Payment Number]]&lt;&gt;"",PaymentSchedule3[[#This Row],[Total
Payment]]-PaymentSchedule3[[#This Row],[Interest]],"")</f>
        <v>867.92466538751137</v>
      </c>
      <c r="I206" s="25">
        <f ca="1">IF(PaymentSchedule3[[#This Row],[Payment Number]]&lt;&gt;"",PaymentSchedule3[[#This Row],[Beginning
Balance]]*(InterestRate/PaymentsPerYear),"")</f>
        <v>1519.6923148091603</v>
      </c>
      <c r="J206" s="25">
        <f ca="1">IF(PaymentSchedule3[[#This Row],[Payment Number]]&lt;&gt;"",IF(PaymentSchedule3[[#This Row],[Scheduled Payment]]+PaymentSchedule3[[#This Row],[Extra
Payment]]&lt;=PaymentSchedule3[[#This Row],[Beginning
Balance]],PaymentSchedule3[[#This Row],[Beginning
Balance]]-PaymentSchedule3[[#This Row],[Principal]],0),"")</f>
        <v>250667.35502716314</v>
      </c>
      <c r="K206" s="25">
        <f ca="1">IF(PaymentSchedule3[[#This Row],[Payment Number]]&lt;&gt;"",SUM(INDEX(PaymentSchedule3[Interest],1,1):PaymentSchedule3[[#This Row],[Interest]]),"")</f>
        <v>361477.43220512057</v>
      </c>
    </row>
    <row r="207" spans="2:11" x14ac:dyDescent="0.3">
      <c r="B207" s="23">
        <f ca="1">IF(LoanIsGood,IF(ROW()-ROW(PaymentSchedule3[[#Headers],[Payment Number]])&gt;ScheduledNumberOfPayments,"",ROW()-ROW(PaymentSchedule3[[#Headers],[Payment Number]])),"")</f>
        <v>194</v>
      </c>
      <c r="C207" s="24">
        <f ca="1">IF(PaymentSchedule3[[#This Row],[Payment Number]]&lt;&gt;"",EOMONTH(LoanStartDate,ROW(PaymentSchedule3[[#This Row],[Payment Number]])-ROW(PaymentSchedule3[[#Headers],[Payment Number]])-2)+DAY(LoanStartDate),"")</f>
        <v>51328</v>
      </c>
      <c r="D207" s="25">
        <f ca="1">IF(PaymentSchedule3[[#This Row],[Payment Number]]&lt;&gt;"",IF(ROW()-ROW(PaymentSchedule3[[#Headers],[Beginning
Balance]])=1,LoanAmount,INDEX(PaymentSchedule3[Ending
Balance],ROW()-ROW(PaymentSchedule3[[#Headers],[Beginning
Balance]])-1)),"")</f>
        <v>250667.35502716314</v>
      </c>
      <c r="E207" s="25">
        <f ca="1">IF(PaymentSchedule3[[#This Row],[Payment Number]]&lt;&gt;"",ScheduledPayment,"")</f>
        <v>2387.6169801966716</v>
      </c>
      <c r="F20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7" s="25">
        <f ca="1">IF(PaymentSchedule3[[#This Row],[Payment Number]]&lt;&gt;"",PaymentSchedule3[[#This Row],[Total
Payment]]-PaymentSchedule3[[#This Row],[Interest]],"")</f>
        <v>873.16837690756097</v>
      </c>
      <c r="I207" s="25">
        <f ca="1">IF(PaymentSchedule3[[#This Row],[Payment Number]]&lt;&gt;"",PaymentSchedule3[[#This Row],[Beginning
Balance]]*(InterestRate/PaymentsPerYear),"")</f>
        <v>1514.4486032891107</v>
      </c>
      <c r="J207" s="25">
        <f ca="1">IF(PaymentSchedule3[[#This Row],[Payment Number]]&lt;&gt;"",IF(PaymentSchedule3[[#This Row],[Scheduled Payment]]+PaymentSchedule3[[#This Row],[Extra
Payment]]&lt;=PaymentSchedule3[[#This Row],[Beginning
Balance]],PaymentSchedule3[[#This Row],[Beginning
Balance]]-PaymentSchedule3[[#This Row],[Principal]],0),"")</f>
        <v>249794.18665025558</v>
      </c>
      <c r="K207" s="25">
        <f ca="1">IF(PaymentSchedule3[[#This Row],[Payment Number]]&lt;&gt;"",SUM(INDEX(PaymentSchedule3[Interest],1,1):PaymentSchedule3[[#This Row],[Interest]]),"")</f>
        <v>362991.88080840965</v>
      </c>
    </row>
    <row r="208" spans="2:11" x14ac:dyDescent="0.3">
      <c r="B208" s="23">
        <f ca="1">IF(LoanIsGood,IF(ROW()-ROW(PaymentSchedule3[[#Headers],[Payment Number]])&gt;ScheduledNumberOfPayments,"",ROW()-ROW(PaymentSchedule3[[#Headers],[Payment Number]])),"")</f>
        <v>195</v>
      </c>
      <c r="C208" s="24">
        <f ca="1">IF(PaymentSchedule3[[#This Row],[Payment Number]]&lt;&gt;"",EOMONTH(LoanStartDate,ROW(PaymentSchedule3[[#This Row],[Payment Number]])-ROW(PaymentSchedule3[[#Headers],[Payment Number]])-2)+DAY(LoanStartDate),"")</f>
        <v>51359</v>
      </c>
      <c r="D208" s="25">
        <f ca="1">IF(PaymentSchedule3[[#This Row],[Payment Number]]&lt;&gt;"",IF(ROW()-ROW(PaymentSchedule3[[#Headers],[Beginning
Balance]])=1,LoanAmount,INDEX(PaymentSchedule3[Ending
Balance],ROW()-ROW(PaymentSchedule3[[#Headers],[Beginning
Balance]])-1)),"")</f>
        <v>249794.18665025558</v>
      </c>
      <c r="E208" s="25">
        <f ca="1">IF(PaymentSchedule3[[#This Row],[Payment Number]]&lt;&gt;"",ScheduledPayment,"")</f>
        <v>2387.6169801966716</v>
      </c>
      <c r="F20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8" s="25">
        <f ca="1">IF(PaymentSchedule3[[#This Row],[Payment Number]]&lt;&gt;"",PaymentSchedule3[[#This Row],[Total
Payment]]-PaymentSchedule3[[#This Row],[Interest]],"")</f>
        <v>878.44376918471085</v>
      </c>
      <c r="I208" s="25">
        <f ca="1">IF(PaymentSchedule3[[#This Row],[Payment Number]]&lt;&gt;"",PaymentSchedule3[[#This Row],[Beginning
Balance]]*(InterestRate/PaymentsPerYear),"")</f>
        <v>1509.1732110119608</v>
      </c>
      <c r="J208" s="25">
        <f ca="1">IF(PaymentSchedule3[[#This Row],[Payment Number]]&lt;&gt;"",IF(PaymentSchedule3[[#This Row],[Scheduled Payment]]+PaymentSchedule3[[#This Row],[Extra
Payment]]&lt;=PaymentSchedule3[[#This Row],[Beginning
Balance]],PaymentSchedule3[[#This Row],[Beginning
Balance]]-PaymentSchedule3[[#This Row],[Principal]],0),"")</f>
        <v>248915.74288107088</v>
      </c>
      <c r="K208" s="25">
        <f ca="1">IF(PaymentSchedule3[[#This Row],[Payment Number]]&lt;&gt;"",SUM(INDEX(PaymentSchedule3[Interest],1,1):PaymentSchedule3[[#This Row],[Interest]]),"")</f>
        <v>364501.05401942163</v>
      </c>
    </row>
    <row r="209" spans="2:11" x14ac:dyDescent="0.3">
      <c r="B209" s="23">
        <f ca="1">IF(LoanIsGood,IF(ROW()-ROW(PaymentSchedule3[[#Headers],[Payment Number]])&gt;ScheduledNumberOfPayments,"",ROW()-ROW(PaymentSchedule3[[#Headers],[Payment Number]])),"")</f>
        <v>196</v>
      </c>
      <c r="C209" s="24">
        <f ca="1">IF(PaymentSchedule3[[#This Row],[Payment Number]]&lt;&gt;"",EOMONTH(LoanStartDate,ROW(PaymentSchedule3[[#This Row],[Payment Number]])-ROW(PaymentSchedule3[[#Headers],[Payment Number]])-2)+DAY(LoanStartDate),"")</f>
        <v>51390</v>
      </c>
      <c r="D209" s="25">
        <f ca="1">IF(PaymentSchedule3[[#This Row],[Payment Number]]&lt;&gt;"",IF(ROW()-ROW(PaymentSchedule3[[#Headers],[Beginning
Balance]])=1,LoanAmount,INDEX(PaymentSchedule3[Ending
Balance],ROW()-ROW(PaymentSchedule3[[#Headers],[Beginning
Balance]])-1)),"")</f>
        <v>248915.74288107088</v>
      </c>
      <c r="E209" s="25">
        <f ca="1">IF(PaymentSchedule3[[#This Row],[Payment Number]]&lt;&gt;"",ScheduledPayment,"")</f>
        <v>2387.6169801966716</v>
      </c>
      <c r="F20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0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09" s="25">
        <f ca="1">IF(PaymentSchedule3[[#This Row],[Payment Number]]&lt;&gt;"",PaymentSchedule3[[#This Row],[Total
Payment]]-PaymentSchedule3[[#This Row],[Interest]],"")</f>
        <v>883.75103362353502</v>
      </c>
      <c r="I209" s="25">
        <f ca="1">IF(PaymentSchedule3[[#This Row],[Payment Number]]&lt;&gt;"",PaymentSchedule3[[#This Row],[Beginning
Balance]]*(InterestRate/PaymentsPerYear),"")</f>
        <v>1503.8659465731366</v>
      </c>
      <c r="J209" s="25">
        <f ca="1">IF(PaymentSchedule3[[#This Row],[Payment Number]]&lt;&gt;"",IF(PaymentSchedule3[[#This Row],[Scheduled Payment]]+PaymentSchedule3[[#This Row],[Extra
Payment]]&lt;=PaymentSchedule3[[#This Row],[Beginning
Balance]],PaymentSchedule3[[#This Row],[Beginning
Balance]]-PaymentSchedule3[[#This Row],[Principal]],0),"")</f>
        <v>248031.99184744735</v>
      </c>
      <c r="K209" s="25">
        <f ca="1">IF(PaymentSchedule3[[#This Row],[Payment Number]]&lt;&gt;"",SUM(INDEX(PaymentSchedule3[Interest],1,1):PaymentSchedule3[[#This Row],[Interest]]),"")</f>
        <v>366004.91996599478</v>
      </c>
    </row>
    <row r="210" spans="2:11" x14ac:dyDescent="0.3">
      <c r="B210" s="23">
        <f ca="1">IF(LoanIsGood,IF(ROW()-ROW(PaymentSchedule3[[#Headers],[Payment Number]])&gt;ScheduledNumberOfPayments,"",ROW()-ROW(PaymentSchedule3[[#Headers],[Payment Number]])),"")</f>
        <v>197</v>
      </c>
      <c r="C210" s="24">
        <f ca="1">IF(PaymentSchedule3[[#This Row],[Payment Number]]&lt;&gt;"",EOMONTH(LoanStartDate,ROW(PaymentSchedule3[[#This Row],[Payment Number]])-ROW(PaymentSchedule3[[#Headers],[Payment Number]])-2)+DAY(LoanStartDate),"")</f>
        <v>51420</v>
      </c>
      <c r="D210" s="25">
        <f ca="1">IF(PaymentSchedule3[[#This Row],[Payment Number]]&lt;&gt;"",IF(ROW()-ROW(PaymentSchedule3[[#Headers],[Beginning
Balance]])=1,LoanAmount,INDEX(PaymentSchedule3[Ending
Balance],ROW()-ROW(PaymentSchedule3[[#Headers],[Beginning
Balance]])-1)),"")</f>
        <v>248031.99184744735</v>
      </c>
      <c r="E210" s="25">
        <f ca="1">IF(PaymentSchedule3[[#This Row],[Payment Number]]&lt;&gt;"",ScheduledPayment,"")</f>
        <v>2387.6169801966716</v>
      </c>
      <c r="F21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0" s="25">
        <f ca="1">IF(PaymentSchedule3[[#This Row],[Payment Number]]&lt;&gt;"",PaymentSchedule3[[#This Row],[Total
Payment]]-PaymentSchedule3[[#This Row],[Interest]],"")</f>
        <v>889.09036278501048</v>
      </c>
      <c r="I210" s="25">
        <f ca="1">IF(PaymentSchedule3[[#This Row],[Payment Number]]&lt;&gt;"",PaymentSchedule3[[#This Row],[Beginning
Balance]]*(InterestRate/PaymentsPerYear),"")</f>
        <v>1498.5266174116612</v>
      </c>
      <c r="J210" s="25">
        <f ca="1">IF(PaymentSchedule3[[#This Row],[Payment Number]]&lt;&gt;"",IF(PaymentSchedule3[[#This Row],[Scheduled Payment]]+PaymentSchedule3[[#This Row],[Extra
Payment]]&lt;=PaymentSchedule3[[#This Row],[Beginning
Balance]],PaymentSchedule3[[#This Row],[Beginning
Balance]]-PaymentSchedule3[[#This Row],[Principal]],0),"")</f>
        <v>247142.90148466235</v>
      </c>
      <c r="K210" s="25">
        <f ca="1">IF(PaymentSchedule3[[#This Row],[Payment Number]]&lt;&gt;"",SUM(INDEX(PaymentSchedule3[Interest],1,1):PaymentSchedule3[[#This Row],[Interest]]),"")</f>
        <v>367503.44658340642</v>
      </c>
    </row>
    <row r="211" spans="2:11" x14ac:dyDescent="0.3">
      <c r="B211" s="23">
        <f ca="1">IF(LoanIsGood,IF(ROW()-ROW(PaymentSchedule3[[#Headers],[Payment Number]])&gt;ScheduledNumberOfPayments,"",ROW()-ROW(PaymentSchedule3[[#Headers],[Payment Number]])),"")</f>
        <v>198</v>
      </c>
      <c r="C211" s="24">
        <f ca="1">IF(PaymentSchedule3[[#This Row],[Payment Number]]&lt;&gt;"",EOMONTH(LoanStartDate,ROW(PaymentSchedule3[[#This Row],[Payment Number]])-ROW(PaymentSchedule3[[#Headers],[Payment Number]])-2)+DAY(LoanStartDate),"")</f>
        <v>51451</v>
      </c>
      <c r="D211" s="25">
        <f ca="1">IF(PaymentSchedule3[[#This Row],[Payment Number]]&lt;&gt;"",IF(ROW()-ROW(PaymentSchedule3[[#Headers],[Beginning
Balance]])=1,LoanAmount,INDEX(PaymentSchedule3[Ending
Balance],ROW()-ROW(PaymentSchedule3[[#Headers],[Beginning
Balance]])-1)),"")</f>
        <v>247142.90148466235</v>
      </c>
      <c r="E211" s="25">
        <f ca="1">IF(PaymentSchedule3[[#This Row],[Payment Number]]&lt;&gt;"",ScheduledPayment,"")</f>
        <v>2387.6169801966716</v>
      </c>
      <c r="F21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1" s="25">
        <f ca="1">IF(PaymentSchedule3[[#This Row],[Payment Number]]&lt;&gt;"",PaymentSchedule3[[#This Row],[Total
Payment]]-PaymentSchedule3[[#This Row],[Interest]],"")</f>
        <v>894.46195039350323</v>
      </c>
      <c r="I211" s="25">
        <f ca="1">IF(PaymentSchedule3[[#This Row],[Payment Number]]&lt;&gt;"",PaymentSchedule3[[#This Row],[Beginning
Balance]]*(InterestRate/PaymentsPerYear),"")</f>
        <v>1493.1550298031684</v>
      </c>
      <c r="J211" s="25">
        <f ca="1">IF(PaymentSchedule3[[#This Row],[Payment Number]]&lt;&gt;"",IF(PaymentSchedule3[[#This Row],[Scheduled Payment]]+PaymentSchedule3[[#This Row],[Extra
Payment]]&lt;=PaymentSchedule3[[#This Row],[Beginning
Balance]],PaymentSchedule3[[#This Row],[Beginning
Balance]]-PaymentSchedule3[[#This Row],[Principal]],0),"")</f>
        <v>246248.43953426884</v>
      </c>
      <c r="K211" s="25">
        <f ca="1">IF(PaymentSchedule3[[#This Row],[Payment Number]]&lt;&gt;"",SUM(INDEX(PaymentSchedule3[Interest],1,1):PaymentSchedule3[[#This Row],[Interest]]),"")</f>
        <v>368996.60161320958</v>
      </c>
    </row>
    <row r="212" spans="2:11" x14ac:dyDescent="0.3">
      <c r="B212" s="23">
        <f ca="1">IF(LoanIsGood,IF(ROW()-ROW(PaymentSchedule3[[#Headers],[Payment Number]])&gt;ScheduledNumberOfPayments,"",ROW()-ROW(PaymentSchedule3[[#Headers],[Payment Number]])),"")</f>
        <v>199</v>
      </c>
      <c r="C212" s="24">
        <f ca="1">IF(PaymentSchedule3[[#This Row],[Payment Number]]&lt;&gt;"",EOMONTH(LoanStartDate,ROW(PaymentSchedule3[[#This Row],[Payment Number]])-ROW(PaymentSchedule3[[#Headers],[Payment Number]])-2)+DAY(LoanStartDate),"")</f>
        <v>51481</v>
      </c>
      <c r="D212" s="25">
        <f ca="1">IF(PaymentSchedule3[[#This Row],[Payment Number]]&lt;&gt;"",IF(ROW()-ROW(PaymentSchedule3[[#Headers],[Beginning
Balance]])=1,LoanAmount,INDEX(PaymentSchedule3[Ending
Balance],ROW()-ROW(PaymentSchedule3[[#Headers],[Beginning
Balance]])-1)),"")</f>
        <v>246248.43953426884</v>
      </c>
      <c r="E212" s="25">
        <f ca="1">IF(PaymentSchedule3[[#This Row],[Payment Number]]&lt;&gt;"",ScheduledPayment,"")</f>
        <v>2387.6169801966716</v>
      </c>
      <c r="F21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2" s="25">
        <f ca="1">IF(PaymentSchedule3[[#This Row],[Payment Number]]&lt;&gt;"",PaymentSchedule3[[#This Row],[Total
Payment]]-PaymentSchedule3[[#This Row],[Interest]],"")</f>
        <v>899.86599134379753</v>
      </c>
      <c r="I212" s="25">
        <f ca="1">IF(PaymentSchedule3[[#This Row],[Payment Number]]&lt;&gt;"",PaymentSchedule3[[#This Row],[Beginning
Balance]]*(InterestRate/PaymentsPerYear),"")</f>
        <v>1487.7509888528741</v>
      </c>
      <c r="J212" s="25">
        <f ca="1">IF(PaymentSchedule3[[#This Row],[Payment Number]]&lt;&gt;"",IF(PaymentSchedule3[[#This Row],[Scheduled Payment]]+PaymentSchedule3[[#This Row],[Extra
Payment]]&lt;=PaymentSchedule3[[#This Row],[Beginning
Balance]],PaymentSchedule3[[#This Row],[Beginning
Balance]]-PaymentSchedule3[[#This Row],[Principal]],0),"")</f>
        <v>245348.57354292503</v>
      </c>
      <c r="K212" s="25">
        <f ca="1">IF(PaymentSchedule3[[#This Row],[Payment Number]]&lt;&gt;"",SUM(INDEX(PaymentSchedule3[Interest],1,1):PaymentSchedule3[[#This Row],[Interest]]),"")</f>
        <v>370484.35260206246</v>
      </c>
    </row>
    <row r="213" spans="2:11" x14ac:dyDescent="0.3">
      <c r="B213" s="23">
        <f ca="1">IF(LoanIsGood,IF(ROW()-ROW(PaymentSchedule3[[#Headers],[Payment Number]])&gt;ScheduledNumberOfPayments,"",ROW()-ROW(PaymentSchedule3[[#Headers],[Payment Number]])),"")</f>
        <v>200</v>
      </c>
      <c r="C213" s="24">
        <f ca="1">IF(PaymentSchedule3[[#This Row],[Payment Number]]&lt;&gt;"",EOMONTH(LoanStartDate,ROW(PaymentSchedule3[[#This Row],[Payment Number]])-ROW(PaymentSchedule3[[#Headers],[Payment Number]])-2)+DAY(LoanStartDate),"")</f>
        <v>51512</v>
      </c>
      <c r="D213" s="25">
        <f ca="1">IF(PaymentSchedule3[[#This Row],[Payment Number]]&lt;&gt;"",IF(ROW()-ROW(PaymentSchedule3[[#Headers],[Beginning
Balance]])=1,LoanAmount,INDEX(PaymentSchedule3[Ending
Balance],ROW()-ROW(PaymentSchedule3[[#Headers],[Beginning
Balance]])-1)),"")</f>
        <v>245348.57354292503</v>
      </c>
      <c r="E213" s="25">
        <f ca="1">IF(PaymentSchedule3[[#This Row],[Payment Number]]&lt;&gt;"",ScheduledPayment,"")</f>
        <v>2387.6169801966716</v>
      </c>
      <c r="F21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3" s="25">
        <f ca="1">IF(PaymentSchedule3[[#This Row],[Payment Number]]&lt;&gt;"",PaymentSchedule3[[#This Row],[Total
Payment]]-PaymentSchedule3[[#This Row],[Interest]],"")</f>
        <v>905.30268170816635</v>
      </c>
      <c r="I213" s="25">
        <f ca="1">IF(PaymentSchedule3[[#This Row],[Payment Number]]&lt;&gt;"",PaymentSchedule3[[#This Row],[Beginning
Balance]]*(InterestRate/PaymentsPerYear),"")</f>
        <v>1482.3142984885053</v>
      </c>
      <c r="J213" s="25">
        <f ca="1">IF(PaymentSchedule3[[#This Row],[Payment Number]]&lt;&gt;"",IF(PaymentSchedule3[[#This Row],[Scheduled Payment]]+PaymentSchedule3[[#This Row],[Extra
Payment]]&lt;=PaymentSchedule3[[#This Row],[Beginning
Balance]],PaymentSchedule3[[#This Row],[Beginning
Balance]]-PaymentSchedule3[[#This Row],[Principal]],0),"")</f>
        <v>244443.27086121688</v>
      </c>
      <c r="K213" s="25">
        <f ca="1">IF(PaymentSchedule3[[#This Row],[Payment Number]]&lt;&gt;"",SUM(INDEX(PaymentSchedule3[Interest],1,1):PaymentSchedule3[[#This Row],[Interest]]),"")</f>
        <v>371966.66690055095</v>
      </c>
    </row>
    <row r="214" spans="2:11" x14ac:dyDescent="0.3">
      <c r="B214" s="23">
        <f ca="1">IF(LoanIsGood,IF(ROW()-ROW(PaymentSchedule3[[#Headers],[Payment Number]])&gt;ScheduledNumberOfPayments,"",ROW()-ROW(PaymentSchedule3[[#Headers],[Payment Number]])),"")</f>
        <v>201</v>
      </c>
      <c r="C214" s="24">
        <f ca="1">IF(PaymentSchedule3[[#This Row],[Payment Number]]&lt;&gt;"",EOMONTH(LoanStartDate,ROW(PaymentSchedule3[[#This Row],[Payment Number]])-ROW(PaymentSchedule3[[#Headers],[Payment Number]])-2)+DAY(LoanStartDate),"")</f>
        <v>51543</v>
      </c>
      <c r="D214" s="25">
        <f ca="1">IF(PaymentSchedule3[[#This Row],[Payment Number]]&lt;&gt;"",IF(ROW()-ROW(PaymentSchedule3[[#Headers],[Beginning
Balance]])=1,LoanAmount,INDEX(PaymentSchedule3[Ending
Balance],ROW()-ROW(PaymentSchedule3[[#Headers],[Beginning
Balance]])-1)),"")</f>
        <v>244443.27086121688</v>
      </c>
      <c r="E214" s="25">
        <f ca="1">IF(PaymentSchedule3[[#This Row],[Payment Number]]&lt;&gt;"",ScheduledPayment,"")</f>
        <v>2387.6169801966716</v>
      </c>
      <c r="F21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4" s="25">
        <f ca="1">IF(PaymentSchedule3[[#This Row],[Payment Number]]&lt;&gt;"",PaymentSchedule3[[#This Row],[Total
Payment]]-PaymentSchedule3[[#This Row],[Interest]],"")</f>
        <v>910.77221874348629</v>
      </c>
      <c r="I214" s="25">
        <f ca="1">IF(PaymentSchedule3[[#This Row],[Payment Number]]&lt;&gt;"",PaymentSchedule3[[#This Row],[Beginning
Balance]]*(InterestRate/PaymentsPerYear),"")</f>
        <v>1476.8447614531854</v>
      </c>
      <c r="J214" s="25">
        <f ca="1">IF(PaymentSchedule3[[#This Row],[Payment Number]]&lt;&gt;"",IF(PaymentSchedule3[[#This Row],[Scheduled Payment]]+PaymentSchedule3[[#This Row],[Extra
Payment]]&lt;=PaymentSchedule3[[#This Row],[Beginning
Balance]],PaymentSchedule3[[#This Row],[Beginning
Balance]]-PaymentSchedule3[[#This Row],[Principal]],0),"")</f>
        <v>243532.49864247339</v>
      </c>
      <c r="K214" s="25">
        <f ca="1">IF(PaymentSchedule3[[#This Row],[Payment Number]]&lt;&gt;"",SUM(INDEX(PaymentSchedule3[Interest],1,1):PaymentSchedule3[[#This Row],[Interest]]),"")</f>
        <v>373443.51166200411</v>
      </c>
    </row>
    <row r="215" spans="2:11" x14ac:dyDescent="0.3">
      <c r="B215" s="23">
        <f ca="1">IF(LoanIsGood,IF(ROW()-ROW(PaymentSchedule3[[#Headers],[Payment Number]])&gt;ScheduledNumberOfPayments,"",ROW()-ROW(PaymentSchedule3[[#Headers],[Payment Number]])),"")</f>
        <v>202</v>
      </c>
      <c r="C215" s="24">
        <f ca="1">IF(PaymentSchedule3[[#This Row],[Payment Number]]&lt;&gt;"",EOMONTH(LoanStartDate,ROW(PaymentSchedule3[[#This Row],[Payment Number]])-ROW(PaymentSchedule3[[#Headers],[Payment Number]])-2)+DAY(LoanStartDate),"")</f>
        <v>51571</v>
      </c>
      <c r="D215" s="25">
        <f ca="1">IF(PaymentSchedule3[[#This Row],[Payment Number]]&lt;&gt;"",IF(ROW()-ROW(PaymentSchedule3[[#Headers],[Beginning
Balance]])=1,LoanAmount,INDEX(PaymentSchedule3[Ending
Balance],ROW()-ROW(PaymentSchedule3[[#Headers],[Beginning
Balance]])-1)),"")</f>
        <v>243532.49864247339</v>
      </c>
      <c r="E215" s="25">
        <f ca="1">IF(PaymentSchedule3[[#This Row],[Payment Number]]&lt;&gt;"",ScheduledPayment,"")</f>
        <v>2387.6169801966716</v>
      </c>
      <c r="F21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5" s="25">
        <f ca="1">IF(PaymentSchedule3[[#This Row],[Payment Number]]&lt;&gt;"",PaymentSchedule3[[#This Row],[Total
Payment]]-PaymentSchedule3[[#This Row],[Interest]],"")</f>
        <v>916.27480089839491</v>
      </c>
      <c r="I215" s="25">
        <f ca="1">IF(PaymentSchedule3[[#This Row],[Payment Number]]&lt;&gt;"",PaymentSchedule3[[#This Row],[Beginning
Balance]]*(InterestRate/PaymentsPerYear),"")</f>
        <v>1471.3421792982767</v>
      </c>
      <c r="J215" s="25">
        <f ca="1">IF(PaymentSchedule3[[#This Row],[Payment Number]]&lt;&gt;"",IF(PaymentSchedule3[[#This Row],[Scheduled Payment]]+PaymentSchedule3[[#This Row],[Extra
Payment]]&lt;=PaymentSchedule3[[#This Row],[Beginning
Balance]],PaymentSchedule3[[#This Row],[Beginning
Balance]]-PaymentSchedule3[[#This Row],[Principal]],0),"")</f>
        <v>242616.223841575</v>
      </c>
      <c r="K215" s="25">
        <f ca="1">IF(PaymentSchedule3[[#This Row],[Payment Number]]&lt;&gt;"",SUM(INDEX(PaymentSchedule3[Interest],1,1):PaymentSchedule3[[#This Row],[Interest]]),"")</f>
        <v>374914.85384130239</v>
      </c>
    </row>
    <row r="216" spans="2:11" x14ac:dyDescent="0.3">
      <c r="B216" s="23">
        <f ca="1">IF(LoanIsGood,IF(ROW()-ROW(PaymentSchedule3[[#Headers],[Payment Number]])&gt;ScheduledNumberOfPayments,"",ROW()-ROW(PaymentSchedule3[[#Headers],[Payment Number]])),"")</f>
        <v>203</v>
      </c>
      <c r="C216" s="24">
        <f ca="1">IF(PaymentSchedule3[[#This Row],[Payment Number]]&lt;&gt;"",EOMONTH(LoanStartDate,ROW(PaymentSchedule3[[#This Row],[Payment Number]])-ROW(PaymentSchedule3[[#Headers],[Payment Number]])-2)+DAY(LoanStartDate),"")</f>
        <v>51602</v>
      </c>
      <c r="D216" s="25">
        <f ca="1">IF(PaymentSchedule3[[#This Row],[Payment Number]]&lt;&gt;"",IF(ROW()-ROW(PaymentSchedule3[[#Headers],[Beginning
Balance]])=1,LoanAmount,INDEX(PaymentSchedule3[Ending
Balance],ROW()-ROW(PaymentSchedule3[[#Headers],[Beginning
Balance]])-1)),"")</f>
        <v>242616.223841575</v>
      </c>
      <c r="E216" s="25">
        <f ca="1">IF(PaymentSchedule3[[#This Row],[Payment Number]]&lt;&gt;"",ScheduledPayment,"")</f>
        <v>2387.6169801966716</v>
      </c>
      <c r="F21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6" s="25">
        <f ca="1">IF(PaymentSchedule3[[#This Row],[Payment Number]]&lt;&gt;"",PaymentSchedule3[[#This Row],[Total
Payment]]-PaymentSchedule3[[#This Row],[Interest]],"")</f>
        <v>921.81062782048934</v>
      </c>
      <c r="I216" s="25">
        <f ca="1">IF(PaymentSchedule3[[#This Row],[Payment Number]]&lt;&gt;"",PaymentSchedule3[[#This Row],[Beginning
Balance]]*(InterestRate/PaymentsPerYear),"")</f>
        <v>1465.8063523761823</v>
      </c>
      <c r="J216" s="25">
        <f ca="1">IF(PaymentSchedule3[[#This Row],[Payment Number]]&lt;&gt;"",IF(PaymentSchedule3[[#This Row],[Scheduled Payment]]+PaymentSchedule3[[#This Row],[Extra
Payment]]&lt;=PaymentSchedule3[[#This Row],[Beginning
Balance]],PaymentSchedule3[[#This Row],[Beginning
Balance]]-PaymentSchedule3[[#This Row],[Principal]],0),"")</f>
        <v>241694.41321375451</v>
      </c>
      <c r="K216" s="25">
        <f ca="1">IF(PaymentSchedule3[[#This Row],[Payment Number]]&lt;&gt;"",SUM(INDEX(PaymentSchedule3[Interest],1,1):PaymentSchedule3[[#This Row],[Interest]]),"")</f>
        <v>376380.66019367857</v>
      </c>
    </row>
    <row r="217" spans="2:11" x14ac:dyDescent="0.3">
      <c r="B217" s="23">
        <f ca="1">IF(LoanIsGood,IF(ROW()-ROW(PaymentSchedule3[[#Headers],[Payment Number]])&gt;ScheduledNumberOfPayments,"",ROW()-ROW(PaymentSchedule3[[#Headers],[Payment Number]])),"")</f>
        <v>204</v>
      </c>
      <c r="C217" s="24">
        <f ca="1">IF(PaymentSchedule3[[#This Row],[Payment Number]]&lt;&gt;"",EOMONTH(LoanStartDate,ROW(PaymentSchedule3[[#This Row],[Payment Number]])-ROW(PaymentSchedule3[[#Headers],[Payment Number]])-2)+DAY(LoanStartDate),"")</f>
        <v>51632</v>
      </c>
      <c r="D217" s="25">
        <f ca="1">IF(PaymentSchedule3[[#This Row],[Payment Number]]&lt;&gt;"",IF(ROW()-ROW(PaymentSchedule3[[#Headers],[Beginning
Balance]])=1,LoanAmount,INDEX(PaymentSchedule3[Ending
Balance],ROW()-ROW(PaymentSchedule3[[#Headers],[Beginning
Balance]])-1)),"")</f>
        <v>241694.41321375451</v>
      </c>
      <c r="E217" s="25">
        <f ca="1">IF(PaymentSchedule3[[#This Row],[Payment Number]]&lt;&gt;"",ScheduledPayment,"")</f>
        <v>2387.6169801966716</v>
      </c>
      <c r="F21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7" s="25">
        <f ca="1">IF(PaymentSchedule3[[#This Row],[Payment Number]]&lt;&gt;"",PaymentSchedule3[[#This Row],[Total
Payment]]-PaymentSchedule3[[#This Row],[Interest]],"")</f>
        <v>927.37990036357155</v>
      </c>
      <c r="I217" s="25">
        <f ca="1">IF(PaymentSchedule3[[#This Row],[Payment Number]]&lt;&gt;"",PaymentSchedule3[[#This Row],[Beginning
Balance]]*(InterestRate/PaymentsPerYear),"")</f>
        <v>1460.2370798331001</v>
      </c>
      <c r="J217" s="25">
        <f ca="1">IF(PaymentSchedule3[[#This Row],[Payment Number]]&lt;&gt;"",IF(PaymentSchedule3[[#This Row],[Scheduled Payment]]+PaymentSchedule3[[#This Row],[Extra
Payment]]&lt;=PaymentSchedule3[[#This Row],[Beginning
Balance]],PaymentSchedule3[[#This Row],[Beginning
Balance]]-PaymentSchedule3[[#This Row],[Principal]],0),"")</f>
        <v>240767.03331339094</v>
      </c>
      <c r="K217" s="25">
        <f ca="1">IF(PaymentSchedule3[[#This Row],[Payment Number]]&lt;&gt;"",SUM(INDEX(PaymentSchedule3[Interest],1,1):PaymentSchedule3[[#This Row],[Interest]]),"")</f>
        <v>377840.89727351168</v>
      </c>
    </row>
    <row r="218" spans="2:11" x14ac:dyDescent="0.3">
      <c r="B218" s="23">
        <f ca="1">IF(LoanIsGood,IF(ROW()-ROW(PaymentSchedule3[[#Headers],[Payment Number]])&gt;ScheduledNumberOfPayments,"",ROW()-ROW(PaymentSchedule3[[#Headers],[Payment Number]])),"")</f>
        <v>205</v>
      </c>
      <c r="C218" s="24">
        <f ca="1">IF(PaymentSchedule3[[#This Row],[Payment Number]]&lt;&gt;"",EOMONTH(LoanStartDate,ROW(PaymentSchedule3[[#This Row],[Payment Number]])-ROW(PaymentSchedule3[[#Headers],[Payment Number]])-2)+DAY(LoanStartDate),"")</f>
        <v>51663</v>
      </c>
      <c r="D218" s="25">
        <f ca="1">IF(PaymentSchedule3[[#This Row],[Payment Number]]&lt;&gt;"",IF(ROW()-ROW(PaymentSchedule3[[#Headers],[Beginning
Balance]])=1,LoanAmount,INDEX(PaymentSchedule3[Ending
Balance],ROW()-ROW(PaymentSchedule3[[#Headers],[Beginning
Balance]])-1)),"")</f>
        <v>240767.03331339094</v>
      </c>
      <c r="E218" s="25">
        <f ca="1">IF(PaymentSchedule3[[#This Row],[Payment Number]]&lt;&gt;"",ScheduledPayment,"")</f>
        <v>2387.6169801966716</v>
      </c>
      <c r="F2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8" s="25">
        <f ca="1">IF(PaymentSchedule3[[#This Row],[Payment Number]]&lt;&gt;"",PaymentSchedule3[[#This Row],[Total
Payment]]-PaymentSchedule3[[#This Row],[Interest]],"")</f>
        <v>932.98282059493476</v>
      </c>
      <c r="I218" s="25">
        <f ca="1">IF(PaymentSchedule3[[#This Row],[Payment Number]]&lt;&gt;"",PaymentSchedule3[[#This Row],[Beginning
Balance]]*(InterestRate/PaymentsPerYear),"")</f>
        <v>1454.6341596017369</v>
      </c>
      <c r="J218" s="25">
        <f ca="1">IF(PaymentSchedule3[[#This Row],[Payment Number]]&lt;&gt;"",IF(PaymentSchedule3[[#This Row],[Scheduled Payment]]+PaymentSchedule3[[#This Row],[Extra
Payment]]&lt;=PaymentSchedule3[[#This Row],[Beginning
Balance]],PaymentSchedule3[[#This Row],[Beginning
Balance]]-PaymentSchedule3[[#This Row],[Principal]],0),"")</f>
        <v>239834.050492796</v>
      </c>
      <c r="K218" s="25">
        <f ca="1">IF(PaymentSchedule3[[#This Row],[Payment Number]]&lt;&gt;"",SUM(INDEX(PaymentSchedule3[Interest],1,1):PaymentSchedule3[[#This Row],[Interest]]),"")</f>
        <v>379295.53143311344</v>
      </c>
    </row>
    <row r="219" spans="2:11" x14ac:dyDescent="0.3">
      <c r="B219" s="23">
        <f ca="1">IF(LoanIsGood,IF(ROW()-ROW(PaymentSchedule3[[#Headers],[Payment Number]])&gt;ScheduledNumberOfPayments,"",ROW()-ROW(PaymentSchedule3[[#Headers],[Payment Number]])),"")</f>
        <v>206</v>
      </c>
      <c r="C219" s="24">
        <f ca="1">IF(PaymentSchedule3[[#This Row],[Payment Number]]&lt;&gt;"",EOMONTH(LoanStartDate,ROW(PaymentSchedule3[[#This Row],[Payment Number]])-ROW(PaymentSchedule3[[#Headers],[Payment Number]])-2)+DAY(LoanStartDate),"")</f>
        <v>51693</v>
      </c>
      <c r="D219" s="25">
        <f ca="1">IF(PaymentSchedule3[[#This Row],[Payment Number]]&lt;&gt;"",IF(ROW()-ROW(PaymentSchedule3[[#Headers],[Beginning
Balance]])=1,LoanAmount,INDEX(PaymentSchedule3[Ending
Balance],ROW()-ROW(PaymentSchedule3[[#Headers],[Beginning
Balance]])-1)),"")</f>
        <v>239834.050492796</v>
      </c>
      <c r="E219" s="25">
        <f ca="1">IF(PaymentSchedule3[[#This Row],[Payment Number]]&lt;&gt;"",ScheduledPayment,"")</f>
        <v>2387.6169801966716</v>
      </c>
      <c r="F2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19" s="25">
        <f ca="1">IF(PaymentSchedule3[[#This Row],[Payment Number]]&lt;&gt;"",PaymentSchedule3[[#This Row],[Total
Payment]]-PaymentSchedule3[[#This Row],[Interest]],"")</f>
        <v>938.61959180269582</v>
      </c>
      <c r="I219" s="25">
        <f ca="1">IF(PaymentSchedule3[[#This Row],[Payment Number]]&lt;&gt;"",PaymentSchedule3[[#This Row],[Beginning
Balance]]*(InterestRate/PaymentsPerYear),"")</f>
        <v>1448.9973883939758</v>
      </c>
      <c r="J219" s="25">
        <f ca="1">IF(PaymentSchedule3[[#This Row],[Payment Number]]&lt;&gt;"",IF(PaymentSchedule3[[#This Row],[Scheduled Payment]]+PaymentSchedule3[[#This Row],[Extra
Payment]]&lt;=PaymentSchedule3[[#This Row],[Beginning
Balance]],PaymentSchedule3[[#This Row],[Beginning
Balance]]-PaymentSchedule3[[#This Row],[Principal]],0),"")</f>
        <v>238895.43090099329</v>
      </c>
      <c r="K219" s="25">
        <f ca="1">IF(PaymentSchedule3[[#This Row],[Payment Number]]&lt;&gt;"",SUM(INDEX(PaymentSchedule3[Interest],1,1):PaymentSchedule3[[#This Row],[Interest]]),"")</f>
        <v>380744.52882150741</v>
      </c>
    </row>
    <row r="220" spans="2:11" x14ac:dyDescent="0.3">
      <c r="B220" s="23">
        <f ca="1">IF(LoanIsGood,IF(ROW()-ROW(PaymentSchedule3[[#Headers],[Payment Number]])&gt;ScheduledNumberOfPayments,"",ROW()-ROW(PaymentSchedule3[[#Headers],[Payment Number]])),"")</f>
        <v>207</v>
      </c>
      <c r="C220" s="24">
        <f ca="1">IF(PaymentSchedule3[[#This Row],[Payment Number]]&lt;&gt;"",EOMONTH(LoanStartDate,ROW(PaymentSchedule3[[#This Row],[Payment Number]])-ROW(PaymentSchedule3[[#Headers],[Payment Number]])-2)+DAY(LoanStartDate),"")</f>
        <v>51724</v>
      </c>
      <c r="D220" s="25">
        <f ca="1">IF(PaymentSchedule3[[#This Row],[Payment Number]]&lt;&gt;"",IF(ROW()-ROW(PaymentSchedule3[[#Headers],[Beginning
Balance]])=1,LoanAmount,INDEX(PaymentSchedule3[Ending
Balance],ROW()-ROW(PaymentSchedule3[[#Headers],[Beginning
Balance]])-1)),"")</f>
        <v>238895.43090099329</v>
      </c>
      <c r="E220" s="25">
        <f ca="1">IF(PaymentSchedule3[[#This Row],[Payment Number]]&lt;&gt;"",ScheduledPayment,"")</f>
        <v>2387.6169801966716</v>
      </c>
      <c r="F2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0" s="25">
        <f ca="1">IF(PaymentSchedule3[[#This Row],[Payment Number]]&lt;&gt;"",PaymentSchedule3[[#This Row],[Total
Payment]]-PaymentSchedule3[[#This Row],[Interest]],"")</f>
        <v>944.29041850317049</v>
      </c>
      <c r="I220" s="25">
        <f ca="1">IF(PaymentSchedule3[[#This Row],[Payment Number]]&lt;&gt;"",PaymentSchedule3[[#This Row],[Beginning
Balance]]*(InterestRate/PaymentsPerYear),"")</f>
        <v>1443.3265616935012</v>
      </c>
      <c r="J220" s="25">
        <f ca="1">IF(PaymentSchedule3[[#This Row],[Payment Number]]&lt;&gt;"",IF(PaymentSchedule3[[#This Row],[Scheduled Payment]]+PaymentSchedule3[[#This Row],[Extra
Payment]]&lt;=PaymentSchedule3[[#This Row],[Beginning
Balance]],PaymentSchedule3[[#This Row],[Beginning
Balance]]-PaymentSchedule3[[#This Row],[Principal]],0),"")</f>
        <v>237951.14048249013</v>
      </c>
      <c r="K220" s="25">
        <f ca="1">IF(PaymentSchedule3[[#This Row],[Payment Number]]&lt;&gt;"",SUM(INDEX(PaymentSchedule3[Interest],1,1):PaymentSchedule3[[#This Row],[Interest]]),"")</f>
        <v>382187.85538320092</v>
      </c>
    </row>
    <row r="221" spans="2:11" x14ac:dyDescent="0.3">
      <c r="B221" s="23">
        <f ca="1">IF(LoanIsGood,IF(ROW()-ROW(PaymentSchedule3[[#Headers],[Payment Number]])&gt;ScheduledNumberOfPayments,"",ROW()-ROW(PaymentSchedule3[[#Headers],[Payment Number]])),"")</f>
        <v>208</v>
      </c>
      <c r="C221" s="24">
        <f ca="1">IF(PaymentSchedule3[[#This Row],[Payment Number]]&lt;&gt;"",EOMONTH(LoanStartDate,ROW(PaymentSchedule3[[#This Row],[Payment Number]])-ROW(PaymentSchedule3[[#Headers],[Payment Number]])-2)+DAY(LoanStartDate),"")</f>
        <v>51755</v>
      </c>
      <c r="D221" s="25">
        <f ca="1">IF(PaymentSchedule3[[#This Row],[Payment Number]]&lt;&gt;"",IF(ROW()-ROW(PaymentSchedule3[[#Headers],[Beginning
Balance]])=1,LoanAmount,INDEX(PaymentSchedule3[Ending
Balance],ROW()-ROW(PaymentSchedule3[[#Headers],[Beginning
Balance]])-1)),"")</f>
        <v>237951.14048249013</v>
      </c>
      <c r="E221" s="25">
        <f ca="1">IF(PaymentSchedule3[[#This Row],[Payment Number]]&lt;&gt;"",ScheduledPayment,"")</f>
        <v>2387.6169801966716</v>
      </c>
      <c r="F2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1" s="25">
        <f ca="1">IF(PaymentSchedule3[[#This Row],[Payment Number]]&lt;&gt;"",PaymentSchedule3[[#This Row],[Total
Payment]]-PaymentSchedule3[[#This Row],[Interest]],"")</f>
        <v>949.99550644829378</v>
      </c>
      <c r="I221" s="25">
        <f ca="1">IF(PaymentSchedule3[[#This Row],[Payment Number]]&lt;&gt;"",PaymentSchedule3[[#This Row],[Beginning
Balance]]*(InterestRate/PaymentsPerYear),"")</f>
        <v>1437.6214737483779</v>
      </c>
      <c r="J221" s="25">
        <f ca="1">IF(PaymentSchedule3[[#This Row],[Payment Number]]&lt;&gt;"",IF(PaymentSchedule3[[#This Row],[Scheduled Payment]]+PaymentSchedule3[[#This Row],[Extra
Payment]]&lt;=PaymentSchedule3[[#This Row],[Beginning
Balance]],PaymentSchedule3[[#This Row],[Beginning
Balance]]-PaymentSchedule3[[#This Row],[Principal]],0),"")</f>
        <v>237001.14497604183</v>
      </c>
      <c r="K221" s="25">
        <f ca="1">IF(PaymentSchedule3[[#This Row],[Payment Number]]&lt;&gt;"",SUM(INDEX(PaymentSchedule3[Interest],1,1):PaymentSchedule3[[#This Row],[Interest]]),"")</f>
        <v>383625.47685694927</v>
      </c>
    </row>
    <row r="222" spans="2:11" x14ac:dyDescent="0.3">
      <c r="B222" s="23">
        <f ca="1">IF(LoanIsGood,IF(ROW()-ROW(PaymentSchedule3[[#Headers],[Payment Number]])&gt;ScheduledNumberOfPayments,"",ROW()-ROW(PaymentSchedule3[[#Headers],[Payment Number]])),"")</f>
        <v>209</v>
      </c>
      <c r="C222" s="24">
        <f ca="1">IF(PaymentSchedule3[[#This Row],[Payment Number]]&lt;&gt;"",EOMONTH(LoanStartDate,ROW(PaymentSchedule3[[#This Row],[Payment Number]])-ROW(PaymentSchedule3[[#Headers],[Payment Number]])-2)+DAY(LoanStartDate),"")</f>
        <v>51785</v>
      </c>
      <c r="D222" s="25">
        <f ca="1">IF(PaymentSchedule3[[#This Row],[Payment Number]]&lt;&gt;"",IF(ROW()-ROW(PaymentSchedule3[[#Headers],[Beginning
Balance]])=1,LoanAmount,INDEX(PaymentSchedule3[Ending
Balance],ROW()-ROW(PaymentSchedule3[[#Headers],[Beginning
Balance]])-1)),"")</f>
        <v>237001.14497604183</v>
      </c>
      <c r="E222" s="25">
        <f ca="1">IF(PaymentSchedule3[[#This Row],[Payment Number]]&lt;&gt;"",ScheduledPayment,"")</f>
        <v>2387.6169801966716</v>
      </c>
      <c r="F2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2" s="25">
        <f ca="1">IF(PaymentSchedule3[[#This Row],[Payment Number]]&lt;&gt;"",PaymentSchedule3[[#This Row],[Total
Payment]]-PaymentSchedule3[[#This Row],[Interest]],"")</f>
        <v>955.73506263308559</v>
      </c>
      <c r="I222" s="25">
        <f ca="1">IF(PaymentSchedule3[[#This Row],[Payment Number]]&lt;&gt;"",PaymentSchedule3[[#This Row],[Beginning
Balance]]*(InterestRate/PaymentsPerYear),"")</f>
        <v>1431.8819175635861</v>
      </c>
      <c r="J222" s="25">
        <f ca="1">IF(PaymentSchedule3[[#This Row],[Payment Number]]&lt;&gt;"",IF(PaymentSchedule3[[#This Row],[Scheduled Payment]]+PaymentSchedule3[[#This Row],[Extra
Payment]]&lt;=PaymentSchedule3[[#This Row],[Beginning
Balance]],PaymentSchedule3[[#This Row],[Beginning
Balance]]-PaymentSchedule3[[#This Row],[Principal]],0),"")</f>
        <v>236045.40991340874</v>
      </c>
      <c r="K222" s="25">
        <f ca="1">IF(PaymentSchedule3[[#This Row],[Payment Number]]&lt;&gt;"",SUM(INDEX(PaymentSchedule3[Interest],1,1):PaymentSchedule3[[#This Row],[Interest]]),"")</f>
        <v>385057.35877451283</v>
      </c>
    </row>
    <row r="223" spans="2:11" x14ac:dyDescent="0.3">
      <c r="B223" s="23">
        <f ca="1">IF(LoanIsGood,IF(ROW()-ROW(PaymentSchedule3[[#Headers],[Payment Number]])&gt;ScheduledNumberOfPayments,"",ROW()-ROW(PaymentSchedule3[[#Headers],[Payment Number]])),"")</f>
        <v>210</v>
      </c>
      <c r="C223" s="24">
        <f ca="1">IF(PaymentSchedule3[[#This Row],[Payment Number]]&lt;&gt;"",EOMONTH(LoanStartDate,ROW(PaymentSchedule3[[#This Row],[Payment Number]])-ROW(PaymentSchedule3[[#Headers],[Payment Number]])-2)+DAY(LoanStartDate),"")</f>
        <v>51816</v>
      </c>
      <c r="D223" s="25">
        <f ca="1">IF(PaymentSchedule3[[#This Row],[Payment Number]]&lt;&gt;"",IF(ROW()-ROW(PaymentSchedule3[[#Headers],[Beginning
Balance]])=1,LoanAmount,INDEX(PaymentSchedule3[Ending
Balance],ROW()-ROW(PaymentSchedule3[[#Headers],[Beginning
Balance]])-1)),"")</f>
        <v>236045.40991340874</v>
      </c>
      <c r="E223" s="25">
        <f ca="1">IF(PaymentSchedule3[[#This Row],[Payment Number]]&lt;&gt;"",ScheduledPayment,"")</f>
        <v>2387.6169801966716</v>
      </c>
      <c r="F2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3" s="25">
        <f ca="1">IF(PaymentSchedule3[[#This Row],[Payment Number]]&lt;&gt;"",PaymentSchedule3[[#This Row],[Total
Payment]]-PaymentSchedule3[[#This Row],[Interest]],"")</f>
        <v>961.50929530316057</v>
      </c>
      <c r="I223" s="25">
        <f ca="1">IF(PaymentSchedule3[[#This Row],[Payment Number]]&lt;&gt;"",PaymentSchedule3[[#This Row],[Beginning
Balance]]*(InterestRate/PaymentsPerYear),"")</f>
        <v>1426.1076848935111</v>
      </c>
      <c r="J223" s="25">
        <f ca="1">IF(PaymentSchedule3[[#This Row],[Payment Number]]&lt;&gt;"",IF(PaymentSchedule3[[#This Row],[Scheduled Payment]]+PaymentSchedule3[[#This Row],[Extra
Payment]]&lt;=PaymentSchedule3[[#This Row],[Beginning
Balance]],PaymentSchedule3[[#This Row],[Beginning
Balance]]-PaymentSchedule3[[#This Row],[Principal]],0),"")</f>
        <v>235083.90061810557</v>
      </c>
      <c r="K223" s="25">
        <f ca="1">IF(PaymentSchedule3[[#This Row],[Payment Number]]&lt;&gt;"",SUM(INDEX(PaymentSchedule3[Interest],1,1):PaymentSchedule3[[#This Row],[Interest]]),"")</f>
        <v>386483.46645940637</v>
      </c>
    </row>
    <row r="224" spans="2:11" x14ac:dyDescent="0.3">
      <c r="B224" s="23">
        <f ca="1">IF(LoanIsGood,IF(ROW()-ROW(PaymentSchedule3[[#Headers],[Payment Number]])&gt;ScheduledNumberOfPayments,"",ROW()-ROW(PaymentSchedule3[[#Headers],[Payment Number]])),"")</f>
        <v>211</v>
      </c>
      <c r="C224" s="24">
        <f ca="1">IF(PaymentSchedule3[[#This Row],[Payment Number]]&lt;&gt;"",EOMONTH(LoanStartDate,ROW(PaymentSchedule3[[#This Row],[Payment Number]])-ROW(PaymentSchedule3[[#Headers],[Payment Number]])-2)+DAY(LoanStartDate),"")</f>
        <v>51846</v>
      </c>
      <c r="D224" s="25">
        <f ca="1">IF(PaymentSchedule3[[#This Row],[Payment Number]]&lt;&gt;"",IF(ROW()-ROW(PaymentSchedule3[[#Headers],[Beginning
Balance]])=1,LoanAmount,INDEX(PaymentSchedule3[Ending
Balance],ROW()-ROW(PaymentSchedule3[[#Headers],[Beginning
Balance]])-1)),"")</f>
        <v>235083.90061810557</v>
      </c>
      <c r="E224" s="25">
        <f ca="1">IF(PaymentSchedule3[[#This Row],[Payment Number]]&lt;&gt;"",ScheduledPayment,"")</f>
        <v>2387.6169801966716</v>
      </c>
      <c r="F2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4" s="25">
        <f ca="1">IF(PaymentSchedule3[[#This Row],[Payment Number]]&lt;&gt;"",PaymentSchedule3[[#This Row],[Total
Payment]]-PaymentSchedule3[[#This Row],[Interest]],"")</f>
        <v>967.31841396228378</v>
      </c>
      <c r="I224" s="25">
        <f ca="1">IF(PaymentSchedule3[[#This Row],[Payment Number]]&lt;&gt;"",PaymentSchedule3[[#This Row],[Beginning
Balance]]*(InterestRate/PaymentsPerYear),"")</f>
        <v>1420.2985662343879</v>
      </c>
      <c r="J224" s="25">
        <f ca="1">IF(PaymentSchedule3[[#This Row],[Payment Number]]&lt;&gt;"",IF(PaymentSchedule3[[#This Row],[Scheduled Payment]]+PaymentSchedule3[[#This Row],[Extra
Payment]]&lt;=PaymentSchedule3[[#This Row],[Beginning
Balance]],PaymentSchedule3[[#This Row],[Beginning
Balance]]-PaymentSchedule3[[#This Row],[Principal]],0),"")</f>
        <v>234116.58220414328</v>
      </c>
      <c r="K224" s="25">
        <f ca="1">IF(PaymentSchedule3[[#This Row],[Payment Number]]&lt;&gt;"",SUM(INDEX(PaymentSchedule3[Interest],1,1):PaymentSchedule3[[#This Row],[Interest]]),"")</f>
        <v>387903.76502564078</v>
      </c>
    </row>
    <row r="225" spans="2:11" x14ac:dyDescent="0.3">
      <c r="B225" s="23">
        <f ca="1">IF(LoanIsGood,IF(ROW()-ROW(PaymentSchedule3[[#Headers],[Payment Number]])&gt;ScheduledNumberOfPayments,"",ROW()-ROW(PaymentSchedule3[[#Headers],[Payment Number]])),"")</f>
        <v>212</v>
      </c>
      <c r="C225" s="24">
        <f ca="1">IF(PaymentSchedule3[[#This Row],[Payment Number]]&lt;&gt;"",EOMONTH(LoanStartDate,ROW(PaymentSchedule3[[#This Row],[Payment Number]])-ROW(PaymentSchedule3[[#Headers],[Payment Number]])-2)+DAY(LoanStartDate),"")</f>
        <v>51877</v>
      </c>
      <c r="D225" s="25">
        <f ca="1">IF(PaymentSchedule3[[#This Row],[Payment Number]]&lt;&gt;"",IF(ROW()-ROW(PaymentSchedule3[[#Headers],[Beginning
Balance]])=1,LoanAmount,INDEX(PaymentSchedule3[Ending
Balance],ROW()-ROW(PaymentSchedule3[[#Headers],[Beginning
Balance]])-1)),"")</f>
        <v>234116.58220414328</v>
      </c>
      <c r="E225" s="25">
        <f ca="1">IF(PaymentSchedule3[[#This Row],[Payment Number]]&lt;&gt;"",ScheduledPayment,"")</f>
        <v>2387.6169801966716</v>
      </c>
      <c r="F2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5" s="25">
        <f ca="1">IF(PaymentSchedule3[[#This Row],[Payment Number]]&lt;&gt;"",PaymentSchedule3[[#This Row],[Total
Payment]]-PaymentSchedule3[[#This Row],[Interest]],"")</f>
        <v>973.16262937997271</v>
      </c>
      <c r="I225" s="25">
        <f ca="1">IF(PaymentSchedule3[[#This Row],[Payment Number]]&lt;&gt;"",PaymentSchedule3[[#This Row],[Beginning
Balance]]*(InterestRate/PaymentsPerYear),"")</f>
        <v>1414.4543508166989</v>
      </c>
      <c r="J225" s="25">
        <f ca="1">IF(PaymentSchedule3[[#This Row],[Payment Number]]&lt;&gt;"",IF(PaymentSchedule3[[#This Row],[Scheduled Payment]]+PaymentSchedule3[[#This Row],[Extra
Payment]]&lt;=PaymentSchedule3[[#This Row],[Beginning
Balance]],PaymentSchedule3[[#This Row],[Beginning
Balance]]-PaymentSchedule3[[#This Row],[Principal]],0),"")</f>
        <v>233143.41957476331</v>
      </c>
      <c r="K225" s="25">
        <f ca="1">IF(PaymentSchedule3[[#This Row],[Payment Number]]&lt;&gt;"",SUM(INDEX(PaymentSchedule3[Interest],1,1):PaymentSchedule3[[#This Row],[Interest]]),"")</f>
        <v>389318.21937645751</v>
      </c>
    </row>
    <row r="226" spans="2:11" x14ac:dyDescent="0.3">
      <c r="B226" s="23">
        <f ca="1">IF(LoanIsGood,IF(ROW()-ROW(PaymentSchedule3[[#Headers],[Payment Number]])&gt;ScheduledNumberOfPayments,"",ROW()-ROW(PaymentSchedule3[[#Headers],[Payment Number]])),"")</f>
        <v>213</v>
      </c>
      <c r="C226" s="24">
        <f ca="1">IF(PaymentSchedule3[[#This Row],[Payment Number]]&lt;&gt;"",EOMONTH(LoanStartDate,ROW(PaymentSchedule3[[#This Row],[Payment Number]])-ROW(PaymentSchedule3[[#Headers],[Payment Number]])-2)+DAY(LoanStartDate),"")</f>
        <v>51908</v>
      </c>
      <c r="D226" s="25">
        <f ca="1">IF(PaymentSchedule3[[#This Row],[Payment Number]]&lt;&gt;"",IF(ROW()-ROW(PaymentSchedule3[[#Headers],[Beginning
Balance]])=1,LoanAmount,INDEX(PaymentSchedule3[Ending
Balance],ROW()-ROW(PaymentSchedule3[[#Headers],[Beginning
Balance]])-1)),"")</f>
        <v>233143.41957476331</v>
      </c>
      <c r="E226" s="25">
        <f ca="1">IF(PaymentSchedule3[[#This Row],[Payment Number]]&lt;&gt;"",ScheduledPayment,"")</f>
        <v>2387.6169801966716</v>
      </c>
      <c r="F2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6" s="25">
        <f ca="1">IF(PaymentSchedule3[[#This Row],[Payment Number]]&lt;&gt;"",PaymentSchedule3[[#This Row],[Total
Payment]]-PaymentSchedule3[[#This Row],[Interest]],"")</f>
        <v>979.04215359914338</v>
      </c>
      <c r="I226" s="25">
        <f ca="1">IF(PaymentSchedule3[[#This Row],[Payment Number]]&lt;&gt;"",PaymentSchedule3[[#This Row],[Beginning
Balance]]*(InterestRate/PaymentsPerYear),"")</f>
        <v>1408.5748265975283</v>
      </c>
      <c r="J226" s="25">
        <f ca="1">IF(PaymentSchedule3[[#This Row],[Payment Number]]&lt;&gt;"",IF(PaymentSchedule3[[#This Row],[Scheduled Payment]]+PaymentSchedule3[[#This Row],[Extra
Payment]]&lt;=PaymentSchedule3[[#This Row],[Beginning
Balance]],PaymentSchedule3[[#This Row],[Beginning
Balance]]-PaymentSchedule3[[#This Row],[Principal]],0),"")</f>
        <v>232164.37742116416</v>
      </c>
      <c r="K226" s="25">
        <f ca="1">IF(PaymentSchedule3[[#This Row],[Payment Number]]&lt;&gt;"",SUM(INDEX(PaymentSchedule3[Interest],1,1):PaymentSchedule3[[#This Row],[Interest]]),"")</f>
        <v>390726.79420305503</v>
      </c>
    </row>
    <row r="227" spans="2:11" x14ac:dyDescent="0.3">
      <c r="B227" s="23">
        <f ca="1">IF(LoanIsGood,IF(ROW()-ROW(PaymentSchedule3[[#Headers],[Payment Number]])&gt;ScheduledNumberOfPayments,"",ROW()-ROW(PaymentSchedule3[[#Headers],[Payment Number]])),"")</f>
        <v>214</v>
      </c>
      <c r="C227" s="24">
        <f ca="1">IF(PaymentSchedule3[[#This Row],[Payment Number]]&lt;&gt;"",EOMONTH(LoanStartDate,ROW(PaymentSchedule3[[#This Row],[Payment Number]])-ROW(PaymentSchedule3[[#Headers],[Payment Number]])-2)+DAY(LoanStartDate),"")</f>
        <v>51936</v>
      </c>
      <c r="D227" s="25">
        <f ca="1">IF(PaymentSchedule3[[#This Row],[Payment Number]]&lt;&gt;"",IF(ROW()-ROW(PaymentSchedule3[[#Headers],[Beginning
Balance]])=1,LoanAmount,INDEX(PaymentSchedule3[Ending
Balance],ROW()-ROW(PaymentSchedule3[[#Headers],[Beginning
Balance]])-1)),"")</f>
        <v>232164.37742116416</v>
      </c>
      <c r="E227" s="25">
        <f ca="1">IF(PaymentSchedule3[[#This Row],[Payment Number]]&lt;&gt;"",ScheduledPayment,"")</f>
        <v>2387.6169801966716</v>
      </c>
      <c r="F2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7" s="25">
        <f ca="1">IF(PaymentSchedule3[[#This Row],[Payment Number]]&lt;&gt;"",PaymentSchedule3[[#This Row],[Total
Payment]]-PaymentSchedule3[[#This Row],[Interest]],"")</f>
        <v>984.95719994380488</v>
      </c>
      <c r="I227" s="25">
        <f ca="1">IF(PaymentSchedule3[[#This Row],[Payment Number]]&lt;&gt;"",PaymentSchedule3[[#This Row],[Beginning
Balance]]*(InterestRate/PaymentsPerYear),"")</f>
        <v>1402.6597802528668</v>
      </c>
      <c r="J227" s="25">
        <f ca="1">IF(PaymentSchedule3[[#This Row],[Payment Number]]&lt;&gt;"",IF(PaymentSchedule3[[#This Row],[Scheduled Payment]]+PaymentSchedule3[[#This Row],[Extra
Payment]]&lt;=PaymentSchedule3[[#This Row],[Beginning
Balance]],PaymentSchedule3[[#This Row],[Beginning
Balance]]-PaymentSchedule3[[#This Row],[Principal]],0),"")</f>
        <v>231179.42022122035</v>
      </c>
      <c r="K227" s="25">
        <f ca="1">IF(PaymentSchedule3[[#This Row],[Payment Number]]&lt;&gt;"",SUM(INDEX(PaymentSchedule3[Interest],1,1):PaymentSchedule3[[#This Row],[Interest]]),"")</f>
        <v>392129.45398330787</v>
      </c>
    </row>
    <row r="228" spans="2:11" x14ac:dyDescent="0.3">
      <c r="B228" s="23">
        <f ca="1">IF(LoanIsGood,IF(ROW()-ROW(PaymentSchedule3[[#Headers],[Payment Number]])&gt;ScheduledNumberOfPayments,"",ROW()-ROW(PaymentSchedule3[[#Headers],[Payment Number]])),"")</f>
        <v>215</v>
      </c>
      <c r="C228" s="24">
        <f ca="1">IF(PaymentSchedule3[[#This Row],[Payment Number]]&lt;&gt;"",EOMONTH(LoanStartDate,ROW(PaymentSchedule3[[#This Row],[Payment Number]])-ROW(PaymentSchedule3[[#Headers],[Payment Number]])-2)+DAY(LoanStartDate),"")</f>
        <v>51967</v>
      </c>
      <c r="D228" s="25">
        <f ca="1">IF(PaymentSchedule3[[#This Row],[Payment Number]]&lt;&gt;"",IF(ROW()-ROW(PaymentSchedule3[[#Headers],[Beginning
Balance]])=1,LoanAmount,INDEX(PaymentSchedule3[Ending
Balance],ROW()-ROW(PaymentSchedule3[[#Headers],[Beginning
Balance]])-1)),"")</f>
        <v>231179.42022122035</v>
      </c>
      <c r="E228" s="25">
        <f ca="1">IF(PaymentSchedule3[[#This Row],[Payment Number]]&lt;&gt;"",ScheduledPayment,"")</f>
        <v>2387.6169801966716</v>
      </c>
      <c r="F2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8" s="25">
        <f ca="1">IF(PaymentSchedule3[[#This Row],[Payment Number]]&lt;&gt;"",PaymentSchedule3[[#This Row],[Total
Payment]]-PaymentSchedule3[[#This Row],[Interest]],"")</f>
        <v>990.90798302679877</v>
      </c>
      <c r="I228" s="25">
        <f ca="1">IF(PaymentSchedule3[[#This Row],[Payment Number]]&lt;&gt;"",PaymentSchedule3[[#This Row],[Beginning
Balance]]*(InterestRate/PaymentsPerYear),"")</f>
        <v>1396.7089971698729</v>
      </c>
      <c r="J228" s="25">
        <f ca="1">IF(PaymentSchedule3[[#This Row],[Payment Number]]&lt;&gt;"",IF(PaymentSchedule3[[#This Row],[Scheduled Payment]]+PaymentSchedule3[[#This Row],[Extra
Payment]]&lt;=PaymentSchedule3[[#This Row],[Beginning
Balance]],PaymentSchedule3[[#This Row],[Beginning
Balance]]-PaymentSchedule3[[#This Row],[Principal]],0),"")</f>
        <v>230188.51223819357</v>
      </c>
      <c r="K228" s="25">
        <f ca="1">IF(PaymentSchedule3[[#This Row],[Payment Number]]&lt;&gt;"",SUM(INDEX(PaymentSchedule3[Interest],1,1):PaymentSchedule3[[#This Row],[Interest]]),"")</f>
        <v>393526.16298047773</v>
      </c>
    </row>
    <row r="229" spans="2:11" x14ac:dyDescent="0.3">
      <c r="B229" s="23">
        <f ca="1">IF(LoanIsGood,IF(ROW()-ROW(PaymentSchedule3[[#Headers],[Payment Number]])&gt;ScheduledNumberOfPayments,"",ROW()-ROW(PaymentSchedule3[[#Headers],[Payment Number]])),"")</f>
        <v>216</v>
      </c>
      <c r="C229" s="24">
        <f ca="1">IF(PaymentSchedule3[[#This Row],[Payment Number]]&lt;&gt;"",EOMONTH(LoanStartDate,ROW(PaymentSchedule3[[#This Row],[Payment Number]])-ROW(PaymentSchedule3[[#Headers],[Payment Number]])-2)+DAY(LoanStartDate),"")</f>
        <v>51997</v>
      </c>
      <c r="D229" s="25">
        <f ca="1">IF(PaymentSchedule3[[#This Row],[Payment Number]]&lt;&gt;"",IF(ROW()-ROW(PaymentSchedule3[[#Headers],[Beginning
Balance]])=1,LoanAmount,INDEX(PaymentSchedule3[Ending
Balance],ROW()-ROW(PaymentSchedule3[[#Headers],[Beginning
Balance]])-1)),"")</f>
        <v>230188.51223819357</v>
      </c>
      <c r="E229" s="25">
        <f ca="1">IF(PaymentSchedule3[[#This Row],[Payment Number]]&lt;&gt;"",ScheduledPayment,"")</f>
        <v>2387.6169801966716</v>
      </c>
      <c r="F2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29" s="25">
        <f ca="1">IF(PaymentSchedule3[[#This Row],[Payment Number]]&lt;&gt;"",PaymentSchedule3[[#This Row],[Total
Payment]]-PaymentSchedule3[[#This Row],[Interest]],"")</f>
        <v>996.89471875758545</v>
      </c>
      <c r="I229" s="25">
        <f ca="1">IF(PaymentSchedule3[[#This Row],[Payment Number]]&lt;&gt;"",PaymentSchedule3[[#This Row],[Beginning
Balance]]*(InterestRate/PaymentsPerYear),"")</f>
        <v>1390.7222614390862</v>
      </c>
      <c r="J229" s="25">
        <f ca="1">IF(PaymentSchedule3[[#This Row],[Payment Number]]&lt;&gt;"",IF(PaymentSchedule3[[#This Row],[Scheduled Payment]]+PaymentSchedule3[[#This Row],[Extra
Payment]]&lt;=PaymentSchedule3[[#This Row],[Beginning
Balance]],PaymentSchedule3[[#This Row],[Beginning
Balance]]-PaymentSchedule3[[#This Row],[Principal]],0),"")</f>
        <v>229191.61751943597</v>
      </c>
      <c r="K229" s="25">
        <f ca="1">IF(PaymentSchedule3[[#This Row],[Payment Number]]&lt;&gt;"",SUM(INDEX(PaymentSchedule3[Interest],1,1):PaymentSchedule3[[#This Row],[Interest]]),"")</f>
        <v>394916.88524191681</v>
      </c>
    </row>
    <row r="230" spans="2:11" x14ac:dyDescent="0.3">
      <c r="B230" s="23">
        <f ca="1">IF(LoanIsGood,IF(ROW()-ROW(PaymentSchedule3[[#Headers],[Payment Number]])&gt;ScheduledNumberOfPayments,"",ROW()-ROW(PaymentSchedule3[[#Headers],[Payment Number]])),"")</f>
        <v>217</v>
      </c>
      <c r="C230" s="24">
        <f ca="1">IF(PaymentSchedule3[[#This Row],[Payment Number]]&lt;&gt;"",EOMONTH(LoanStartDate,ROW(PaymentSchedule3[[#This Row],[Payment Number]])-ROW(PaymentSchedule3[[#Headers],[Payment Number]])-2)+DAY(LoanStartDate),"")</f>
        <v>52028</v>
      </c>
      <c r="D230" s="25">
        <f ca="1">IF(PaymentSchedule3[[#This Row],[Payment Number]]&lt;&gt;"",IF(ROW()-ROW(PaymentSchedule3[[#Headers],[Beginning
Balance]])=1,LoanAmount,INDEX(PaymentSchedule3[Ending
Balance],ROW()-ROW(PaymentSchedule3[[#Headers],[Beginning
Balance]])-1)),"")</f>
        <v>229191.61751943597</v>
      </c>
      <c r="E230" s="25">
        <f ca="1">IF(PaymentSchedule3[[#This Row],[Payment Number]]&lt;&gt;"",ScheduledPayment,"")</f>
        <v>2387.6169801966716</v>
      </c>
      <c r="F2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0" s="25">
        <f ca="1">IF(PaymentSchedule3[[#This Row],[Payment Number]]&lt;&gt;"",PaymentSchedule3[[#This Row],[Total
Payment]]-PaymentSchedule3[[#This Row],[Interest]],"")</f>
        <v>1002.9176243500794</v>
      </c>
      <c r="I230" s="25">
        <f ca="1">IF(PaymentSchedule3[[#This Row],[Payment Number]]&lt;&gt;"",PaymentSchedule3[[#This Row],[Beginning
Balance]]*(InterestRate/PaymentsPerYear),"")</f>
        <v>1384.6993558465922</v>
      </c>
      <c r="J230" s="25">
        <f ca="1">IF(PaymentSchedule3[[#This Row],[Payment Number]]&lt;&gt;"",IF(PaymentSchedule3[[#This Row],[Scheduled Payment]]+PaymentSchedule3[[#This Row],[Extra
Payment]]&lt;=PaymentSchedule3[[#This Row],[Beginning
Balance]],PaymentSchedule3[[#This Row],[Beginning
Balance]]-PaymentSchedule3[[#This Row],[Principal]],0),"")</f>
        <v>228188.69989508588</v>
      </c>
      <c r="K230" s="25">
        <f ca="1">IF(PaymentSchedule3[[#This Row],[Payment Number]]&lt;&gt;"",SUM(INDEX(PaymentSchedule3[Interest],1,1):PaymentSchedule3[[#This Row],[Interest]]),"")</f>
        <v>396301.58459776343</v>
      </c>
    </row>
    <row r="231" spans="2:11" x14ac:dyDescent="0.3">
      <c r="B231" s="23">
        <f ca="1">IF(LoanIsGood,IF(ROW()-ROW(PaymentSchedule3[[#Headers],[Payment Number]])&gt;ScheduledNumberOfPayments,"",ROW()-ROW(PaymentSchedule3[[#Headers],[Payment Number]])),"")</f>
        <v>218</v>
      </c>
      <c r="C231" s="24">
        <f ca="1">IF(PaymentSchedule3[[#This Row],[Payment Number]]&lt;&gt;"",EOMONTH(LoanStartDate,ROW(PaymentSchedule3[[#This Row],[Payment Number]])-ROW(PaymentSchedule3[[#Headers],[Payment Number]])-2)+DAY(LoanStartDate),"")</f>
        <v>52058</v>
      </c>
      <c r="D231" s="25">
        <f ca="1">IF(PaymentSchedule3[[#This Row],[Payment Number]]&lt;&gt;"",IF(ROW()-ROW(PaymentSchedule3[[#Headers],[Beginning
Balance]])=1,LoanAmount,INDEX(PaymentSchedule3[Ending
Balance],ROW()-ROW(PaymentSchedule3[[#Headers],[Beginning
Balance]])-1)),"")</f>
        <v>228188.69989508588</v>
      </c>
      <c r="E231" s="25">
        <f ca="1">IF(PaymentSchedule3[[#This Row],[Payment Number]]&lt;&gt;"",ScheduledPayment,"")</f>
        <v>2387.6169801966716</v>
      </c>
      <c r="F2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1" s="25">
        <f ca="1">IF(PaymentSchedule3[[#This Row],[Payment Number]]&lt;&gt;"",PaymentSchedule3[[#This Row],[Total
Payment]]-PaymentSchedule3[[#This Row],[Interest]],"")</f>
        <v>1008.9769183305277</v>
      </c>
      <c r="I231" s="25">
        <f ca="1">IF(PaymentSchedule3[[#This Row],[Payment Number]]&lt;&gt;"",PaymentSchedule3[[#This Row],[Beginning
Balance]]*(InterestRate/PaymentsPerYear),"")</f>
        <v>1378.6400618661439</v>
      </c>
      <c r="J231" s="25">
        <f ca="1">IF(PaymentSchedule3[[#This Row],[Payment Number]]&lt;&gt;"",IF(PaymentSchedule3[[#This Row],[Scheduled Payment]]+PaymentSchedule3[[#This Row],[Extra
Payment]]&lt;=PaymentSchedule3[[#This Row],[Beginning
Balance]],PaymentSchedule3[[#This Row],[Beginning
Balance]]-PaymentSchedule3[[#This Row],[Principal]],0),"")</f>
        <v>227179.72297675535</v>
      </c>
      <c r="K231" s="25">
        <f ca="1">IF(PaymentSchedule3[[#This Row],[Payment Number]]&lt;&gt;"",SUM(INDEX(PaymentSchedule3[Interest],1,1):PaymentSchedule3[[#This Row],[Interest]]),"")</f>
        <v>397680.22465962957</v>
      </c>
    </row>
    <row r="232" spans="2:11" x14ac:dyDescent="0.3">
      <c r="B232" s="23">
        <f ca="1">IF(LoanIsGood,IF(ROW()-ROW(PaymentSchedule3[[#Headers],[Payment Number]])&gt;ScheduledNumberOfPayments,"",ROW()-ROW(PaymentSchedule3[[#Headers],[Payment Number]])),"")</f>
        <v>219</v>
      </c>
      <c r="C232" s="24">
        <f ca="1">IF(PaymentSchedule3[[#This Row],[Payment Number]]&lt;&gt;"",EOMONTH(LoanStartDate,ROW(PaymentSchedule3[[#This Row],[Payment Number]])-ROW(PaymentSchedule3[[#Headers],[Payment Number]])-2)+DAY(LoanStartDate),"")</f>
        <v>52089</v>
      </c>
      <c r="D232" s="25">
        <f ca="1">IF(PaymentSchedule3[[#This Row],[Payment Number]]&lt;&gt;"",IF(ROW()-ROW(PaymentSchedule3[[#Headers],[Beginning
Balance]])=1,LoanAmount,INDEX(PaymentSchedule3[Ending
Balance],ROW()-ROW(PaymentSchedule3[[#Headers],[Beginning
Balance]])-1)),"")</f>
        <v>227179.72297675535</v>
      </c>
      <c r="E232" s="25">
        <f ca="1">IF(PaymentSchedule3[[#This Row],[Payment Number]]&lt;&gt;"",ScheduledPayment,"")</f>
        <v>2387.6169801966716</v>
      </c>
      <c r="F2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2" s="25">
        <f ca="1">IF(PaymentSchedule3[[#This Row],[Payment Number]]&lt;&gt;"",PaymentSchedule3[[#This Row],[Total
Payment]]-PaymentSchedule3[[#This Row],[Interest]],"")</f>
        <v>1015.0728205454413</v>
      </c>
      <c r="I232" s="25">
        <f ca="1">IF(PaymentSchedule3[[#This Row],[Payment Number]]&lt;&gt;"",PaymentSchedule3[[#This Row],[Beginning
Balance]]*(InterestRate/PaymentsPerYear),"")</f>
        <v>1372.5441596512303</v>
      </c>
      <c r="J232" s="25">
        <f ca="1">IF(PaymentSchedule3[[#This Row],[Payment Number]]&lt;&gt;"",IF(PaymentSchedule3[[#This Row],[Scheduled Payment]]+PaymentSchedule3[[#This Row],[Extra
Payment]]&lt;=PaymentSchedule3[[#This Row],[Beginning
Balance]],PaymentSchedule3[[#This Row],[Beginning
Balance]]-PaymentSchedule3[[#This Row],[Principal]],0),"")</f>
        <v>226164.65015620991</v>
      </c>
      <c r="K232" s="25">
        <f ca="1">IF(PaymentSchedule3[[#This Row],[Payment Number]]&lt;&gt;"",SUM(INDEX(PaymentSchedule3[Interest],1,1):PaymentSchedule3[[#This Row],[Interest]]),"")</f>
        <v>399052.76881928078</v>
      </c>
    </row>
    <row r="233" spans="2:11" x14ac:dyDescent="0.3">
      <c r="B233" s="23">
        <f ca="1">IF(LoanIsGood,IF(ROW()-ROW(PaymentSchedule3[[#Headers],[Payment Number]])&gt;ScheduledNumberOfPayments,"",ROW()-ROW(PaymentSchedule3[[#Headers],[Payment Number]])),"")</f>
        <v>220</v>
      </c>
      <c r="C233" s="24">
        <f ca="1">IF(PaymentSchedule3[[#This Row],[Payment Number]]&lt;&gt;"",EOMONTH(LoanStartDate,ROW(PaymentSchedule3[[#This Row],[Payment Number]])-ROW(PaymentSchedule3[[#Headers],[Payment Number]])-2)+DAY(LoanStartDate),"")</f>
        <v>52120</v>
      </c>
      <c r="D233" s="25">
        <f ca="1">IF(PaymentSchedule3[[#This Row],[Payment Number]]&lt;&gt;"",IF(ROW()-ROW(PaymentSchedule3[[#Headers],[Beginning
Balance]])=1,LoanAmount,INDEX(PaymentSchedule3[Ending
Balance],ROW()-ROW(PaymentSchedule3[[#Headers],[Beginning
Balance]])-1)),"")</f>
        <v>226164.65015620991</v>
      </c>
      <c r="E233" s="25">
        <f ca="1">IF(PaymentSchedule3[[#This Row],[Payment Number]]&lt;&gt;"",ScheduledPayment,"")</f>
        <v>2387.6169801966716</v>
      </c>
      <c r="F2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3" s="25">
        <f ca="1">IF(PaymentSchedule3[[#This Row],[Payment Number]]&lt;&gt;"",PaymentSchedule3[[#This Row],[Total
Payment]]-PaymentSchedule3[[#This Row],[Interest]],"")</f>
        <v>1021.2055521695702</v>
      </c>
      <c r="I233" s="25">
        <f ca="1">IF(PaymentSchedule3[[#This Row],[Payment Number]]&lt;&gt;"",PaymentSchedule3[[#This Row],[Beginning
Balance]]*(InterestRate/PaymentsPerYear),"")</f>
        <v>1366.4114280271015</v>
      </c>
      <c r="J233" s="25">
        <f ca="1">IF(PaymentSchedule3[[#This Row],[Payment Number]]&lt;&gt;"",IF(PaymentSchedule3[[#This Row],[Scheduled Payment]]+PaymentSchedule3[[#This Row],[Extra
Payment]]&lt;=PaymentSchedule3[[#This Row],[Beginning
Balance]],PaymentSchedule3[[#This Row],[Beginning
Balance]]-PaymentSchedule3[[#This Row],[Principal]],0),"")</f>
        <v>225143.44460404036</v>
      </c>
      <c r="K233" s="25">
        <f ca="1">IF(PaymentSchedule3[[#This Row],[Payment Number]]&lt;&gt;"",SUM(INDEX(PaymentSchedule3[Interest],1,1):PaymentSchedule3[[#This Row],[Interest]]),"")</f>
        <v>400419.18024730787</v>
      </c>
    </row>
    <row r="234" spans="2:11" x14ac:dyDescent="0.3">
      <c r="B234" s="23">
        <f ca="1">IF(LoanIsGood,IF(ROW()-ROW(PaymentSchedule3[[#Headers],[Payment Number]])&gt;ScheduledNumberOfPayments,"",ROW()-ROW(PaymentSchedule3[[#Headers],[Payment Number]])),"")</f>
        <v>221</v>
      </c>
      <c r="C234" s="24">
        <f ca="1">IF(PaymentSchedule3[[#This Row],[Payment Number]]&lt;&gt;"",EOMONTH(LoanStartDate,ROW(PaymentSchedule3[[#This Row],[Payment Number]])-ROW(PaymentSchedule3[[#Headers],[Payment Number]])-2)+DAY(LoanStartDate),"")</f>
        <v>52150</v>
      </c>
      <c r="D234" s="25">
        <f ca="1">IF(PaymentSchedule3[[#This Row],[Payment Number]]&lt;&gt;"",IF(ROW()-ROW(PaymentSchedule3[[#Headers],[Beginning
Balance]])=1,LoanAmount,INDEX(PaymentSchedule3[Ending
Balance],ROW()-ROW(PaymentSchedule3[[#Headers],[Beginning
Balance]])-1)),"")</f>
        <v>225143.44460404036</v>
      </c>
      <c r="E234" s="25">
        <f ca="1">IF(PaymentSchedule3[[#This Row],[Payment Number]]&lt;&gt;"",ScheduledPayment,"")</f>
        <v>2387.6169801966716</v>
      </c>
      <c r="F2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4" s="25">
        <f ca="1">IF(PaymentSchedule3[[#This Row],[Payment Number]]&lt;&gt;"",PaymentSchedule3[[#This Row],[Total
Payment]]-PaymentSchedule3[[#This Row],[Interest]],"")</f>
        <v>1027.3753357139278</v>
      </c>
      <c r="I234" s="25">
        <f ca="1">IF(PaymentSchedule3[[#This Row],[Payment Number]]&lt;&gt;"",PaymentSchedule3[[#This Row],[Beginning
Balance]]*(InterestRate/PaymentsPerYear),"")</f>
        <v>1360.2416444827438</v>
      </c>
      <c r="J234" s="25">
        <f ca="1">IF(PaymentSchedule3[[#This Row],[Payment Number]]&lt;&gt;"",IF(PaymentSchedule3[[#This Row],[Scheduled Payment]]+PaymentSchedule3[[#This Row],[Extra
Payment]]&lt;=PaymentSchedule3[[#This Row],[Beginning
Balance]],PaymentSchedule3[[#This Row],[Beginning
Balance]]-PaymentSchedule3[[#This Row],[Principal]],0),"")</f>
        <v>224116.06926832642</v>
      </c>
      <c r="K234" s="25">
        <f ca="1">IF(PaymentSchedule3[[#This Row],[Payment Number]]&lt;&gt;"",SUM(INDEX(PaymentSchedule3[Interest],1,1):PaymentSchedule3[[#This Row],[Interest]]),"")</f>
        <v>401779.42189179064</v>
      </c>
    </row>
    <row r="235" spans="2:11" x14ac:dyDescent="0.3">
      <c r="B235" s="23">
        <f ca="1">IF(LoanIsGood,IF(ROW()-ROW(PaymentSchedule3[[#Headers],[Payment Number]])&gt;ScheduledNumberOfPayments,"",ROW()-ROW(PaymentSchedule3[[#Headers],[Payment Number]])),"")</f>
        <v>222</v>
      </c>
      <c r="C235" s="24">
        <f ca="1">IF(PaymentSchedule3[[#This Row],[Payment Number]]&lt;&gt;"",EOMONTH(LoanStartDate,ROW(PaymentSchedule3[[#This Row],[Payment Number]])-ROW(PaymentSchedule3[[#Headers],[Payment Number]])-2)+DAY(LoanStartDate),"")</f>
        <v>52181</v>
      </c>
      <c r="D235" s="25">
        <f ca="1">IF(PaymentSchedule3[[#This Row],[Payment Number]]&lt;&gt;"",IF(ROW()-ROW(PaymentSchedule3[[#Headers],[Beginning
Balance]])=1,LoanAmount,INDEX(PaymentSchedule3[Ending
Balance],ROW()-ROW(PaymentSchedule3[[#Headers],[Beginning
Balance]])-1)),"")</f>
        <v>224116.06926832642</v>
      </c>
      <c r="E235" s="25">
        <f ca="1">IF(PaymentSchedule3[[#This Row],[Payment Number]]&lt;&gt;"",ScheduledPayment,"")</f>
        <v>2387.6169801966716</v>
      </c>
      <c r="F2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5" s="25">
        <f ca="1">IF(PaymentSchedule3[[#This Row],[Payment Number]]&lt;&gt;"",PaymentSchedule3[[#This Row],[Total
Payment]]-PaymentSchedule3[[#This Row],[Interest]],"")</f>
        <v>1033.5823950338663</v>
      </c>
      <c r="I235" s="25">
        <f ca="1">IF(PaymentSchedule3[[#This Row],[Payment Number]]&lt;&gt;"",PaymentSchedule3[[#This Row],[Beginning
Balance]]*(InterestRate/PaymentsPerYear),"")</f>
        <v>1354.0345851628053</v>
      </c>
      <c r="J235" s="25">
        <f ca="1">IF(PaymentSchedule3[[#This Row],[Payment Number]]&lt;&gt;"",IF(PaymentSchedule3[[#This Row],[Scheduled Payment]]+PaymentSchedule3[[#This Row],[Extra
Payment]]&lt;=PaymentSchedule3[[#This Row],[Beginning
Balance]],PaymentSchedule3[[#This Row],[Beginning
Balance]]-PaymentSchedule3[[#This Row],[Principal]],0),"")</f>
        <v>223082.48687329257</v>
      </c>
      <c r="K235" s="25">
        <f ca="1">IF(PaymentSchedule3[[#This Row],[Payment Number]]&lt;&gt;"",SUM(INDEX(PaymentSchedule3[Interest],1,1):PaymentSchedule3[[#This Row],[Interest]]),"")</f>
        <v>403133.45647695346</v>
      </c>
    </row>
    <row r="236" spans="2:11" x14ac:dyDescent="0.3">
      <c r="B236" s="23">
        <f ca="1">IF(LoanIsGood,IF(ROW()-ROW(PaymentSchedule3[[#Headers],[Payment Number]])&gt;ScheduledNumberOfPayments,"",ROW()-ROW(PaymentSchedule3[[#Headers],[Payment Number]])),"")</f>
        <v>223</v>
      </c>
      <c r="C236" s="24">
        <f ca="1">IF(PaymentSchedule3[[#This Row],[Payment Number]]&lt;&gt;"",EOMONTH(LoanStartDate,ROW(PaymentSchedule3[[#This Row],[Payment Number]])-ROW(PaymentSchedule3[[#Headers],[Payment Number]])-2)+DAY(LoanStartDate),"")</f>
        <v>52211</v>
      </c>
      <c r="D236" s="25">
        <f ca="1">IF(PaymentSchedule3[[#This Row],[Payment Number]]&lt;&gt;"",IF(ROW()-ROW(PaymentSchedule3[[#Headers],[Beginning
Balance]])=1,LoanAmount,INDEX(PaymentSchedule3[Ending
Balance],ROW()-ROW(PaymentSchedule3[[#Headers],[Beginning
Balance]])-1)),"")</f>
        <v>223082.48687329257</v>
      </c>
      <c r="E236" s="25">
        <f ca="1">IF(PaymentSchedule3[[#This Row],[Payment Number]]&lt;&gt;"",ScheduledPayment,"")</f>
        <v>2387.6169801966716</v>
      </c>
      <c r="F2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6" s="25">
        <f ca="1">IF(PaymentSchedule3[[#This Row],[Payment Number]]&lt;&gt;"",PaymentSchedule3[[#This Row],[Total
Payment]]-PaymentSchedule3[[#This Row],[Interest]],"")</f>
        <v>1039.8269553371958</v>
      </c>
      <c r="I236" s="25">
        <f ca="1">IF(PaymentSchedule3[[#This Row],[Payment Number]]&lt;&gt;"",PaymentSchedule3[[#This Row],[Beginning
Balance]]*(InterestRate/PaymentsPerYear),"")</f>
        <v>1347.7900248594758</v>
      </c>
      <c r="J236" s="25">
        <f ca="1">IF(PaymentSchedule3[[#This Row],[Payment Number]]&lt;&gt;"",IF(PaymentSchedule3[[#This Row],[Scheduled Payment]]+PaymentSchedule3[[#This Row],[Extra
Payment]]&lt;=PaymentSchedule3[[#This Row],[Beginning
Balance]],PaymentSchedule3[[#This Row],[Beginning
Balance]]-PaymentSchedule3[[#This Row],[Principal]],0),"")</f>
        <v>222042.65991795537</v>
      </c>
      <c r="K236" s="25">
        <f ca="1">IF(PaymentSchedule3[[#This Row],[Payment Number]]&lt;&gt;"",SUM(INDEX(PaymentSchedule3[Interest],1,1):PaymentSchedule3[[#This Row],[Interest]]),"")</f>
        <v>404481.24650181294</v>
      </c>
    </row>
    <row r="237" spans="2:11" x14ac:dyDescent="0.3">
      <c r="B237" s="23">
        <f ca="1">IF(LoanIsGood,IF(ROW()-ROW(PaymentSchedule3[[#Headers],[Payment Number]])&gt;ScheduledNumberOfPayments,"",ROW()-ROW(PaymentSchedule3[[#Headers],[Payment Number]])),"")</f>
        <v>224</v>
      </c>
      <c r="C237" s="24">
        <f ca="1">IF(PaymentSchedule3[[#This Row],[Payment Number]]&lt;&gt;"",EOMONTH(LoanStartDate,ROW(PaymentSchedule3[[#This Row],[Payment Number]])-ROW(PaymentSchedule3[[#Headers],[Payment Number]])-2)+DAY(LoanStartDate),"")</f>
        <v>52242</v>
      </c>
      <c r="D237" s="25">
        <f ca="1">IF(PaymentSchedule3[[#This Row],[Payment Number]]&lt;&gt;"",IF(ROW()-ROW(PaymentSchedule3[[#Headers],[Beginning
Balance]])=1,LoanAmount,INDEX(PaymentSchedule3[Ending
Balance],ROW()-ROW(PaymentSchedule3[[#Headers],[Beginning
Balance]])-1)),"")</f>
        <v>222042.65991795537</v>
      </c>
      <c r="E237" s="25">
        <f ca="1">IF(PaymentSchedule3[[#This Row],[Payment Number]]&lt;&gt;"",ScheduledPayment,"")</f>
        <v>2387.6169801966716</v>
      </c>
      <c r="F2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7" s="25">
        <f ca="1">IF(PaymentSchedule3[[#This Row],[Payment Number]]&lt;&gt;"",PaymentSchedule3[[#This Row],[Total
Payment]]-PaymentSchedule3[[#This Row],[Interest]],"")</f>
        <v>1046.109243192358</v>
      </c>
      <c r="I237" s="25">
        <f ca="1">IF(PaymentSchedule3[[#This Row],[Payment Number]]&lt;&gt;"",PaymentSchedule3[[#This Row],[Beginning
Balance]]*(InterestRate/PaymentsPerYear),"")</f>
        <v>1341.5077370043136</v>
      </c>
      <c r="J237" s="25">
        <f ca="1">IF(PaymentSchedule3[[#This Row],[Payment Number]]&lt;&gt;"",IF(PaymentSchedule3[[#This Row],[Scheduled Payment]]+PaymentSchedule3[[#This Row],[Extra
Payment]]&lt;=PaymentSchedule3[[#This Row],[Beginning
Balance]],PaymentSchedule3[[#This Row],[Beginning
Balance]]-PaymentSchedule3[[#This Row],[Principal]],0),"")</f>
        <v>220996.55067476301</v>
      </c>
      <c r="K237" s="25">
        <f ca="1">IF(PaymentSchedule3[[#This Row],[Payment Number]]&lt;&gt;"",SUM(INDEX(PaymentSchedule3[Interest],1,1):PaymentSchedule3[[#This Row],[Interest]]),"")</f>
        <v>405822.75423881726</v>
      </c>
    </row>
    <row r="238" spans="2:11" x14ac:dyDescent="0.3">
      <c r="B238" s="23">
        <f ca="1">IF(LoanIsGood,IF(ROW()-ROW(PaymentSchedule3[[#Headers],[Payment Number]])&gt;ScheduledNumberOfPayments,"",ROW()-ROW(PaymentSchedule3[[#Headers],[Payment Number]])),"")</f>
        <v>225</v>
      </c>
      <c r="C238" s="24">
        <f ca="1">IF(PaymentSchedule3[[#This Row],[Payment Number]]&lt;&gt;"",EOMONTH(LoanStartDate,ROW(PaymentSchedule3[[#This Row],[Payment Number]])-ROW(PaymentSchedule3[[#Headers],[Payment Number]])-2)+DAY(LoanStartDate),"")</f>
        <v>52273</v>
      </c>
      <c r="D238" s="25">
        <f ca="1">IF(PaymentSchedule3[[#This Row],[Payment Number]]&lt;&gt;"",IF(ROW()-ROW(PaymentSchedule3[[#Headers],[Beginning
Balance]])=1,LoanAmount,INDEX(PaymentSchedule3[Ending
Balance],ROW()-ROW(PaymentSchedule3[[#Headers],[Beginning
Balance]])-1)),"")</f>
        <v>220996.55067476301</v>
      </c>
      <c r="E238" s="25">
        <f ca="1">IF(PaymentSchedule3[[#This Row],[Payment Number]]&lt;&gt;"",ScheduledPayment,"")</f>
        <v>2387.6169801966716</v>
      </c>
      <c r="F2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8" s="25">
        <f ca="1">IF(PaymentSchedule3[[#This Row],[Payment Number]]&lt;&gt;"",PaymentSchedule3[[#This Row],[Total
Payment]]-PaymentSchedule3[[#This Row],[Interest]],"")</f>
        <v>1052.4294865366451</v>
      </c>
      <c r="I238" s="25">
        <f ca="1">IF(PaymentSchedule3[[#This Row],[Payment Number]]&lt;&gt;"",PaymentSchedule3[[#This Row],[Beginning
Balance]]*(InterestRate/PaymentsPerYear),"")</f>
        <v>1335.1874936600266</v>
      </c>
      <c r="J238" s="25">
        <f ca="1">IF(PaymentSchedule3[[#This Row],[Payment Number]]&lt;&gt;"",IF(PaymentSchedule3[[#This Row],[Scheduled Payment]]+PaymentSchedule3[[#This Row],[Extra
Payment]]&lt;=PaymentSchedule3[[#This Row],[Beginning
Balance]],PaymentSchedule3[[#This Row],[Beginning
Balance]]-PaymentSchedule3[[#This Row],[Principal]],0),"")</f>
        <v>219944.12118822636</v>
      </c>
      <c r="K238" s="25">
        <f ca="1">IF(PaymentSchedule3[[#This Row],[Payment Number]]&lt;&gt;"",SUM(INDEX(PaymentSchedule3[Interest],1,1):PaymentSchedule3[[#This Row],[Interest]]),"")</f>
        <v>407157.94173247728</v>
      </c>
    </row>
    <row r="239" spans="2:11" x14ac:dyDescent="0.3">
      <c r="B239" s="23">
        <f ca="1">IF(LoanIsGood,IF(ROW()-ROW(PaymentSchedule3[[#Headers],[Payment Number]])&gt;ScheduledNumberOfPayments,"",ROW()-ROW(PaymentSchedule3[[#Headers],[Payment Number]])),"")</f>
        <v>226</v>
      </c>
      <c r="C239" s="24">
        <f ca="1">IF(PaymentSchedule3[[#This Row],[Payment Number]]&lt;&gt;"",EOMONTH(LoanStartDate,ROW(PaymentSchedule3[[#This Row],[Payment Number]])-ROW(PaymentSchedule3[[#Headers],[Payment Number]])-2)+DAY(LoanStartDate),"")</f>
        <v>52301</v>
      </c>
      <c r="D239" s="25">
        <f ca="1">IF(PaymentSchedule3[[#This Row],[Payment Number]]&lt;&gt;"",IF(ROW()-ROW(PaymentSchedule3[[#Headers],[Beginning
Balance]])=1,LoanAmount,INDEX(PaymentSchedule3[Ending
Balance],ROW()-ROW(PaymentSchedule3[[#Headers],[Beginning
Balance]])-1)),"")</f>
        <v>219944.12118822636</v>
      </c>
      <c r="E239" s="25">
        <f ca="1">IF(PaymentSchedule3[[#This Row],[Payment Number]]&lt;&gt;"",ScheduledPayment,"")</f>
        <v>2387.6169801966716</v>
      </c>
      <c r="F2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39" s="25">
        <f ca="1">IF(PaymentSchedule3[[#This Row],[Payment Number]]&lt;&gt;"",PaymentSchedule3[[#This Row],[Total
Payment]]-PaymentSchedule3[[#This Row],[Interest]],"")</f>
        <v>1058.7879146844707</v>
      </c>
      <c r="I239" s="25">
        <f ca="1">IF(PaymentSchedule3[[#This Row],[Payment Number]]&lt;&gt;"",PaymentSchedule3[[#This Row],[Beginning
Balance]]*(InterestRate/PaymentsPerYear),"")</f>
        <v>1328.8290655122009</v>
      </c>
      <c r="J239" s="25">
        <f ca="1">IF(PaymentSchedule3[[#This Row],[Payment Number]]&lt;&gt;"",IF(PaymentSchedule3[[#This Row],[Scheduled Payment]]+PaymentSchedule3[[#This Row],[Extra
Payment]]&lt;=PaymentSchedule3[[#This Row],[Beginning
Balance]],PaymentSchedule3[[#This Row],[Beginning
Balance]]-PaymentSchedule3[[#This Row],[Principal]],0),"")</f>
        <v>218885.33327354188</v>
      </c>
      <c r="K239" s="25">
        <f ca="1">IF(PaymentSchedule3[[#This Row],[Payment Number]]&lt;&gt;"",SUM(INDEX(PaymentSchedule3[Interest],1,1):PaymentSchedule3[[#This Row],[Interest]]),"")</f>
        <v>408486.77079798951</v>
      </c>
    </row>
    <row r="240" spans="2:11" x14ac:dyDescent="0.3">
      <c r="B240" s="23">
        <f ca="1">IF(LoanIsGood,IF(ROW()-ROW(PaymentSchedule3[[#Headers],[Payment Number]])&gt;ScheduledNumberOfPayments,"",ROW()-ROW(PaymentSchedule3[[#Headers],[Payment Number]])),"")</f>
        <v>227</v>
      </c>
      <c r="C240" s="24">
        <f ca="1">IF(PaymentSchedule3[[#This Row],[Payment Number]]&lt;&gt;"",EOMONTH(LoanStartDate,ROW(PaymentSchedule3[[#This Row],[Payment Number]])-ROW(PaymentSchedule3[[#Headers],[Payment Number]])-2)+DAY(LoanStartDate),"")</f>
        <v>52332</v>
      </c>
      <c r="D240" s="25">
        <f ca="1">IF(PaymentSchedule3[[#This Row],[Payment Number]]&lt;&gt;"",IF(ROW()-ROW(PaymentSchedule3[[#Headers],[Beginning
Balance]])=1,LoanAmount,INDEX(PaymentSchedule3[Ending
Balance],ROW()-ROW(PaymentSchedule3[[#Headers],[Beginning
Balance]])-1)),"")</f>
        <v>218885.33327354188</v>
      </c>
      <c r="E240" s="25">
        <f ca="1">IF(PaymentSchedule3[[#This Row],[Payment Number]]&lt;&gt;"",ScheduledPayment,"")</f>
        <v>2387.6169801966716</v>
      </c>
      <c r="F2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0" s="25">
        <f ca="1">IF(PaymentSchedule3[[#This Row],[Payment Number]]&lt;&gt;"",PaymentSchedule3[[#This Row],[Total
Payment]]-PaymentSchedule3[[#This Row],[Interest]],"")</f>
        <v>1065.1847583356894</v>
      </c>
      <c r="I240" s="25">
        <f ca="1">IF(PaymentSchedule3[[#This Row],[Payment Number]]&lt;&gt;"",PaymentSchedule3[[#This Row],[Beginning
Balance]]*(InterestRate/PaymentsPerYear),"")</f>
        <v>1322.4322218609823</v>
      </c>
      <c r="J240" s="25">
        <f ca="1">IF(PaymentSchedule3[[#This Row],[Payment Number]]&lt;&gt;"",IF(PaymentSchedule3[[#This Row],[Scheduled Payment]]+PaymentSchedule3[[#This Row],[Extra
Payment]]&lt;=PaymentSchedule3[[#This Row],[Beginning
Balance]],PaymentSchedule3[[#This Row],[Beginning
Balance]]-PaymentSchedule3[[#This Row],[Principal]],0),"")</f>
        <v>217820.14851520618</v>
      </c>
      <c r="K240" s="25">
        <f ca="1">IF(PaymentSchedule3[[#This Row],[Payment Number]]&lt;&gt;"",SUM(INDEX(PaymentSchedule3[Interest],1,1):PaymentSchedule3[[#This Row],[Interest]]),"")</f>
        <v>409809.20301985048</v>
      </c>
    </row>
    <row r="241" spans="2:11" x14ac:dyDescent="0.3">
      <c r="B241" s="23">
        <f ca="1">IF(LoanIsGood,IF(ROW()-ROW(PaymentSchedule3[[#Headers],[Payment Number]])&gt;ScheduledNumberOfPayments,"",ROW()-ROW(PaymentSchedule3[[#Headers],[Payment Number]])),"")</f>
        <v>228</v>
      </c>
      <c r="C241" s="24">
        <f ca="1">IF(PaymentSchedule3[[#This Row],[Payment Number]]&lt;&gt;"",EOMONTH(LoanStartDate,ROW(PaymentSchedule3[[#This Row],[Payment Number]])-ROW(PaymentSchedule3[[#Headers],[Payment Number]])-2)+DAY(LoanStartDate),"")</f>
        <v>52362</v>
      </c>
      <c r="D241" s="25">
        <f ca="1">IF(PaymentSchedule3[[#This Row],[Payment Number]]&lt;&gt;"",IF(ROW()-ROW(PaymentSchedule3[[#Headers],[Beginning
Balance]])=1,LoanAmount,INDEX(PaymentSchedule3[Ending
Balance],ROW()-ROW(PaymentSchedule3[[#Headers],[Beginning
Balance]])-1)),"")</f>
        <v>217820.14851520618</v>
      </c>
      <c r="E241" s="25">
        <f ca="1">IF(PaymentSchedule3[[#This Row],[Payment Number]]&lt;&gt;"",ScheduledPayment,"")</f>
        <v>2387.6169801966716</v>
      </c>
      <c r="F2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1" s="25">
        <f ca="1">IF(PaymentSchedule3[[#This Row],[Payment Number]]&lt;&gt;"",PaymentSchedule3[[#This Row],[Total
Payment]]-PaymentSchedule3[[#This Row],[Interest]],"")</f>
        <v>1071.6202495839677</v>
      </c>
      <c r="I241" s="25">
        <f ca="1">IF(PaymentSchedule3[[#This Row],[Payment Number]]&lt;&gt;"",PaymentSchedule3[[#This Row],[Beginning
Balance]]*(InterestRate/PaymentsPerYear),"")</f>
        <v>1315.9967306127039</v>
      </c>
      <c r="J241" s="25">
        <f ca="1">IF(PaymentSchedule3[[#This Row],[Payment Number]]&lt;&gt;"",IF(PaymentSchedule3[[#This Row],[Scheduled Payment]]+PaymentSchedule3[[#This Row],[Extra
Payment]]&lt;=PaymentSchedule3[[#This Row],[Beginning
Balance]],PaymentSchedule3[[#This Row],[Beginning
Balance]]-PaymentSchedule3[[#This Row],[Principal]],0),"")</f>
        <v>216748.52826562221</v>
      </c>
      <c r="K241" s="25">
        <f ca="1">IF(PaymentSchedule3[[#This Row],[Payment Number]]&lt;&gt;"",SUM(INDEX(PaymentSchedule3[Interest],1,1):PaymentSchedule3[[#This Row],[Interest]]),"")</f>
        <v>411125.19975046319</v>
      </c>
    </row>
    <row r="242" spans="2:11" x14ac:dyDescent="0.3">
      <c r="B242" s="23">
        <f ca="1">IF(LoanIsGood,IF(ROW()-ROW(PaymentSchedule3[[#Headers],[Payment Number]])&gt;ScheduledNumberOfPayments,"",ROW()-ROW(PaymentSchedule3[[#Headers],[Payment Number]])),"")</f>
        <v>229</v>
      </c>
      <c r="C242" s="24">
        <f ca="1">IF(PaymentSchedule3[[#This Row],[Payment Number]]&lt;&gt;"",EOMONTH(LoanStartDate,ROW(PaymentSchedule3[[#This Row],[Payment Number]])-ROW(PaymentSchedule3[[#Headers],[Payment Number]])-2)+DAY(LoanStartDate),"")</f>
        <v>52393</v>
      </c>
      <c r="D242" s="25">
        <f ca="1">IF(PaymentSchedule3[[#This Row],[Payment Number]]&lt;&gt;"",IF(ROW()-ROW(PaymentSchedule3[[#Headers],[Beginning
Balance]])=1,LoanAmount,INDEX(PaymentSchedule3[Ending
Balance],ROW()-ROW(PaymentSchedule3[[#Headers],[Beginning
Balance]])-1)),"")</f>
        <v>216748.52826562221</v>
      </c>
      <c r="E242" s="25">
        <f ca="1">IF(PaymentSchedule3[[#This Row],[Payment Number]]&lt;&gt;"",ScheduledPayment,"")</f>
        <v>2387.6169801966716</v>
      </c>
      <c r="F2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2" s="25">
        <f ca="1">IF(PaymentSchedule3[[#This Row],[Payment Number]]&lt;&gt;"",PaymentSchedule3[[#This Row],[Total
Payment]]-PaymentSchedule3[[#This Row],[Interest]],"")</f>
        <v>1078.0946219252041</v>
      </c>
      <c r="I242" s="25">
        <f ca="1">IF(PaymentSchedule3[[#This Row],[Payment Number]]&lt;&gt;"",PaymentSchedule3[[#This Row],[Beginning
Balance]]*(InterestRate/PaymentsPerYear),"")</f>
        <v>1309.5223582714675</v>
      </c>
      <c r="J242" s="25">
        <f ca="1">IF(PaymentSchedule3[[#This Row],[Payment Number]]&lt;&gt;"",IF(PaymentSchedule3[[#This Row],[Scheduled Payment]]+PaymentSchedule3[[#This Row],[Extra
Payment]]&lt;=PaymentSchedule3[[#This Row],[Beginning
Balance]],PaymentSchedule3[[#This Row],[Beginning
Balance]]-PaymentSchedule3[[#This Row],[Principal]],0),"")</f>
        <v>215670.433643697</v>
      </c>
      <c r="K242" s="25">
        <f ca="1">IF(PaymentSchedule3[[#This Row],[Payment Number]]&lt;&gt;"",SUM(INDEX(PaymentSchedule3[Interest],1,1):PaymentSchedule3[[#This Row],[Interest]]),"")</f>
        <v>412434.72210873466</v>
      </c>
    </row>
    <row r="243" spans="2:11" x14ac:dyDescent="0.3">
      <c r="B243" s="23">
        <f ca="1">IF(LoanIsGood,IF(ROW()-ROW(PaymentSchedule3[[#Headers],[Payment Number]])&gt;ScheduledNumberOfPayments,"",ROW()-ROW(PaymentSchedule3[[#Headers],[Payment Number]])),"")</f>
        <v>230</v>
      </c>
      <c r="C243" s="24">
        <f ca="1">IF(PaymentSchedule3[[#This Row],[Payment Number]]&lt;&gt;"",EOMONTH(LoanStartDate,ROW(PaymentSchedule3[[#This Row],[Payment Number]])-ROW(PaymentSchedule3[[#Headers],[Payment Number]])-2)+DAY(LoanStartDate),"")</f>
        <v>52423</v>
      </c>
      <c r="D243" s="25">
        <f ca="1">IF(PaymentSchedule3[[#This Row],[Payment Number]]&lt;&gt;"",IF(ROW()-ROW(PaymentSchedule3[[#Headers],[Beginning
Balance]])=1,LoanAmount,INDEX(PaymentSchedule3[Ending
Balance],ROW()-ROW(PaymentSchedule3[[#Headers],[Beginning
Balance]])-1)),"")</f>
        <v>215670.433643697</v>
      </c>
      <c r="E243" s="25">
        <f ca="1">IF(PaymentSchedule3[[#This Row],[Payment Number]]&lt;&gt;"",ScheduledPayment,"")</f>
        <v>2387.6169801966716</v>
      </c>
      <c r="F2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3" s="25">
        <f ca="1">IF(PaymentSchedule3[[#This Row],[Payment Number]]&lt;&gt;"",PaymentSchedule3[[#This Row],[Total
Payment]]-PaymentSchedule3[[#This Row],[Interest]],"")</f>
        <v>1084.6081102660023</v>
      </c>
      <c r="I243" s="25">
        <f ca="1">IF(PaymentSchedule3[[#This Row],[Payment Number]]&lt;&gt;"",PaymentSchedule3[[#This Row],[Beginning
Balance]]*(InterestRate/PaymentsPerYear),"")</f>
        <v>1303.0088699306693</v>
      </c>
      <c r="J243" s="25">
        <f ca="1">IF(PaymentSchedule3[[#This Row],[Payment Number]]&lt;&gt;"",IF(PaymentSchedule3[[#This Row],[Scheduled Payment]]+PaymentSchedule3[[#This Row],[Extra
Payment]]&lt;=PaymentSchedule3[[#This Row],[Beginning
Balance]],PaymentSchedule3[[#This Row],[Beginning
Balance]]-PaymentSchedule3[[#This Row],[Principal]],0),"")</f>
        <v>214585.82553343099</v>
      </c>
      <c r="K243" s="25">
        <f ca="1">IF(PaymentSchedule3[[#This Row],[Payment Number]]&lt;&gt;"",SUM(INDEX(PaymentSchedule3[Interest],1,1):PaymentSchedule3[[#This Row],[Interest]]),"")</f>
        <v>413737.73097866535</v>
      </c>
    </row>
    <row r="244" spans="2:11" x14ac:dyDescent="0.3">
      <c r="B244" s="23">
        <f ca="1">IF(LoanIsGood,IF(ROW()-ROW(PaymentSchedule3[[#Headers],[Payment Number]])&gt;ScheduledNumberOfPayments,"",ROW()-ROW(PaymentSchedule3[[#Headers],[Payment Number]])),"")</f>
        <v>231</v>
      </c>
      <c r="C244" s="24">
        <f ca="1">IF(PaymentSchedule3[[#This Row],[Payment Number]]&lt;&gt;"",EOMONTH(LoanStartDate,ROW(PaymentSchedule3[[#This Row],[Payment Number]])-ROW(PaymentSchedule3[[#Headers],[Payment Number]])-2)+DAY(LoanStartDate),"")</f>
        <v>52454</v>
      </c>
      <c r="D244" s="25">
        <f ca="1">IF(PaymentSchedule3[[#This Row],[Payment Number]]&lt;&gt;"",IF(ROW()-ROW(PaymentSchedule3[[#Headers],[Beginning
Balance]])=1,LoanAmount,INDEX(PaymentSchedule3[Ending
Balance],ROW()-ROW(PaymentSchedule3[[#Headers],[Beginning
Balance]])-1)),"")</f>
        <v>214585.82553343099</v>
      </c>
      <c r="E244" s="25">
        <f ca="1">IF(PaymentSchedule3[[#This Row],[Payment Number]]&lt;&gt;"",ScheduledPayment,"")</f>
        <v>2387.6169801966716</v>
      </c>
      <c r="F2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4" s="25">
        <f ca="1">IF(PaymentSchedule3[[#This Row],[Payment Number]]&lt;&gt;"",PaymentSchedule3[[#This Row],[Total
Payment]]-PaymentSchedule3[[#This Row],[Interest]],"")</f>
        <v>1091.1609509321927</v>
      </c>
      <c r="I244" s="25">
        <f ca="1">IF(PaymentSchedule3[[#This Row],[Payment Number]]&lt;&gt;"",PaymentSchedule3[[#This Row],[Beginning
Balance]]*(InterestRate/PaymentsPerYear),"")</f>
        <v>1296.456029264479</v>
      </c>
      <c r="J244" s="25">
        <f ca="1">IF(PaymentSchedule3[[#This Row],[Payment Number]]&lt;&gt;"",IF(PaymentSchedule3[[#This Row],[Scheduled Payment]]+PaymentSchedule3[[#This Row],[Extra
Payment]]&lt;=PaymentSchedule3[[#This Row],[Beginning
Balance]],PaymentSchedule3[[#This Row],[Beginning
Balance]]-PaymentSchedule3[[#This Row],[Principal]],0),"")</f>
        <v>213494.66458249881</v>
      </c>
      <c r="K244" s="25">
        <f ca="1">IF(PaymentSchedule3[[#This Row],[Payment Number]]&lt;&gt;"",SUM(INDEX(PaymentSchedule3[Interest],1,1):PaymentSchedule3[[#This Row],[Interest]]),"")</f>
        <v>415034.18700792984</v>
      </c>
    </row>
    <row r="245" spans="2:11" x14ac:dyDescent="0.3">
      <c r="B245" s="23">
        <f ca="1">IF(LoanIsGood,IF(ROW()-ROW(PaymentSchedule3[[#Headers],[Payment Number]])&gt;ScheduledNumberOfPayments,"",ROW()-ROW(PaymentSchedule3[[#Headers],[Payment Number]])),"")</f>
        <v>232</v>
      </c>
      <c r="C245" s="24">
        <f ca="1">IF(PaymentSchedule3[[#This Row],[Payment Number]]&lt;&gt;"",EOMONTH(LoanStartDate,ROW(PaymentSchedule3[[#This Row],[Payment Number]])-ROW(PaymentSchedule3[[#Headers],[Payment Number]])-2)+DAY(LoanStartDate),"")</f>
        <v>52485</v>
      </c>
      <c r="D245" s="25">
        <f ca="1">IF(PaymentSchedule3[[#This Row],[Payment Number]]&lt;&gt;"",IF(ROW()-ROW(PaymentSchedule3[[#Headers],[Beginning
Balance]])=1,LoanAmount,INDEX(PaymentSchedule3[Ending
Balance],ROW()-ROW(PaymentSchedule3[[#Headers],[Beginning
Balance]])-1)),"")</f>
        <v>213494.66458249881</v>
      </c>
      <c r="E245" s="25">
        <f ca="1">IF(PaymentSchedule3[[#This Row],[Payment Number]]&lt;&gt;"",ScheduledPayment,"")</f>
        <v>2387.6169801966716</v>
      </c>
      <c r="F2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5" s="25">
        <f ca="1">IF(PaymentSchedule3[[#This Row],[Payment Number]]&lt;&gt;"",PaymentSchedule3[[#This Row],[Total
Payment]]-PaymentSchedule3[[#This Row],[Interest]],"")</f>
        <v>1097.753381677408</v>
      </c>
      <c r="I245" s="25">
        <f ca="1">IF(PaymentSchedule3[[#This Row],[Payment Number]]&lt;&gt;"",PaymentSchedule3[[#This Row],[Beginning
Balance]]*(InterestRate/PaymentsPerYear),"")</f>
        <v>1289.8635985192636</v>
      </c>
      <c r="J245" s="25">
        <f ca="1">IF(PaymentSchedule3[[#This Row],[Payment Number]]&lt;&gt;"",IF(PaymentSchedule3[[#This Row],[Scheduled Payment]]+PaymentSchedule3[[#This Row],[Extra
Payment]]&lt;=PaymentSchedule3[[#This Row],[Beginning
Balance]],PaymentSchedule3[[#This Row],[Beginning
Balance]]-PaymentSchedule3[[#This Row],[Principal]],0),"")</f>
        <v>212396.9112008214</v>
      </c>
      <c r="K245" s="25">
        <f ca="1">IF(PaymentSchedule3[[#This Row],[Payment Number]]&lt;&gt;"",SUM(INDEX(PaymentSchedule3[Interest],1,1):PaymentSchedule3[[#This Row],[Interest]]),"")</f>
        <v>416324.05060644908</v>
      </c>
    </row>
    <row r="246" spans="2:11" x14ac:dyDescent="0.3">
      <c r="B246" s="23">
        <f ca="1">IF(LoanIsGood,IF(ROW()-ROW(PaymentSchedule3[[#Headers],[Payment Number]])&gt;ScheduledNumberOfPayments,"",ROW()-ROW(PaymentSchedule3[[#Headers],[Payment Number]])),"")</f>
        <v>233</v>
      </c>
      <c r="C246" s="24">
        <f ca="1">IF(PaymentSchedule3[[#This Row],[Payment Number]]&lt;&gt;"",EOMONTH(LoanStartDate,ROW(PaymentSchedule3[[#This Row],[Payment Number]])-ROW(PaymentSchedule3[[#Headers],[Payment Number]])-2)+DAY(LoanStartDate),"")</f>
        <v>52515</v>
      </c>
      <c r="D246" s="25">
        <f ca="1">IF(PaymentSchedule3[[#This Row],[Payment Number]]&lt;&gt;"",IF(ROW()-ROW(PaymentSchedule3[[#Headers],[Beginning
Balance]])=1,LoanAmount,INDEX(PaymentSchedule3[Ending
Balance],ROW()-ROW(PaymentSchedule3[[#Headers],[Beginning
Balance]])-1)),"")</f>
        <v>212396.9112008214</v>
      </c>
      <c r="E246" s="25">
        <f ca="1">IF(PaymentSchedule3[[#This Row],[Payment Number]]&lt;&gt;"",ScheduledPayment,"")</f>
        <v>2387.6169801966716</v>
      </c>
      <c r="F2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6" s="25">
        <f ca="1">IF(PaymentSchedule3[[#This Row],[Payment Number]]&lt;&gt;"",PaymentSchedule3[[#This Row],[Total
Payment]]-PaymentSchedule3[[#This Row],[Interest]],"")</f>
        <v>1104.385641691709</v>
      </c>
      <c r="I246" s="25">
        <f ca="1">IF(PaymentSchedule3[[#This Row],[Payment Number]]&lt;&gt;"",PaymentSchedule3[[#This Row],[Beginning
Balance]]*(InterestRate/PaymentsPerYear),"")</f>
        <v>1283.2313385049627</v>
      </c>
      <c r="J246" s="25">
        <f ca="1">IF(PaymentSchedule3[[#This Row],[Payment Number]]&lt;&gt;"",IF(PaymentSchedule3[[#This Row],[Scheduled Payment]]+PaymentSchedule3[[#This Row],[Extra
Payment]]&lt;=PaymentSchedule3[[#This Row],[Beginning
Balance]],PaymentSchedule3[[#This Row],[Beginning
Balance]]-PaymentSchedule3[[#This Row],[Principal]],0),"")</f>
        <v>211292.52555912969</v>
      </c>
      <c r="K246" s="25">
        <f ca="1">IF(PaymentSchedule3[[#This Row],[Payment Number]]&lt;&gt;"",SUM(INDEX(PaymentSchedule3[Interest],1,1):PaymentSchedule3[[#This Row],[Interest]]),"")</f>
        <v>417607.28194495401</v>
      </c>
    </row>
    <row r="247" spans="2:11" x14ac:dyDescent="0.3">
      <c r="B247" s="23">
        <f ca="1">IF(LoanIsGood,IF(ROW()-ROW(PaymentSchedule3[[#Headers],[Payment Number]])&gt;ScheduledNumberOfPayments,"",ROW()-ROW(PaymentSchedule3[[#Headers],[Payment Number]])),"")</f>
        <v>234</v>
      </c>
      <c r="C247" s="24">
        <f ca="1">IF(PaymentSchedule3[[#This Row],[Payment Number]]&lt;&gt;"",EOMONTH(LoanStartDate,ROW(PaymentSchedule3[[#This Row],[Payment Number]])-ROW(PaymentSchedule3[[#Headers],[Payment Number]])-2)+DAY(LoanStartDate),"")</f>
        <v>52546</v>
      </c>
      <c r="D247" s="25">
        <f ca="1">IF(PaymentSchedule3[[#This Row],[Payment Number]]&lt;&gt;"",IF(ROW()-ROW(PaymentSchedule3[[#Headers],[Beginning
Balance]])=1,LoanAmount,INDEX(PaymentSchedule3[Ending
Balance],ROW()-ROW(PaymentSchedule3[[#Headers],[Beginning
Balance]])-1)),"")</f>
        <v>211292.52555912969</v>
      </c>
      <c r="E247" s="25">
        <f ca="1">IF(PaymentSchedule3[[#This Row],[Payment Number]]&lt;&gt;"",ScheduledPayment,"")</f>
        <v>2387.6169801966716</v>
      </c>
      <c r="F2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7" s="25">
        <f ca="1">IF(PaymentSchedule3[[#This Row],[Payment Number]]&lt;&gt;"",PaymentSchedule3[[#This Row],[Total
Payment]]-PaymentSchedule3[[#This Row],[Interest]],"")</f>
        <v>1111.0579716102632</v>
      </c>
      <c r="I247" s="25">
        <f ca="1">IF(PaymentSchedule3[[#This Row],[Payment Number]]&lt;&gt;"",PaymentSchedule3[[#This Row],[Beginning
Balance]]*(InterestRate/PaymentsPerYear),"")</f>
        <v>1276.5590085864085</v>
      </c>
      <c r="J247" s="25">
        <f ca="1">IF(PaymentSchedule3[[#This Row],[Payment Number]]&lt;&gt;"",IF(PaymentSchedule3[[#This Row],[Scheduled Payment]]+PaymentSchedule3[[#This Row],[Extra
Payment]]&lt;=PaymentSchedule3[[#This Row],[Beginning
Balance]],PaymentSchedule3[[#This Row],[Beginning
Balance]]-PaymentSchedule3[[#This Row],[Principal]],0),"")</f>
        <v>210181.46758751944</v>
      </c>
      <c r="K247" s="25">
        <f ca="1">IF(PaymentSchedule3[[#This Row],[Payment Number]]&lt;&gt;"",SUM(INDEX(PaymentSchedule3[Interest],1,1):PaymentSchedule3[[#This Row],[Interest]]),"")</f>
        <v>418883.84095354041</v>
      </c>
    </row>
    <row r="248" spans="2:11" x14ac:dyDescent="0.3">
      <c r="B248" s="23">
        <f ca="1">IF(LoanIsGood,IF(ROW()-ROW(PaymentSchedule3[[#Headers],[Payment Number]])&gt;ScheduledNumberOfPayments,"",ROW()-ROW(PaymentSchedule3[[#Headers],[Payment Number]])),"")</f>
        <v>235</v>
      </c>
      <c r="C248" s="24">
        <f ca="1">IF(PaymentSchedule3[[#This Row],[Payment Number]]&lt;&gt;"",EOMONTH(LoanStartDate,ROW(PaymentSchedule3[[#This Row],[Payment Number]])-ROW(PaymentSchedule3[[#Headers],[Payment Number]])-2)+DAY(LoanStartDate),"")</f>
        <v>52576</v>
      </c>
      <c r="D248" s="25">
        <f ca="1">IF(PaymentSchedule3[[#This Row],[Payment Number]]&lt;&gt;"",IF(ROW()-ROW(PaymentSchedule3[[#Headers],[Beginning
Balance]])=1,LoanAmount,INDEX(PaymentSchedule3[Ending
Balance],ROW()-ROW(PaymentSchedule3[[#Headers],[Beginning
Balance]])-1)),"")</f>
        <v>210181.46758751944</v>
      </c>
      <c r="E248" s="25">
        <f ca="1">IF(PaymentSchedule3[[#This Row],[Payment Number]]&lt;&gt;"",ScheduledPayment,"")</f>
        <v>2387.6169801966716</v>
      </c>
      <c r="F2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8" s="25">
        <f ca="1">IF(PaymentSchedule3[[#This Row],[Payment Number]]&lt;&gt;"",PaymentSchedule3[[#This Row],[Total
Payment]]-PaymentSchedule3[[#This Row],[Interest]],"")</f>
        <v>1117.7706135220751</v>
      </c>
      <c r="I248" s="25">
        <f ca="1">IF(PaymentSchedule3[[#This Row],[Payment Number]]&lt;&gt;"",PaymentSchedule3[[#This Row],[Beginning
Balance]]*(InterestRate/PaymentsPerYear),"")</f>
        <v>1269.8463666745965</v>
      </c>
      <c r="J248" s="25">
        <f ca="1">IF(PaymentSchedule3[[#This Row],[Payment Number]]&lt;&gt;"",IF(PaymentSchedule3[[#This Row],[Scheduled Payment]]+PaymentSchedule3[[#This Row],[Extra
Payment]]&lt;=PaymentSchedule3[[#This Row],[Beginning
Balance]],PaymentSchedule3[[#This Row],[Beginning
Balance]]-PaymentSchedule3[[#This Row],[Principal]],0),"")</f>
        <v>209063.69697399737</v>
      </c>
      <c r="K248" s="25">
        <f ca="1">IF(PaymentSchedule3[[#This Row],[Payment Number]]&lt;&gt;"",SUM(INDEX(PaymentSchedule3[Interest],1,1):PaymentSchedule3[[#This Row],[Interest]]),"")</f>
        <v>420153.68732021499</v>
      </c>
    </row>
    <row r="249" spans="2:11" x14ac:dyDescent="0.3">
      <c r="B249" s="23">
        <f ca="1">IF(LoanIsGood,IF(ROW()-ROW(PaymentSchedule3[[#Headers],[Payment Number]])&gt;ScheduledNumberOfPayments,"",ROW()-ROW(PaymentSchedule3[[#Headers],[Payment Number]])),"")</f>
        <v>236</v>
      </c>
      <c r="C249" s="24">
        <f ca="1">IF(PaymentSchedule3[[#This Row],[Payment Number]]&lt;&gt;"",EOMONTH(LoanStartDate,ROW(PaymentSchedule3[[#This Row],[Payment Number]])-ROW(PaymentSchedule3[[#Headers],[Payment Number]])-2)+DAY(LoanStartDate),"")</f>
        <v>52607</v>
      </c>
      <c r="D249" s="25">
        <f ca="1">IF(PaymentSchedule3[[#This Row],[Payment Number]]&lt;&gt;"",IF(ROW()-ROW(PaymentSchedule3[[#Headers],[Beginning
Balance]])=1,LoanAmount,INDEX(PaymentSchedule3[Ending
Balance],ROW()-ROW(PaymentSchedule3[[#Headers],[Beginning
Balance]])-1)),"")</f>
        <v>209063.69697399737</v>
      </c>
      <c r="E249" s="25">
        <f ca="1">IF(PaymentSchedule3[[#This Row],[Payment Number]]&lt;&gt;"",ScheduledPayment,"")</f>
        <v>2387.6169801966716</v>
      </c>
      <c r="F2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49" s="25">
        <f ca="1">IF(PaymentSchedule3[[#This Row],[Payment Number]]&lt;&gt;"",PaymentSchedule3[[#This Row],[Total
Payment]]-PaymentSchedule3[[#This Row],[Interest]],"")</f>
        <v>1124.5238109787708</v>
      </c>
      <c r="I249" s="25">
        <f ca="1">IF(PaymentSchedule3[[#This Row],[Payment Number]]&lt;&gt;"",PaymentSchedule3[[#This Row],[Beginning
Balance]]*(InterestRate/PaymentsPerYear),"")</f>
        <v>1263.0931692179008</v>
      </c>
      <c r="J249" s="25">
        <f ca="1">IF(PaymentSchedule3[[#This Row],[Payment Number]]&lt;&gt;"",IF(PaymentSchedule3[[#This Row],[Scheduled Payment]]+PaymentSchedule3[[#This Row],[Extra
Payment]]&lt;=PaymentSchedule3[[#This Row],[Beginning
Balance]],PaymentSchedule3[[#This Row],[Beginning
Balance]]-PaymentSchedule3[[#This Row],[Principal]],0),"")</f>
        <v>207939.1731630186</v>
      </c>
      <c r="K249" s="25">
        <f ca="1">IF(PaymentSchedule3[[#This Row],[Payment Number]]&lt;&gt;"",SUM(INDEX(PaymentSchedule3[Interest],1,1):PaymentSchedule3[[#This Row],[Interest]]),"")</f>
        <v>421416.78048943292</v>
      </c>
    </row>
    <row r="250" spans="2:11" x14ac:dyDescent="0.3">
      <c r="B250" s="23">
        <f ca="1">IF(LoanIsGood,IF(ROW()-ROW(PaymentSchedule3[[#Headers],[Payment Number]])&gt;ScheduledNumberOfPayments,"",ROW()-ROW(PaymentSchedule3[[#Headers],[Payment Number]])),"")</f>
        <v>237</v>
      </c>
      <c r="C250" s="24">
        <f ca="1">IF(PaymentSchedule3[[#This Row],[Payment Number]]&lt;&gt;"",EOMONTH(LoanStartDate,ROW(PaymentSchedule3[[#This Row],[Payment Number]])-ROW(PaymentSchedule3[[#Headers],[Payment Number]])-2)+DAY(LoanStartDate),"")</f>
        <v>52638</v>
      </c>
      <c r="D250" s="25">
        <f ca="1">IF(PaymentSchedule3[[#This Row],[Payment Number]]&lt;&gt;"",IF(ROW()-ROW(PaymentSchedule3[[#Headers],[Beginning
Balance]])=1,LoanAmount,INDEX(PaymentSchedule3[Ending
Balance],ROW()-ROW(PaymentSchedule3[[#Headers],[Beginning
Balance]])-1)),"")</f>
        <v>207939.1731630186</v>
      </c>
      <c r="E250" s="25">
        <f ca="1">IF(PaymentSchedule3[[#This Row],[Payment Number]]&lt;&gt;"",ScheduledPayment,"")</f>
        <v>2387.6169801966716</v>
      </c>
      <c r="F2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0" s="25">
        <f ca="1">IF(PaymentSchedule3[[#This Row],[Payment Number]]&lt;&gt;"",PaymentSchedule3[[#This Row],[Total
Payment]]-PaymentSchedule3[[#This Row],[Interest]],"")</f>
        <v>1131.3178090034344</v>
      </c>
      <c r="I250" s="25">
        <f ca="1">IF(PaymentSchedule3[[#This Row],[Payment Number]]&lt;&gt;"",PaymentSchedule3[[#This Row],[Beginning
Balance]]*(InterestRate/PaymentsPerYear),"")</f>
        <v>1256.2991711932373</v>
      </c>
      <c r="J250" s="25">
        <f ca="1">IF(PaymentSchedule3[[#This Row],[Payment Number]]&lt;&gt;"",IF(PaymentSchedule3[[#This Row],[Scheduled Payment]]+PaymentSchedule3[[#This Row],[Extra
Payment]]&lt;=PaymentSchedule3[[#This Row],[Beginning
Balance]],PaymentSchedule3[[#This Row],[Beginning
Balance]]-PaymentSchedule3[[#This Row],[Principal]],0),"")</f>
        <v>206807.85535401516</v>
      </c>
      <c r="K250" s="25">
        <f ca="1">IF(PaymentSchedule3[[#This Row],[Payment Number]]&lt;&gt;"",SUM(INDEX(PaymentSchedule3[Interest],1,1):PaymentSchedule3[[#This Row],[Interest]]),"")</f>
        <v>422673.07966062613</v>
      </c>
    </row>
    <row r="251" spans="2:11" x14ac:dyDescent="0.3">
      <c r="B251" s="23">
        <f ca="1">IF(LoanIsGood,IF(ROW()-ROW(PaymentSchedule3[[#Headers],[Payment Number]])&gt;ScheduledNumberOfPayments,"",ROW()-ROW(PaymentSchedule3[[#Headers],[Payment Number]])),"")</f>
        <v>238</v>
      </c>
      <c r="C251" s="24">
        <f ca="1">IF(PaymentSchedule3[[#This Row],[Payment Number]]&lt;&gt;"",EOMONTH(LoanStartDate,ROW(PaymentSchedule3[[#This Row],[Payment Number]])-ROW(PaymentSchedule3[[#Headers],[Payment Number]])-2)+DAY(LoanStartDate),"")</f>
        <v>52667</v>
      </c>
      <c r="D251" s="25">
        <f ca="1">IF(PaymentSchedule3[[#This Row],[Payment Number]]&lt;&gt;"",IF(ROW()-ROW(PaymentSchedule3[[#Headers],[Beginning
Balance]])=1,LoanAmount,INDEX(PaymentSchedule3[Ending
Balance],ROW()-ROW(PaymentSchedule3[[#Headers],[Beginning
Balance]])-1)),"")</f>
        <v>206807.85535401516</v>
      </c>
      <c r="E251" s="25">
        <f ca="1">IF(PaymentSchedule3[[#This Row],[Payment Number]]&lt;&gt;"",ScheduledPayment,"")</f>
        <v>2387.6169801966716</v>
      </c>
      <c r="F2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1" s="25">
        <f ca="1">IF(PaymentSchedule3[[#This Row],[Payment Number]]&lt;&gt;"",PaymentSchedule3[[#This Row],[Total
Payment]]-PaymentSchedule3[[#This Row],[Interest]],"")</f>
        <v>1138.1528540994968</v>
      </c>
      <c r="I251" s="25">
        <f ca="1">IF(PaymentSchedule3[[#This Row],[Payment Number]]&lt;&gt;"",PaymentSchedule3[[#This Row],[Beginning
Balance]]*(InterestRate/PaymentsPerYear),"")</f>
        <v>1249.4641260971748</v>
      </c>
      <c r="J251" s="25">
        <f ca="1">IF(PaymentSchedule3[[#This Row],[Payment Number]]&lt;&gt;"",IF(PaymentSchedule3[[#This Row],[Scheduled Payment]]+PaymentSchedule3[[#This Row],[Extra
Payment]]&lt;=PaymentSchedule3[[#This Row],[Beginning
Balance]],PaymentSchedule3[[#This Row],[Beginning
Balance]]-PaymentSchedule3[[#This Row],[Principal]],0),"")</f>
        <v>205669.70249991567</v>
      </c>
      <c r="K251" s="25">
        <f ca="1">IF(PaymentSchedule3[[#This Row],[Payment Number]]&lt;&gt;"",SUM(INDEX(PaymentSchedule3[Interest],1,1):PaymentSchedule3[[#This Row],[Interest]]),"")</f>
        <v>423922.54378672328</v>
      </c>
    </row>
    <row r="252" spans="2:11" x14ac:dyDescent="0.3">
      <c r="B252" s="23">
        <f ca="1">IF(LoanIsGood,IF(ROW()-ROW(PaymentSchedule3[[#Headers],[Payment Number]])&gt;ScheduledNumberOfPayments,"",ROW()-ROW(PaymentSchedule3[[#Headers],[Payment Number]])),"")</f>
        <v>239</v>
      </c>
      <c r="C252" s="24">
        <f ca="1">IF(PaymentSchedule3[[#This Row],[Payment Number]]&lt;&gt;"",EOMONTH(LoanStartDate,ROW(PaymentSchedule3[[#This Row],[Payment Number]])-ROW(PaymentSchedule3[[#Headers],[Payment Number]])-2)+DAY(LoanStartDate),"")</f>
        <v>52698</v>
      </c>
      <c r="D252" s="25">
        <f ca="1">IF(PaymentSchedule3[[#This Row],[Payment Number]]&lt;&gt;"",IF(ROW()-ROW(PaymentSchedule3[[#Headers],[Beginning
Balance]])=1,LoanAmount,INDEX(PaymentSchedule3[Ending
Balance],ROW()-ROW(PaymentSchedule3[[#Headers],[Beginning
Balance]])-1)),"")</f>
        <v>205669.70249991567</v>
      </c>
      <c r="E252" s="25">
        <f ca="1">IF(PaymentSchedule3[[#This Row],[Payment Number]]&lt;&gt;"",ScheduledPayment,"")</f>
        <v>2387.6169801966716</v>
      </c>
      <c r="F2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2" s="25">
        <f ca="1">IF(PaymentSchedule3[[#This Row],[Payment Number]]&lt;&gt;"",PaymentSchedule3[[#This Row],[Total
Payment]]-PaymentSchedule3[[#This Row],[Interest]],"")</f>
        <v>1145.0291942596812</v>
      </c>
      <c r="I252" s="25">
        <f ca="1">IF(PaymentSchedule3[[#This Row],[Payment Number]]&lt;&gt;"",PaymentSchedule3[[#This Row],[Beginning
Balance]]*(InterestRate/PaymentsPerYear),"")</f>
        <v>1242.5877859369905</v>
      </c>
      <c r="J252" s="25">
        <f ca="1">IF(PaymentSchedule3[[#This Row],[Payment Number]]&lt;&gt;"",IF(PaymentSchedule3[[#This Row],[Scheduled Payment]]+PaymentSchedule3[[#This Row],[Extra
Payment]]&lt;=PaymentSchedule3[[#This Row],[Beginning
Balance]],PaymentSchedule3[[#This Row],[Beginning
Balance]]-PaymentSchedule3[[#This Row],[Principal]],0),"")</f>
        <v>204524.673305656</v>
      </c>
      <c r="K252" s="25">
        <f ca="1">IF(PaymentSchedule3[[#This Row],[Payment Number]]&lt;&gt;"",SUM(INDEX(PaymentSchedule3[Interest],1,1):PaymentSchedule3[[#This Row],[Interest]]),"")</f>
        <v>425165.13157266029</v>
      </c>
    </row>
    <row r="253" spans="2:11" x14ac:dyDescent="0.3">
      <c r="B253" s="23">
        <f ca="1">IF(LoanIsGood,IF(ROW()-ROW(PaymentSchedule3[[#Headers],[Payment Number]])&gt;ScheduledNumberOfPayments,"",ROW()-ROW(PaymentSchedule3[[#Headers],[Payment Number]])),"")</f>
        <v>240</v>
      </c>
      <c r="C253" s="24">
        <f ca="1">IF(PaymentSchedule3[[#This Row],[Payment Number]]&lt;&gt;"",EOMONTH(LoanStartDate,ROW(PaymentSchedule3[[#This Row],[Payment Number]])-ROW(PaymentSchedule3[[#Headers],[Payment Number]])-2)+DAY(LoanStartDate),"")</f>
        <v>52728</v>
      </c>
      <c r="D253" s="25">
        <f ca="1">IF(PaymentSchedule3[[#This Row],[Payment Number]]&lt;&gt;"",IF(ROW()-ROW(PaymentSchedule3[[#Headers],[Beginning
Balance]])=1,LoanAmount,INDEX(PaymentSchedule3[Ending
Balance],ROW()-ROW(PaymentSchedule3[[#Headers],[Beginning
Balance]])-1)),"")</f>
        <v>204524.673305656</v>
      </c>
      <c r="E253" s="25">
        <f ca="1">IF(PaymentSchedule3[[#This Row],[Payment Number]]&lt;&gt;"",ScheduledPayment,"")</f>
        <v>2387.6169801966716</v>
      </c>
      <c r="F2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3" s="25">
        <f ca="1">IF(PaymentSchedule3[[#This Row],[Payment Number]]&lt;&gt;"",PaymentSchedule3[[#This Row],[Total
Payment]]-PaymentSchedule3[[#This Row],[Interest]],"")</f>
        <v>1151.9470789750001</v>
      </c>
      <c r="I253" s="25">
        <f ca="1">IF(PaymentSchedule3[[#This Row],[Payment Number]]&lt;&gt;"",PaymentSchedule3[[#This Row],[Beginning
Balance]]*(InterestRate/PaymentsPerYear),"")</f>
        <v>1235.6699012216716</v>
      </c>
      <c r="J253" s="25">
        <f ca="1">IF(PaymentSchedule3[[#This Row],[Payment Number]]&lt;&gt;"",IF(PaymentSchedule3[[#This Row],[Scheduled Payment]]+PaymentSchedule3[[#This Row],[Extra
Payment]]&lt;=PaymentSchedule3[[#This Row],[Beginning
Balance]],PaymentSchedule3[[#This Row],[Beginning
Balance]]-PaymentSchedule3[[#This Row],[Principal]],0),"")</f>
        <v>203372.726226681</v>
      </c>
      <c r="K253" s="25">
        <f ca="1">IF(PaymentSchedule3[[#This Row],[Payment Number]]&lt;&gt;"",SUM(INDEX(PaymentSchedule3[Interest],1,1):PaymentSchedule3[[#This Row],[Interest]]),"")</f>
        <v>426400.80147388199</v>
      </c>
    </row>
    <row r="254" spans="2:11" x14ac:dyDescent="0.3">
      <c r="B254" s="23">
        <f ca="1">IF(LoanIsGood,IF(ROW()-ROW(PaymentSchedule3[[#Headers],[Payment Number]])&gt;ScheduledNumberOfPayments,"",ROW()-ROW(PaymentSchedule3[[#Headers],[Payment Number]])),"")</f>
        <v>241</v>
      </c>
      <c r="C254" s="24">
        <f ca="1">IF(PaymentSchedule3[[#This Row],[Payment Number]]&lt;&gt;"",EOMONTH(LoanStartDate,ROW(PaymentSchedule3[[#This Row],[Payment Number]])-ROW(PaymentSchedule3[[#Headers],[Payment Number]])-2)+DAY(LoanStartDate),"")</f>
        <v>52759</v>
      </c>
      <c r="D254" s="25">
        <f ca="1">IF(PaymentSchedule3[[#This Row],[Payment Number]]&lt;&gt;"",IF(ROW()-ROW(PaymentSchedule3[[#Headers],[Beginning
Balance]])=1,LoanAmount,INDEX(PaymentSchedule3[Ending
Balance],ROW()-ROW(PaymentSchedule3[[#Headers],[Beginning
Balance]])-1)),"")</f>
        <v>203372.726226681</v>
      </c>
      <c r="E254" s="25">
        <f ca="1">IF(PaymentSchedule3[[#This Row],[Payment Number]]&lt;&gt;"",ScheduledPayment,"")</f>
        <v>2387.6169801966716</v>
      </c>
      <c r="F2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4" s="25">
        <f ca="1">IF(PaymentSchedule3[[#This Row],[Payment Number]]&lt;&gt;"",PaymentSchedule3[[#This Row],[Total
Payment]]-PaymentSchedule3[[#This Row],[Interest]],"")</f>
        <v>1158.9067592438073</v>
      </c>
      <c r="I254" s="25">
        <f ca="1">IF(PaymentSchedule3[[#This Row],[Payment Number]]&lt;&gt;"",PaymentSchedule3[[#This Row],[Beginning
Balance]]*(InterestRate/PaymentsPerYear),"")</f>
        <v>1228.7102209528643</v>
      </c>
      <c r="J254" s="25">
        <f ca="1">IF(PaymentSchedule3[[#This Row],[Payment Number]]&lt;&gt;"",IF(PaymentSchedule3[[#This Row],[Scheduled Payment]]+PaymentSchedule3[[#This Row],[Extra
Payment]]&lt;=PaymentSchedule3[[#This Row],[Beginning
Balance]],PaymentSchedule3[[#This Row],[Beginning
Balance]]-PaymentSchedule3[[#This Row],[Principal]],0),"")</f>
        <v>202213.81946743719</v>
      </c>
      <c r="K254" s="25">
        <f ca="1">IF(PaymentSchedule3[[#This Row],[Payment Number]]&lt;&gt;"",SUM(INDEX(PaymentSchedule3[Interest],1,1):PaymentSchedule3[[#This Row],[Interest]]),"")</f>
        <v>427629.51169483486</v>
      </c>
    </row>
    <row r="255" spans="2:11" x14ac:dyDescent="0.3">
      <c r="B255" s="23">
        <f ca="1">IF(LoanIsGood,IF(ROW()-ROW(PaymentSchedule3[[#Headers],[Payment Number]])&gt;ScheduledNumberOfPayments,"",ROW()-ROW(PaymentSchedule3[[#Headers],[Payment Number]])),"")</f>
        <v>242</v>
      </c>
      <c r="C255" s="24">
        <f ca="1">IF(PaymentSchedule3[[#This Row],[Payment Number]]&lt;&gt;"",EOMONTH(LoanStartDate,ROW(PaymentSchedule3[[#This Row],[Payment Number]])-ROW(PaymentSchedule3[[#Headers],[Payment Number]])-2)+DAY(LoanStartDate),"")</f>
        <v>52789</v>
      </c>
      <c r="D255" s="25">
        <f ca="1">IF(PaymentSchedule3[[#This Row],[Payment Number]]&lt;&gt;"",IF(ROW()-ROW(PaymentSchedule3[[#Headers],[Beginning
Balance]])=1,LoanAmount,INDEX(PaymentSchedule3[Ending
Balance],ROW()-ROW(PaymentSchedule3[[#Headers],[Beginning
Balance]])-1)),"")</f>
        <v>202213.81946743719</v>
      </c>
      <c r="E255" s="25">
        <f ca="1">IF(PaymentSchedule3[[#This Row],[Payment Number]]&lt;&gt;"",ScheduledPayment,"")</f>
        <v>2387.6169801966716</v>
      </c>
      <c r="F2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5" s="25">
        <f ca="1">IF(PaymentSchedule3[[#This Row],[Payment Number]]&lt;&gt;"",PaymentSchedule3[[#This Row],[Total
Payment]]-PaymentSchedule3[[#This Row],[Interest]],"")</f>
        <v>1165.9084875809053</v>
      </c>
      <c r="I255" s="25">
        <f ca="1">IF(PaymentSchedule3[[#This Row],[Payment Number]]&lt;&gt;"",PaymentSchedule3[[#This Row],[Beginning
Balance]]*(InterestRate/PaymentsPerYear),"")</f>
        <v>1221.7084926157663</v>
      </c>
      <c r="J255" s="25">
        <f ca="1">IF(PaymentSchedule3[[#This Row],[Payment Number]]&lt;&gt;"",IF(PaymentSchedule3[[#This Row],[Scheduled Payment]]+PaymentSchedule3[[#This Row],[Extra
Payment]]&lt;=PaymentSchedule3[[#This Row],[Beginning
Balance]],PaymentSchedule3[[#This Row],[Beginning
Balance]]-PaymentSchedule3[[#This Row],[Principal]],0),"")</f>
        <v>201047.9109798563</v>
      </c>
      <c r="K255" s="25">
        <f ca="1">IF(PaymentSchedule3[[#This Row],[Payment Number]]&lt;&gt;"",SUM(INDEX(PaymentSchedule3[Interest],1,1):PaymentSchedule3[[#This Row],[Interest]]),"")</f>
        <v>428851.22018745064</v>
      </c>
    </row>
    <row r="256" spans="2:11" x14ac:dyDescent="0.3">
      <c r="B256" s="23">
        <f ca="1">IF(LoanIsGood,IF(ROW()-ROW(PaymentSchedule3[[#Headers],[Payment Number]])&gt;ScheduledNumberOfPayments,"",ROW()-ROW(PaymentSchedule3[[#Headers],[Payment Number]])),"")</f>
        <v>243</v>
      </c>
      <c r="C256" s="24">
        <f ca="1">IF(PaymentSchedule3[[#This Row],[Payment Number]]&lt;&gt;"",EOMONTH(LoanStartDate,ROW(PaymentSchedule3[[#This Row],[Payment Number]])-ROW(PaymentSchedule3[[#Headers],[Payment Number]])-2)+DAY(LoanStartDate),"")</f>
        <v>52820</v>
      </c>
      <c r="D256" s="25">
        <f ca="1">IF(PaymentSchedule3[[#This Row],[Payment Number]]&lt;&gt;"",IF(ROW()-ROW(PaymentSchedule3[[#Headers],[Beginning
Balance]])=1,LoanAmount,INDEX(PaymentSchedule3[Ending
Balance],ROW()-ROW(PaymentSchedule3[[#Headers],[Beginning
Balance]])-1)),"")</f>
        <v>201047.9109798563</v>
      </c>
      <c r="E256" s="25">
        <f ca="1">IF(PaymentSchedule3[[#This Row],[Payment Number]]&lt;&gt;"",ScheduledPayment,"")</f>
        <v>2387.6169801966716</v>
      </c>
      <c r="F2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6" s="25">
        <f ca="1">IF(PaymentSchedule3[[#This Row],[Payment Number]]&lt;&gt;"",PaymentSchedule3[[#This Row],[Total
Payment]]-PaymentSchedule3[[#This Row],[Interest]],"")</f>
        <v>1172.9525180267065</v>
      </c>
      <c r="I256" s="25">
        <f ca="1">IF(PaymentSchedule3[[#This Row],[Payment Number]]&lt;&gt;"",PaymentSchedule3[[#This Row],[Beginning
Balance]]*(InterestRate/PaymentsPerYear),"")</f>
        <v>1214.6644621699652</v>
      </c>
      <c r="J256" s="25">
        <f ca="1">IF(PaymentSchedule3[[#This Row],[Payment Number]]&lt;&gt;"",IF(PaymentSchedule3[[#This Row],[Scheduled Payment]]+PaymentSchedule3[[#This Row],[Extra
Payment]]&lt;=PaymentSchedule3[[#This Row],[Beginning
Balance]],PaymentSchedule3[[#This Row],[Beginning
Balance]]-PaymentSchedule3[[#This Row],[Principal]],0),"")</f>
        <v>199874.95846182961</v>
      </c>
      <c r="K256" s="25">
        <f ca="1">IF(PaymentSchedule3[[#This Row],[Payment Number]]&lt;&gt;"",SUM(INDEX(PaymentSchedule3[Interest],1,1):PaymentSchedule3[[#This Row],[Interest]]),"")</f>
        <v>430065.88464962062</v>
      </c>
    </row>
    <row r="257" spans="2:11" x14ac:dyDescent="0.3">
      <c r="B257" s="23">
        <f ca="1">IF(LoanIsGood,IF(ROW()-ROW(PaymentSchedule3[[#Headers],[Payment Number]])&gt;ScheduledNumberOfPayments,"",ROW()-ROW(PaymentSchedule3[[#Headers],[Payment Number]])),"")</f>
        <v>244</v>
      </c>
      <c r="C257" s="24">
        <f ca="1">IF(PaymentSchedule3[[#This Row],[Payment Number]]&lt;&gt;"",EOMONTH(LoanStartDate,ROW(PaymentSchedule3[[#This Row],[Payment Number]])-ROW(PaymentSchedule3[[#Headers],[Payment Number]])-2)+DAY(LoanStartDate),"")</f>
        <v>52851</v>
      </c>
      <c r="D257" s="25">
        <f ca="1">IF(PaymentSchedule3[[#This Row],[Payment Number]]&lt;&gt;"",IF(ROW()-ROW(PaymentSchedule3[[#Headers],[Beginning
Balance]])=1,LoanAmount,INDEX(PaymentSchedule3[Ending
Balance],ROW()-ROW(PaymentSchedule3[[#Headers],[Beginning
Balance]])-1)),"")</f>
        <v>199874.95846182961</v>
      </c>
      <c r="E257" s="25">
        <f ca="1">IF(PaymentSchedule3[[#This Row],[Payment Number]]&lt;&gt;"",ScheduledPayment,"")</f>
        <v>2387.6169801966716</v>
      </c>
      <c r="F2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7" s="25">
        <f ca="1">IF(PaymentSchedule3[[#This Row],[Payment Number]]&lt;&gt;"",PaymentSchedule3[[#This Row],[Total
Payment]]-PaymentSchedule3[[#This Row],[Interest]],"")</f>
        <v>1180.0391061564512</v>
      </c>
      <c r="I257" s="25">
        <f ca="1">IF(PaymentSchedule3[[#This Row],[Payment Number]]&lt;&gt;"",PaymentSchedule3[[#This Row],[Beginning
Balance]]*(InterestRate/PaymentsPerYear),"")</f>
        <v>1207.5778740402204</v>
      </c>
      <c r="J257" s="25">
        <f ca="1">IF(PaymentSchedule3[[#This Row],[Payment Number]]&lt;&gt;"",IF(PaymentSchedule3[[#This Row],[Scheduled Payment]]+PaymentSchedule3[[#This Row],[Extra
Payment]]&lt;=PaymentSchedule3[[#This Row],[Beginning
Balance]],PaymentSchedule3[[#This Row],[Beginning
Balance]]-PaymentSchedule3[[#This Row],[Principal]],0),"")</f>
        <v>198694.91935567316</v>
      </c>
      <c r="K257" s="25">
        <f ca="1">IF(PaymentSchedule3[[#This Row],[Payment Number]]&lt;&gt;"",SUM(INDEX(PaymentSchedule3[Interest],1,1):PaymentSchedule3[[#This Row],[Interest]]),"")</f>
        <v>431273.46252366086</v>
      </c>
    </row>
    <row r="258" spans="2:11" x14ac:dyDescent="0.3">
      <c r="B258" s="23">
        <f ca="1">IF(LoanIsGood,IF(ROW()-ROW(PaymentSchedule3[[#Headers],[Payment Number]])&gt;ScheduledNumberOfPayments,"",ROW()-ROW(PaymentSchedule3[[#Headers],[Payment Number]])),"")</f>
        <v>245</v>
      </c>
      <c r="C258" s="24">
        <f ca="1">IF(PaymentSchedule3[[#This Row],[Payment Number]]&lt;&gt;"",EOMONTH(LoanStartDate,ROW(PaymentSchedule3[[#This Row],[Payment Number]])-ROW(PaymentSchedule3[[#Headers],[Payment Number]])-2)+DAY(LoanStartDate),"")</f>
        <v>52881</v>
      </c>
      <c r="D258" s="25">
        <f ca="1">IF(PaymentSchedule3[[#This Row],[Payment Number]]&lt;&gt;"",IF(ROW()-ROW(PaymentSchedule3[[#Headers],[Beginning
Balance]])=1,LoanAmount,INDEX(PaymentSchedule3[Ending
Balance],ROW()-ROW(PaymentSchedule3[[#Headers],[Beginning
Balance]])-1)),"")</f>
        <v>198694.91935567316</v>
      </c>
      <c r="E258" s="25">
        <f ca="1">IF(PaymentSchedule3[[#This Row],[Payment Number]]&lt;&gt;"",ScheduledPayment,"")</f>
        <v>2387.6169801966716</v>
      </c>
      <c r="F2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8" s="25">
        <f ca="1">IF(PaymentSchedule3[[#This Row],[Payment Number]]&lt;&gt;"",PaymentSchedule3[[#This Row],[Total
Payment]]-PaymentSchedule3[[#This Row],[Interest]],"")</f>
        <v>1187.1685090894796</v>
      </c>
      <c r="I258" s="25">
        <f ca="1">IF(PaymentSchedule3[[#This Row],[Payment Number]]&lt;&gt;"",PaymentSchedule3[[#This Row],[Beginning
Balance]]*(InterestRate/PaymentsPerYear),"")</f>
        <v>1200.4484711071921</v>
      </c>
      <c r="J258" s="25">
        <f ca="1">IF(PaymentSchedule3[[#This Row],[Payment Number]]&lt;&gt;"",IF(PaymentSchedule3[[#This Row],[Scheduled Payment]]+PaymentSchedule3[[#This Row],[Extra
Payment]]&lt;=PaymentSchedule3[[#This Row],[Beginning
Balance]],PaymentSchedule3[[#This Row],[Beginning
Balance]]-PaymentSchedule3[[#This Row],[Principal]],0),"")</f>
        <v>197507.75084658369</v>
      </c>
      <c r="K258" s="25">
        <f ca="1">IF(PaymentSchedule3[[#This Row],[Payment Number]]&lt;&gt;"",SUM(INDEX(PaymentSchedule3[Interest],1,1):PaymentSchedule3[[#This Row],[Interest]]),"")</f>
        <v>432473.91099476803</v>
      </c>
    </row>
    <row r="259" spans="2:11" x14ac:dyDescent="0.3">
      <c r="B259" s="23">
        <f ca="1">IF(LoanIsGood,IF(ROW()-ROW(PaymentSchedule3[[#Headers],[Payment Number]])&gt;ScheduledNumberOfPayments,"",ROW()-ROW(PaymentSchedule3[[#Headers],[Payment Number]])),"")</f>
        <v>246</v>
      </c>
      <c r="C259" s="24">
        <f ca="1">IF(PaymentSchedule3[[#This Row],[Payment Number]]&lt;&gt;"",EOMONTH(LoanStartDate,ROW(PaymentSchedule3[[#This Row],[Payment Number]])-ROW(PaymentSchedule3[[#Headers],[Payment Number]])-2)+DAY(LoanStartDate),"")</f>
        <v>52912</v>
      </c>
      <c r="D259" s="25">
        <f ca="1">IF(PaymentSchedule3[[#This Row],[Payment Number]]&lt;&gt;"",IF(ROW()-ROW(PaymentSchedule3[[#Headers],[Beginning
Balance]])=1,LoanAmount,INDEX(PaymentSchedule3[Ending
Balance],ROW()-ROW(PaymentSchedule3[[#Headers],[Beginning
Balance]])-1)),"")</f>
        <v>197507.75084658369</v>
      </c>
      <c r="E259" s="25">
        <f ca="1">IF(PaymentSchedule3[[#This Row],[Payment Number]]&lt;&gt;"",ScheduledPayment,"")</f>
        <v>2387.6169801966716</v>
      </c>
      <c r="F2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59" s="25">
        <f ca="1">IF(PaymentSchedule3[[#This Row],[Payment Number]]&lt;&gt;"",PaymentSchedule3[[#This Row],[Total
Payment]]-PaymentSchedule3[[#This Row],[Interest]],"")</f>
        <v>1194.3409854985618</v>
      </c>
      <c r="I259" s="25">
        <f ca="1">IF(PaymentSchedule3[[#This Row],[Payment Number]]&lt;&gt;"",PaymentSchedule3[[#This Row],[Beginning
Balance]]*(InterestRate/PaymentsPerYear),"")</f>
        <v>1193.2759946981098</v>
      </c>
      <c r="J259" s="25">
        <f ca="1">IF(PaymentSchedule3[[#This Row],[Payment Number]]&lt;&gt;"",IF(PaymentSchedule3[[#This Row],[Scheduled Payment]]+PaymentSchedule3[[#This Row],[Extra
Payment]]&lt;=PaymentSchedule3[[#This Row],[Beginning
Balance]],PaymentSchedule3[[#This Row],[Beginning
Balance]]-PaymentSchedule3[[#This Row],[Principal]],0),"")</f>
        <v>196313.40986108512</v>
      </c>
      <c r="K259" s="25">
        <f ca="1">IF(PaymentSchedule3[[#This Row],[Payment Number]]&lt;&gt;"",SUM(INDEX(PaymentSchedule3[Interest],1,1):PaymentSchedule3[[#This Row],[Interest]]),"")</f>
        <v>433667.18698946614</v>
      </c>
    </row>
    <row r="260" spans="2:11" x14ac:dyDescent="0.3">
      <c r="B260" s="23">
        <f ca="1">IF(LoanIsGood,IF(ROW()-ROW(PaymentSchedule3[[#Headers],[Payment Number]])&gt;ScheduledNumberOfPayments,"",ROW()-ROW(PaymentSchedule3[[#Headers],[Payment Number]])),"")</f>
        <v>247</v>
      </c>
      <c r="C260" s="24">
        <f ca="1">IF(PaymentSchedule3[[#This Row],[Payment Number]]&lt;&gt;"",EOMONTH(LoanStartDate,ROW(PaymentSchedule3[[#This Row],[Payment Number]])-ROW(PaymentSchedule3[[#Headers],[Payment Number]])-2)+DAY(LoanStartDate),"")</f>
        <v>52942</v>
      </c>
      <c r="D260" s="25">
        <f ca="1">IF(PaymentSchedule3[[#This Row],[Payment Number]]&lt;&gt;"",IF(ROW()-ROW(PaymentSchedule3[[#Headers],[Beginning
Balance]])=1,LoanAmount,INDEX(PaymentSchedule3[Ending
Balance],ROW()-ROW(PaymentSchedule3[[#Headers],[Beginning
Balance]])-1)),"")</f>
        <v>196313.40986108512</v>
      </c>
      <c r="E260" s="25">
        <f ca="1">IF(PaymentSchedule3[[#This Row],[Payment Number]]&lt;&gt;"",ScheduledPayment,"")</f>
        <v>2387.6169801966716</v>
      </c>
      <c r="F2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0" s="25">
        <f ca="1">IF(PaymentSchedule3[[#This Row],[Payment Number]]&lt;&gt;"",PaymentSchedule3[[#This Row],[Total
Payment]]-PaymentSchedule3[[#This Row],[Interest]],"")</f>
        <v>1201.5567956192824</v>
      </c>
      <c r="I260" s="25">
        <f ca="1">IF(PaymentSchedule3[[#This Row],[Payment Number]]&lt;&gt;"",PaymentSchedule3[[#This Row],[Beginning
Balance]]*(InterestRate/PaymentsPerYear),"")</f>
        <v>1186.0601845773892</v>
      </c>
      <c r="J260" s="25">
        <f ca="1">IF(PaymentSchedule3[[#This Row],[Payment Number]]&lt;&gt;"",IF(PaymentSchedule3[[#This Row],[Scheduled Payment]]+PaymentSchedule3[[#This Row],[Extra
Payment]]&lt;=PaymentSchedule3[[#This Row],[Beginning
Balance]],PaymentSchedule3[[#This Row],[Beginning
Balance]]-PaymentSchedule3[[#This Row],[Principal]],0),"")</f>
        <v>195111.85306546584</v>
      </c>
      <c r="K260" s="25">
        <f ca="1">IF(PaymentSchedule3[[#This Row],[Payment Number]]&lt;&gt;"",SUM(INDEX(PaymentSchedule3[Interest],1,1):PaymentSchedule3[[#This Row],[Interest]]),"")</f>
        <v>434853.2471740435</v>
      </c>
    </row>
    <row r="261" spans="2:11" x14ac:dyDescent="0.3">
      <c r="B261" s="23">
        <f ca="1">IF(LoanIsGood,IF(ROW()-ROW(PaymentSchedule3[[#Headers],[Payment Number]])&gt;ScheduledNumberOfPayments,"",ROW()-ROW(PaymentSchedule3[[#Headers],[Payment Number]])),"")</f>
        <v>248</v>
      </c>
      <c r="C261" s="24">
        <f ca="1">IF(PaymentSchedule3[[#This Row],[Payment Number]]&lt;&gt;"",EOMONTH(LoanStartDate,ROW(PaymentSchedule3[[#This Row],[Payment Number]])-ROW(PaymentSchedule3[[#Headers],[Payment Number]])-2)+DAY(LoanStartDate),"")</f>
        <v>52973</v>
      </c>
      <c r="D261" s="25">
        <f ca="1">IF(PaymentSchedule3[[#This Row],[Payment Number]]&lt;&gt;"",IF(ROW()-ROW(PaymentSchedule3[[#Headers],[Beginning
Balance]])=1,LoanAmount,INDEX(PaymentSchedule3[Ending
Balance],ROW()-ROW(PaymentSchedule3[[#Headers],[Beginning
Balance]])-1)),"")</f>
        <v>195111.85306546584</v>
      </c>
      <c r="E261" s="25">
        <f ca="1">IF(PaymentSchedule3[[#This Row],[Payment Number]]&lt;&gt;"",ScheduledPayment,"")</f>
        <v>2387.6169801966716</v>
      </c>
      <c r="F2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1" s="25">
        <f ca="1">IF(PaymentSchedule3[[#This Row],[Payment Number]]&lt;&gt;"",PaymentSchedule3[[#This Row],[Total
Payment]]-PaymentSchedule3[[#This Row],[Interest]],"")</f>
        <v>1208.8162012594823</v>
      </c>
      <c r="I261" s="25">
        <f ca="1">IF(PaymentSchedule3[[#This Row],[Payment Number]]&lt;&gt;"",PaymentSchedule3[[#This Row],[Beginning
Balance]]*(InterestRate/PaymentsPerYear),"")</f>
        <v>1178.8007789371893</v>
      </c>
      <c r="J261" s="25">
        <f ca="1">IF(PaymentSchedule3[[#This Row],[Payment Number]]&lt;&gt;"",IF(PaymentSchedule3[[#This Row],[Scheduled Payment]]+PaymentSchedule3[[#This Row],[Extra
Payment]]&lt;=PaymentSchedule3[[#This Row],[Beginning
Balance]],PaymentSchedule3[[#This Row],[Beginning
Balance]]-PaymentSchedule3[[#This Row],[Principal]],0),"")</f>
        <v>193903.03686420637</v>
      </c>
      <c r="K261" s="25">
        <f ca="1">IF(PaymentSchedule3[[#This Row],[Payment Number]]&lt;&gt;"",SUM(INDEX(PaymentSchedule3[Interest],1,1):PaymentSchedule3[[#This Row],[Interest]]),"")</f>
        <v>436032.04795298068</v>
      </c>
    </row>
    <row r="262" spans="2:11" x14ac:dyDescent="0.3">
      <c r="B262" s="23">
        <f ca="1">IF(LoanIsGood,IF(ROW()-ROW(PaymentSchedule3[[#Headers],[Payment Number]])&gt;ScheduledNumberOfPayments,"",ROW()-ROW(PaymentSchedule3[[#Headers],[Payment Number]])),"")</f>
        <v>249</v>
      </c>
      <c r="C262" s="24">
        <f ca="1">IF(PaymentSchedule3[[#This Row],[Payment Number]]&lt;&gt;"",EOMONTH(LoanStartDate,ROW(PaymentSchedule3[[#This Row],[Payment Number]])-ROW(PaymentSchedule3[[#Headers],[Payment Number]])-2)+DAY(LoanStartDate),"")</f>
        <v>53004</v>
      </c>
      <c r="D262" s="25">
        <f ca="1">IF(PaymentSchedule3[[#This Row],[Payment Number]]&lt;&gt;"",IF(ROW()-ROW(PaymentSchedule3[[#Headers],[Beginning
Balance]])=1,LoanAmount,INDEX(PaymentSchedule3[Ending
Balance],ROW()-ROW(PaymentSchedule3[[#Headers],[Beginning
Balance]])-1)),"")</f>
        <v>193903.03686420637</v>
      </c>
      <c r="E262" s="25">
        <f ca="1">IF(PaymentSchedule3[[#This Row],[Payment Number]]&lt;&gt;"",ScheduledPayment,"")</f>
        <v>2387.6169801966716</v>
      </c>
      <c r="F2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2" s="25">
        <f ca="1">IF(PaymentSchedule3[[#This Row],[Payment Number]]&lt;&gt;"",PaymentSchedule3[[#This Row],[Total
Payment]]-PaymentSchedule3[[#This Row],[Interest]],"")</f>
        <v>1216.1194658087582</v>
      </c>
      <c r="I262" s="25">
        <f ca="1">IF(PaymentSchedule3[[#This Row],[Payment Number]]&lt;&gt;"",PaymentSchedule3[[#This Row],[Beginning
Balance]]*(InterestRate/PaymentsPerYear),"")</f>
        <v>1171.4975143879135</v>
      </c>
      <c r="J262" s="25">
        <f ca="1">IF(PaymentSchedule3[[#This Row],[Payment Number]]&lt;&gt;"",IF(PaymentSchedule3[[#This Row],[Scheduled Payment]]+PaymentSchedule3[[#This Row],[Extra
Payment]]&lt;=PaymentSchedule3[[#This Row],[Beginning
Balance]],PaymentSchedule3[[#This Row],[Beginning
Balance]]-PaymentSchedule3[[#This Row],[Principal]],0),"")</f>
        <v>192686.91739839761</v>
      </c>
      <c r="K262" s="25">
        <f ca="1">IF(PaymentSchedule3[[#This Row],[Payment Number]]&lt;&gt;"",SUM(INDEX(PaymentSchedule3[Interest],1,1):PaymentSchedule3[[#This Row],[Interest]]),"")</f>
        <v>437203.54546736862</v>
      </c>
    </row>
    <row r="263" spans="2:11" x14ac:dyDescent="0.3">
      <c r="B263" s="23">
        <f ca="1">IF(LoanIsGood,IF(ROW()-ROW(PaymentSchedule3[[#Headers],[Payment Number]])&gt;ScheduledNumberOfPayments,"",ROW()-ROW(PaymentSchedule3[[#Headers],[Payment Number]])),"")</f>
        <v>250</v>
      </c>
      <c r="C263" s="24">
        <f ca="1">IF(PaymentSchedule3[[#This Row],[Payment Number]]&lt;&gt;"",EOMONTH(LoanStartDate,ROW(PaymentSchedule3[[#This Row],[Payment Number]])-ROW(PaymentSchedule3[[#Headers],[Payment Number]])-2)+DAY(LoanStartDate),"")</f>
        <v>53032</v>
      </c>
      <c r="D263" s="25">
        <f ca="1">IF(PaymentSchedule3[[#This Row],[Payment Number]]&lt;&gt;"",IF(ROW()-ROW(PaymentSchedule3[[#Headers],[Beginning
Balance]])=1,LoanAmount,INDEX(PaymentSchedule3[Ending
Balance],ROW()-ROW(PaymentSchedule3[[#Headers],[Beginning
Balance]])-1)),"")</f>
        <v>192686.91739839761</v>
      </c>
      <c r="E263" s="25">
        <f ca="1">IF(PaymentSchedule3[[#This Row],[Payment Number]]&lt;&gt;"",ScheduledPayment,"")</f>
        <v>2387.6169801966716</v>
      </c>
      <c r="F2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3" s="25">
        <f ca="1">IF(PaymentSchedule3[[#This Row],[Payment Number]]&lt;&gt;"",PaymentSchedule3[[#This Row],[Total
Payment]]-PaymentSchedule3[[#This Row],[Interest]],"")</f>
        <v>1223.4668542480194</v>
      </c>
      <c r="I263" s="25">
        <f ca="1">IF(PaymentSchedule3[[#This Row],[Payment Number]]&lt;&gt;"",PaymentSchedule3[[#This Row],[Beginning
Balance]]*(InterestRate/PaymentsPerYear),"")</f>
        <v>1164.1501259486522</v>
      </c>
      <c r="J263" s="25">
        <f ca="1">IF(PaymentSchedule3[[#This Row],[Payment Number]]&lt;&gt;"",IF(PaymentSchedule3[[#This Row],[Scheduled Payment]]+PaymentSchedule3[[#This Row],[Extra
Payment]]&lt;=PaymentSchedule3[[#This Row],[Beginning
Balance]],PaymentSchedule3[[#This Row],[Beginning
Balance]]-PaymentSchedule3[[#This Row],[Principal]],0),"")</f>
        <v>191463.45054414959</v>
      </c>
      <c r="K263" s="25">
        <f ca="1">IF(PaymentSchedule3[[#This Row],[Payment Number]]&lt;&gt;"",SUM(INDEX(PaymentSchedule3[Interest],1,1):PaymentSchedule3[[#This Row],[Interest]]),"")</f>
        <v>438367.69559331727</v>
      </c>
    </row>
    <row r="264" spans="2:11" x14ac:dyDescent="0.3">
      <c r="B264" s="23">
        <f ca="1">IF(LoanIsGood,IF(ROW()-ROW(PaymentSchedule3[[#Headers],[Payment Number]])&gt;ScheduledNumberOfPayments,"",ROW()-ROW(PaymentSchedule3[[#Headers],[Payment Number]])),"")</f>
        <v>251</v>
      </c>
      <c r="C264" s="24">
        <f ca="1">IF(PaymentSchedule3[[#This Row],[Payment Number]]&lt;&gt;"",EOMONTH(LoanStartDate,ROW(PaymentSchedule3[[#This Row],[Payment Number]])-ROW(PaymentSchedule3[[#Headers],[Payment Number]])-2)+DAY(LoanStartDate),"")</f>
        <v>53063</v>
      </c>
      <c r="D264" s="25">
        <f ca="1">IF(PaymentSchedule3[[#This Row],[Payment Number]]&lt;&gt;"",IF(ROW()-ROW(PaymentSchedule3[[#Headers],[Beginning
Balance]])=1,LoanAmount,INDEX(PaymentSchedule3[Ending
Balance],ROW()-ROW(PaymentSchedule3[[#Headers],[Beginning
Balance]])-1)),"")</f>
        <v>191463.45054414959</v>
      </c>
      <c r="E264" s="25">
        <f ca="1">IF(PaymentSchedule3[[#This Row],[Payment Number]]&lt;&gt;"",ScheduledPayment,"")</f>
        <v>2387.6169801966716</v>
      </c>
      <c r="F2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4" s="25">
        <f ca="1">IF(PaymentSchedule3[[#This Row],[Payment Number]]&lt;&gt;"",PaymentSchedule3[[#This Row],[Total
Payment]]-PaymentSchedule3[[#This Row],[Interest]],"")</f>
        <v>1230.8586331591011</v>
      </c>
      <c r="I264" s="25">
        <f ca="1">IF(PaymentSchedule3[[#This Row],[Payment Number]]&lt;&gt;"",PaymentSchedule3[[#This Row],[Beginning
Balance]]*(InterestRate/PaymentsPerYear),"")</f>
        <v>1156.7583470375705</v>
      </c>
      <c r="J264" s="25">
        <f ca="1">IF(PaymentSchedule3[[#This Row],[Payment Number]]&lt;&gt;"",IF(PaymentSchedule3[[#This Row],[Scheduled Payment]]+PaymentSchedule3[[#This Row],[Extra
Payment]]&lt;=PaymentSchedule3[[#This Row],[Beginning
Balance]],PaymentSchedule3[[#This Row],[Beginning
Balance]]-PaymentSchedule3[[#This Row],[Principal]],0),"")</f>
        <v>190232.59191099048</v>
      </c>
      <c r="K264" s="25">
        <f ca="1">IF(PaymentSchedule3[[#This Row],[Payment Number]]&lt;&gt;"",SUM(INDEX(PaymentSchedule3[Interest],1,1):PaymentSchedule3[[#This Row],[Interest]]),"")</f>
        <v>439524.45394035487</v>
      </c>
    </row>
    <row r="265" spans="2:11" x14ac:dyDescent="0.3">
      <c r="B265" s="23">
        <f ca="1">IF(LoanIsGood,IF(ROW()-ROW(PaymentSchedule3[[#Headers],[Payment Number]])&gt;ScheduledNumberOfPayments,"",ROW()-ROW(PaymentSchedule3[[#Headers],[Payment Number]])),"")</f>
        <v>252</v>
      </c>
      <c r="C265" s="24">
        <f ca="1">IF(PaymentSchedule3[[#This Row],[Payment Number]]&lt;&gt;"",EOMONTH(LoanStartDate,ROW(PaymentSchedule3[[#This Row],[Payment Number]])-ROW(PaymentSchedule3[[#Headers],[Payment Number]])-2)+DAY(LoanStartDate),"")</f>
        <v>53093</v>
      </c>
      <c r="D265" s="25">
        <f ca="1">IF(PaymentSchedule3[[#This Row],[Payment Number]]&lt;&gt;"",IF(ROW()-ROW(PaymentSchedule3[[#Headers],[Beginning
Balance]])=1,LoanAmount,INDEX(PaymentSchedule3[Ending
Balance],ROW()-ROW(PaymentSchedule3[[#Headers],[Beginning
Balance]])-1)),"")</f>
        <v>190232.59191099048</v>
      </c>
      <c r="E265" s="25">
        <f ca="1">IF(PaymentSchedule3[[#This Row],[Payment Number]]&lt;&gt;"",ScheduledPayment,"")</f>
        <v>2387.6169801966716</v>
      </c>
      <c r="F2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5" s="25">
        <f ca="1">IF(PaymentSchedule3[[#This Row],[Payment Number]]&lt;&gt;"",PaymentSchedule3[[#This Row],[Total
Payment]]-PaymentSchedule3[[#This Row],[Interest]],"")</f>
        <v>1238.2950707344376</v>
      </c>
      <c r="I265" s="25">
        <f ca="1">IF(PaymentSchedule3[[#This Row],[Payment Number]]&lt;&gt;"",PaymentSchedule3[[#This Row],[Beginning
Balance]]*(InterestRate/PaymentsPerYear),"")</f>
        <v>1149.3219094622341</v>
      </c>
      <c r="J265" s="25">
        <f ca="1">IF(PaymentSchedule3[[#This Row],[Payment Number]]&lt;&gt;"",IF(PaymentSchedule3[[#This Row],[Scheduled Payment]]+PaymentSchedule3[[#This Row],[Extra
Payment]]&lt;=PaymentSchedule3[[#This Row],[Beginning
Balance]],PaymentSchedule3[[#This Row],[Beginning
Balance]]-PaymentSchedule3[[#This Row],[Principal]],0),"")</f>
        <v>188994.29684025605</v>
      </c>
      <c r="K265" s="25">
        <f ca="1">IF(PaymentSchedule3[[#This Row],[Payment Number]]&lt;&gt;"",SUM(INDEX(PaymentSchedule3[Interest],1,1):PaymentSchedule3[[#This Row],[Interest]]),"")</f>
        <v>440673.77584981709</v>
      </c>
    </row>
    <row r="266" spans="2:11" x14ac:dyDescent="0.3">
      <c r="B266" s="23">
        <f ca="1">IF(LoanIsGood,IF(ROW()-ROW(PaymentSchedule3[[#Headers],[Payment Number]])&gt;ScheduledNumberOfPayments,"",ROW()-ROW(PaymentSchedule3[[#Headers],[Payment Number]])),"")</f>
        <v>253</v>
      </c>
      <c r="C266" s="24">
        <f ca="1">IF(PaymentSchedule3[[#This Row],[Payment Number]]&lt;&gt;"",EOMONTH(LoanStartDate,ROW(PaymentSchedule3[[#This Row],[Payment Number]])-ROW(PaymentSchedule3[[#Headers],[Payment Number]])-2)+DAY(LoanStartDate),"")</f>
        <v>53124</v>
      </c>
      <c r="D266" s="25">
        <f ca="1">IF(PaymentSchedule3[[#This Row],[Payment Number]]&lt;&gt;"",IF(ROW()-ROW(PaymentSchedule3[[#Headers],[Beginning
Balance]])=1,LoanAmount,INDEX(PaymentSchedule3[Ending
Balance],ROW()-ROW(PaymentSchedule3[[#Headers],[Beginning
Balance]])-1)),"")</f>
        <v>188994.29684025605</v>
      </c>
      <c r="E266" s="25">
        <f ca="1">IF(PaymentSchedule3[[#This Row],[Payment Number]]&lt;&gt;"",ScheduledPayment,"")</f>
        <v>2387.6169801966716</v>
      </c>
      <c r="F2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6" s="25">
        <f ca="1">IF(PaymentSchedule3[[#This Row],[Payment Number]]&lt;&gt;"",PaymentSchedule3[[#This Row],[Total
Payment]]-PaymentSchedule3[[#This Row],[Interest]],"")</f>
        <v>1245.7764367867915</v>
      </c>
      <c r="I266" s="25">
        <f ca="1">IF(PaymentSchedule3[[#This Row],[Payment Number]]&lt;&gt;"",PaymentSchedule3[[#This Row],[Beginning
Balance]]*(InterestRate/PaymentsPerYear),"")</f>
        <v>1141.8405434098802</v>
      </c>
      <c r="J266" s="25">
        <f ca="1">IF(PaymentSchedule3[[#This Row],[Payment Number]]&lt;&gt;"",IF(PaymentSchedule3[[#This Row],[Scheduled Payment]]+PaymentSchedule3[[#This Row],[Extra
Payment]]&lt;=PaymentSchedule3[[#This Row],[Beginning
Balance]],PaymentSchedule3[[#This Row],[Beginning
Balance]]-PaymentSchedule3[[#This Row],[Principal]],0),"")</f>
        <v>187748.52040346927</v>
      </c>
      <c r="K266" s="25">
        <f ca="1">IF(PaymentSchedule3[[#This Row],[Payment Number]]&lt;&gt;"",SUM(INDEX(PaymentSchedule3[Interest],1,1):PaymentSchedule3[[#This Row],[Interest]]),"")</f>
        <v>441815.61639322696</v>
      </c>
    </row>
    <row r="267" spans="2:11" x14ac:dyDescent="0.3">
      <c r="B267" s="23">
        <f ca="1">IF(LoanIsGood,IF(ROW()-ROW(PaymentSchedule3[[#Headers],[Payment Number]])&gt;ScheduledNumberOfPayments,"",ROW()-ROW(PaymentSchedule3[[#Headers],[Payment Number]])),"")</f>
        <v>254</v>
      </c>
      <c r="C267" s="24">
        <f ca="1">IF(PaymentSchedule3[[#This Row],[Payment Number]]&lt;&gt;"",EOMONTH(LoanStartDate,ROW(PaymentSchedule3[[#This Row],[Payment Number]])-ROW(PaymentSchedule3[[#Headers],[Payment Number]])-2)+DAY(LoanStartDate),"")</f>
        <v>53154</v>
      </c>
      <c r="D267" s="25">
        <f ca="1">IF(PaymentSchedule3[[#This Row],[Payment Number]]&lt;&gt;"",IF(ROW()-ROW(PaymentSchedule3[[#Headers],[Beginning
Balance]])=1,LoanAmount,INDEX(PaymentSchedule3[Ending
Balance],ROW()-ROW(PaymentSchedule3[[#Headers],[Beginning
Balance]])-1)),"")</f>
        <v>187748.52040346927</v>
      </c>
      <c r="E267" s="25">
        <f ca="1">IF(PaymentSchedule3[[#This Row],[Payment Number]]&lt;&gt;"",ScheduledPayment,"")</f>
        <v>2387.6169801966716</v>
      </c>
      <c r="F2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7" s="25">
        <f ca="1">IF(PaymentSchedule3[[#This Row],[Payment Number]]&lt;&gt;"",PaymentSchedule3[[#This Row],[Total
Payment]]-PaymentSchedule3[[#This Row],[Interest]],"")</f>
        <v>1253.3030027590448</v>
      </c>
      <c r="I267" s="25">
        <f ca="1">IF(PaymentSchedule3[[#This Row],[Payment Number]]&lt;&gt;"",PaymentSchedule3[[#This Row],[Beginning
Balance]]*(InterestRate/PaymentsPerYear),"")</f>
        <v>1134.3139774376268</v>
      </c>
      <c r="J267" s="25">
        <f ca="1">IF(PaymentSchedule3[[#This Row],[Payment Number]]&lt;&gt;"",IF(PaymentSchedule3[[#This Row],[Scheduled Payment]]+PaymentSchedule3[[#This Row],[Extra
Payment]]&lt;=PaymentSchedule3[[#This Row],[Beginning
Balance]],PaymentSchedule3[[#This Row],[Beginning
Balance]]-PaymentSchedule3[[#This Row],[Principal]],0),"")</f>
        <v>186495.21740071021</v>
      </c>
      <c r="K267" s="25">
        <f ca="1">IF(PaymentSchedule3[[#This Row],[Payment Number]]&lt;&gt;"",SUM(INDEX(PaymentSchedule3[Interest],1,1):PaymentSchedule3[[#This Row],[Interest]]),"")</f>
        <v>442949.93037066457</v>
      </c>
    </row>
    <row r="268" spans="2:11" x14ac:dyDescent="0.3">
      <c r="B268" s="23">
        <f ca="1">IF(LoanIsGood,IF(ROW()-ROW(PaymentSchedule3[[#Headers],[Payment Number]])&gt;ScheduledNumberOfPayments,"",ROW()-ROW(PaymentSchedule3[[#Headers],[Payment Number]])),"")</f>
        <v>255</v>
      </c>
      <c r="C268" s="24">
        <f ca="1">IF(PaymentSchedule3[[#This Row],[Payment Number]]&lt;&gt;"",EOMONTH(LoanStartDate,ROW(PaymentSchedule3[[#This Row],[Payment Number]])-ROW(PaymentSchedule3[[#Headers],[Payment Number]])-2)+DAY(LoanStartDate),"")</f>
        <v>53185</v>
      </c>
      <c r="D268" s="25">
        <f ca="1">IF(PaymentSchedule3[[#This Row],[Payment Number]]&lt;&gt;"",IF(ROW()-ROW(PaymentSchedule3[[#Headers],[Beginning
Balance]])=1,LoanAmount,INDEX(PaymentSchedule3[Ending
Balance],ROW()-ROW(PaymentSchedule3[[#Headers],[Beginning
Balance]])-1)),"")</f>
        <v>186495.21740071021</v>
      </c>
      <c r="E268" s="25">
        <f ca="1">IF(PaymentSchedule3[[#This Row],[Payment Number]]&lt;&gt;"",ScheduledPayment,"")</f>
        <v>2387.6169801966716</v>
      </c>
      <c r="F2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8" s="25">
        <f ca="1">IF(PaymentSchedule3[[#This Row],[Payment Number]]&lt;&gt;"",PaymentSchedule3[[#This Row],[Total
Payment]]-PaymentSchedule3[[#This Row],[Interest]],"")</f>
        <v>1260.8750417340475</v>
      </c>
      <c r="I268" s="25">
        <f ca="1">IF(PaymentSchedule3[[#This Row],[Payment Number]]&lt;&gt;"",PaymentSchedule3[[#This Row],[Beginning
Balance]]*(InterestRate/PaymentsPerYear),"")</f>
        <v>1126.7419384626241</v>
      </c>
      <c r="J268" s="25">
        <f ca="1">IF(PaymentSchedule3[[#This Row],[Payment Number]]&lt;&gt;"",IF(PaymentSchedule3[[#This Row],[Scheduled Payment]]+PaymentSchedule3[[#This Row],[Extra
Payment]]&lt;=PaymentSchedule3[[#This Row],[Beginning
Balance]],PaymentSchedule3[[#This Row],[Beginning
Balance]]-PaymentSchedule3[[#This Row],[Principal]],0),"")</f>
        <v>185234.34235897617</v>
      </c>
      <c r="K268" s="25">
        <f ca="1">IF(PaymentSchedule3[[#This Row],[Payment Number]]&lt;&gt;"",SUM(INDEX(PaymentSchedule3[Interest],1,1):PaymentSchedule3[[#This Row],[Interest]]),"")</f>
        <v>444076.67230912717</v>
      </c>
    </row>
    <row r="269" spans="2:11" x14ac:dyDescent="0.3">
      <c r="B269" s="23">
        <f ca="1">IF(LoanIsGood,IF(ROW()-ROW(PaymentSchedule3[[#Headers],[Payment Number]])&gt;ScheduledNumberOfPayments,"",ROW()-ROW(PaymentSchedule3[[#Headers],[Payment Number]])),"")</f>
        <v>256</v>
      </c>
      <c r="C269" s="24">
        <f ca="1">IF(PaymentSchedule3[[#This Row],[Payment Number]]&lt;&gt;"",EOMONTH(LoanStartDate,ROW(PaymentSchedule3[[#This Row],[Payment Number]])-ROW(PaymentSchedule3[[#Headers],[Payment Number]])-2)+DAY(LoanStartDate),"")</f>
        <v>53216</v>
      </c>
      <c r="D269" s="25">
        <f ca="1">IF(PaymentSchedule3[[#This Row],[Payment Number]]&lt;&gt;"",IF(ROW()-ROW(PaymentSchedule3[[#Headers],[Beginning
Balance]])=1,LoanAmount,INDEX(PaymentSchedule3[Ending
Balance],ROW()-ROW(PaymentSchedule3[[#Headers],[Beginning
Balance]])-1)),"")</f>
        <v>185234.34235897617</v>
      </c>
      <c r="E269" s="25">
        <f ca="1">IF(PaymentSchedule3[[#This Row],[Payment Number]]&lt;&gt;"",ScheduledPayment,"")</f>
        <v>2387.6169801966716</v>
      </c>
      <c r="F2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69" s="25">
        <f ca="1">IF(PaymentSchedule3[[#This Row],[Payment Number]]&lt;&gt;"",PaymentSchedule3[[#This Row],[Total
Payment]]-PaymentSchedule3[[#This Row],[Interest]],"")</f>
        <v>1268.4928284445241</v>
      </c>
      <c r="I269" s="25">
        <f ca="1">IF(PaymentSchedule3[[#This Row],[Payment Number]]&lt;&gt;"",PaymentSchedule3[[#This Row],[Beginning
Balance]]*(InterestRate/PaymentsPerYear),"")</f>
        <v>1119.1241517521476</v>
      </c>
      <c r="J269" s="25">
        <f ca="1">IF(PaymentSchedule3[[#This Row],[Payment Number]]&lt;&gt;"",IF(PaymentSchedule3[[#This Row],[Scheduled Payment]]+PaymentSchedule3[[#This Row],[Extra
Payment]]&lt;=PaymentSchedule3[[#This Row],[Beginning
Balance]],PaymentSchedule3[[#This Row],[Beginning
Balance]]-PaymentSchedule3[[#This Row],[Principal]],0),"")</f>
        <v>183965.84953053165</v>
      </c>
      <c r="K269" s="25">
        <f ca="1">IF(PaymentSchedule3[[#This Row],[Payment Number]]&lt;&gt;"",SUM(INDEX(PaymentSchedule3[Interest],1,1):PaymentSchedule3[[#This Row],[Interest]]),"")</f>
        <v>445195.79646087933</v>
      </c>
    </row>
    <row r="270" spans="2:11" x14ac:dyDescent="0.3">
      <c r="B270" s="23">
        <f ca="1">IF(LoanIsGood,IF(ROW()-ROW(PaymentSchedule3[[#Headers],[Payment Number]])&gt;ScheduledNumberOfPayments,"",ROW()-ROW(PaymentSchedule3[[#Headers],[Payment Number]])),"")</f>
        <v>257</v>
      </c>
      <c r="C270" s="24">
        <f ca="1">IF(PaymentSchedule3[[#This Row],[Payment Number]]&lt;&gt;"",EOMONTH(LoanStartDate,ROW(PaymentSchedule3[[#This Row],[Payment Number]])-ROW(PaymentSchedule3[[#Headers],[Payment Number]])-2)+DAY(LoanStartDate),"")</f>
        <v>53246</v>
      </c>
      <c r="D270" s="25">
        <f ca="1">IF(PaymentSchedule3[[#This Row],[Payment Number]]&lt;&gt;"",IF(ROW()-ROW(PaymentSchedule3[[#Headers],[Beginning
Balance]])=1,LoanAmount,INDEX(PaymentSchedule3[Ending
Balance],ROW()-ROW(PaymentSchedule3[[#Headers],[Beginning
Balance]])-1)),"")</f>
        <v>183965.84953053165</v>
      </c>
      <c r="E270" s="25">
        <f ca="1">IF(PaymentSchedule3[[#This Row],[Payment Number]]&lt;&gt;"",ScheduledPayment,"")</f>
        <v>2387.6169801966716</v>
      </c>
      <c r="F2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0" s="25">
        <f ca="1">IF(PaymentSchedule3[[#This Row],[Payment Number]]&lt;&gt;"",PaymentSchedule3[[#This Row],[Total
Payment]]-PaymentSchedule3[[#This Row],[Interest]],"")</f>
        <v>1276.156639283043</v>
      </c>
      <c r="I270" s="25">
        <f ca="1">IF(PaymentSchedule3[[#This Row],[Payment Number]]&lt;&gt;"",PaymentSchedule3[[#This Row],[Beginning
Balance]]*(InterestRate/PaymentsPerYear),"")</f>
        <v>1111.4603409136287</v>
      </c>
      <c r="J270" s="25">
        <f ca="1">IF(PaymentSchedule3[[#This Row],[Payment Number]]&lt;&gt;"",IF(PaymentSchedule3[[#This Row],[Scheduled Payment]]+PaymentSchedule3[[#This Row],[Extra
Payment]]&lt;=PaymentSchedule3[[#This Row],[Beginning
Balance]],PaymentSchedule3[[#This Row],[Beginning
Balance]]-PaymentSchedule3[[#This Row],[Principal]],0),"")</f>
        <v>182689.69289124859</v>
      </c>
      <c r="K270" s="25">
        <f ca="1">IF(PaymentSchedule3[[#This Row],[Payment Number]]&lt;&gt;"",SUM(INDEX(PaymentSchedule3[Interest],1,1):PaymentSchedule3[[#This Row],[Interest]]),"")</f>
        <v>446307.25680179294</v>
      </c>
    </row>
    <row r="271" spans="2:11" x14ac:dyDescent="0.3">
      <c r="B271" s="23">
        <f ca="1">IF(LoanIsGood,IF(ROW()-ROW(PaymentSchedule3[[#Headers],[Payment Number]])&gt;ScheduledNumberOfPayments,"",ROW()-ROW(PaymentSchedule3[[#Headers],[Payment Number]])),"")</f>
        <v>258</v>
      </c>
      <c r="C271" s="24">
        <f ca="1">IF(PaymentSchedule3[[#This Row],[Payment Number]]&lt;&gt;"",EOMONTH(LoanStartDate,ROW(PaymentSchedule3[[#This Row],[Payment Number]])-ROW(PaymentSchedule3[[#Headers],[Payment Number]])-2)+DAY(LoanStartDate),"")</f>
        <v>53277</v>
      </c>
      <c r="D271" s="25">
        <f ca="1">IF(PaymentSchedule3[[#This Row],[Payment Number]]&lt;&gt;"",IF(ROW()-ROW(PaymentSchedule3[[#Headers],[Beginning
Balance]])=1,LoanAmount,INDEX(PaymentSchedule3[Ending
Balance],ROW()-ROW(PaymentSchedule3[[#Headers],[Beginning
Balance]])-1)),"")</f>
        <v>182689.69289124859</v>
      </c>
      <c r="E271" s="25">
        <f ca="1">IF(PaymentSchedule3[[#This Row],[Payment Number]]&lt;&gt;"",ScheduledPayment,"")</f>
        <v>2387.6169801966716</v>
      </c>
      <c r="F2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1" s="25">
        <f ca="1">IF(PaymentSchedule3[[#This Row],[Payment Number]]&lt;&gt;"",PaymentSchedule3[[#This Row],[Total
Payment]]-PaymentSchedule3[[#This Row],[Interest]],"")</f>
        <v>1283.8667523120448</v>
      </c>
      <c r="I271" s="25">
        <f ca="1">IF(PaymentSchedule3[[#This Row],[Payment Number]]&lt;&gt;"",PaymentSchedule3[[#This Row],[Beginning
Balance]]*(InterestRate/PaymentsPerYear),"")</f>
        <v>1103.7502278846268</v>
      </c>
      <c r="J271" s="25">
        <f ca="1">IF(PaymentSchedule3[[#This Row],[Payment Number]]&lt;&gt;"",IF(PaymentSchedule3[[#This Row],[Scheduled Payment]]+PaymentSchedule3[[#This Row],[Extra
Payment]]&lt;=PaymentSchedule3[[#This Row],[Beginning
Balance]],PaymentSchedule3[[#This Row],[Beginning
Balance]]-PaymentSchedule3[[#This Row],[Principal]],0),"")</f>
        <v>181405.82613893654</v>
      </c>
      <c r="K271" s="25">
        <f ca="1">IF(PaymentSchedule3[[#This Row],[Payment Number]]&lt;&gt;"",SUM(INDEX(PaymentSchedule3[Interest],1,1):PaymentSchedule3[[#This Row],[Interest]]),"")</f>
        <v>447411.00702967757</v>
      </c>
    </row>
    <row r="272" spans="2:11" x14ac:dyDescent="0.3">
      <c r="B272" s="23">
        <f ca="1">IF(LoanIsGood,IF(ROW()-ROW(PaymentSchedule3[[#Headers],[Payment Number]])&gt;ScheduledNumberOfPayments,"",ROW()-ROW(PaymentSchedule3[[#Headers],[Payment Number]])),"")</f>
        <v>259</v>
      </c>
      <c r="C272" s="24">
        <f ca="1">IF(PaymentSchedule3[[#This Row],[Payment Number]]&lt;&gt;"",EOMONTH(LoanStartDate,ROW(PaymentSchedule3[[#This Row],[Payment Number]])-ROW(PaymentSchedule3[[#Headers],[Payment Number]])-2)+DAY(LoanStartDate),"")</f>
        <v>53307</v>
      </c>
      <c r="D272" s="25">
        <f ca="1">IF(PaymentSchedule3[[#This Row],[Payment Number]]&lt;&gt;"",IF(ROW()-ROW(PaymentSchedule3[[#Headers],[Beginning
Balance]])=1,LoanAmount,INDEX(PaymentSchedule3[Ending
Balance],ROW()-ROW(PaymentSchedule3[[#Headers],[Beginning
Balance]])-1)),"")</f>
        <v>181405.82613893654</v>
      </c>
      <c r="E272" s="25">
        <f ca="1">IF(PaymentSchedule3[[#This Row],[Payment Number]]&lt;&gt;"",ScheduledPayment,"")</f>
        <v>2387.6169801966716</v>
      </c>
      <c r="F2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2" s="25">
        <f ca="1">IF(PaymentSchedule3[[#This Row],[Payment Number]]&lt;&gt;"",PaymentSchedule3[[#This Row],[Total
Payment]]-PaymentSchedule3[[#This Row],[Interest]],"")</f>
        <v>1291.6234472739302</v>
      </c>
      <c r="I272" s="25">
        <f ca="1">IF(PaymentSchedule3[[#This Row],[Payment Number]]&lt;&gt;"",PaymentSchedule3[[#This Row],[Beginning
Balance]]*(InterestRate/PaymentsPerYear),"")</f>
        <v>1095.9935329227415</v>
      </c>
      <c r="J272" s="25">
        <f ca="1">IF(PaymentSchedule3[[#This Row],[Payment Number]]&lt;&gt;"",IF(PaymentSchedule3[[#This Row],[Scheduled Payment]]+PaymentSchedule3[[#This Row],[Extra
Payment]]&lt;=PaymentSchedule3[[#This Row],[Beginning
Balance]],PaymentSchedule3[[#This Row],[Beginning
Balance]]-PaymentSchedule3[[#This Row],[Principal]],0),"")</f>
        <v>180114.20269166262</v>
      </c>
      <c r="K272" s="25">
        <f ca="1">IF(PaymentSchedule3[[#This Row],[Payment Number]]&lt;&gt;"",SUM(INDEX(PaymentSchedule3[Interest],1,1):PaymentSchedule3[[#This Row],[Interest]]),"")</f>
        <v>448507.00056260033</v>
      </c>
    </row>
    <row r="273" spans="2:11" x14ac:dyDescent="0.3">
      <c r="B273" s="23">
        <f ca="1">IF(LoanIsGood,IF(ROW()-ROW(PaymentSchedule3[[#Headers],[Payment Number]])&gt;ScheduledNumberOfPayments,"",ROW()-ROW(PaymentSchedule3[[#Headers],[Payment Number]])),"")</f>
        <v>260</v>
      </c>
      <c r="C273" s="24">
        <f ca="1">IF(PaymentSchedule3[[#This Row],[Payment Number]]&lt;&gt;"",EOMONTH(LoanStartDate,ROW(PaymentSchedule3[[#This Row],[Payment Number]])-ROW(PaymentSchedule3[[#Headers],[Payment Number]])-2)+DAY(LoanStartDate),"")</f>
        <v>53338</v>
      </c>
      <c r="D273" s="25">
        <f ca="1">IF(PaymentSchedule3[[#This Row],[Payment Number]]&lt;&gt;"",IF(ROW()-ROW(PaymentSchedule3[[#Headers],[Beginning
Balance]])=1,LoanAmount,INDEX(PaymentSchedule3[Ending
Balance],ROW()-ROW(PaymentSchedule3[[#Headers],[Beginning
Balance]])-1)),"")</f>
        <v>180114.20269166262</v>
      </c>
      <c r="E273" s="25">
        <f ca="1">IF(PaymentSchedule3[[#This Row],[Payment Number]]&lt;&gt;"",ScheduledPayment,"")</f>
        <v>2387.6169801966716</v>
      </c>
      <c r="F2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3" s="25">
        <f ca="1">IF(PaymentSchedule3[[#This Row],[Payment Number]]&lt;&gt;"",PaymentSchedule3[[#This Row],[Total
Payment]]-PaymentSchedule3[[#This Row],[Interest]],"")</f>
        <v>1299.4270056012101</v>
      </c>
      <c r="I273" s="25">
        <f ca="1">IF(PaymentSchedule3[[#This Row],[Payment Number]]&lt;&gt;"",PaymentSchedule3[[#This Row],[Beginning
Balance]]*(InterestRate/PaymentsPerYear),"")</f>
        <v>1088.1899745954615</v>
      </c>
      <c r="J273" s="25">
        <f ca="1">IF(PaymentSchedule3[[#This Row],[Payment Number]]&lt;&gt;"",IF(PaymentSchedule3[[#This Row],[Scheduled Payment]]+PaymentSchedule3[[#This Row],[Extra
Payment]]&lt;=PaymentSchedule3[[#This Row],[Beginning
Balance]],PaymentSchedule3[[#This Row],[Beginning
Balance]]-PaymentSchedule3[[#This Row],[Principal]],0),"")</f>
        <v>178814.77568606142</v>
      </c>
      <c r="K273" s="25">
        <f ca="1">IF(PaymentSchedule3[[#This Row],[Payment Number]]&lt;&gt;"",SUM(INDEX(PaymentSchedule3[Interest],1,1):PaymentSchedule3[[#This Row],[Interest]]),"")</f>
        <v>449595.19053719577</v>
      </c>
    </row>
    <row r="274" spans="2:11" x14ac:dyDescent="0.3">
      <c r="B274" s="23">
        <f ca="1">IF(LoanIsGood,IF(ROW()-ROW(PaymentSchedule3[[#Headers],[Payment Number]])&gt;ScheduledNumberOfPayments,"",ROW()-ROW(PaymentSchedule3[[#Headers],[Payment Number]])),"")</f>
        <v>261</v>
      </c>
      <c r="C274" s="24">
        <f ca="1">IF(PaymentSchedule3[[#This Row],[Payment Number]]&lt;&gt;"",EOMONTH(LoanStartDate,ROW(PaymentSchedule3[[#This Row],[Payment Number]])-ROW(PaymentSchedule3[[#Headers],[Payment Number]])-2)+DAY(LoanStartDate),"")</f>
        <v>53369</v>
      </c>
      <c r="D274" s="25">
        <f ca="1">IF(PaymentSchedule3[[#This Row],[Payment Number]]&lt;&gt;"",IF(ROW()-ROW(PaymentSchedule3[[#Headers],[Beginning
Balance]])=1,LoanAmount,INDEX(PaymentSchedule3[Ending
Balance],ROW()-ROW(PaymentSchedule3[[#Headers],[Beginning
Balance]])-1)),"")</f>
        <v>178814.77568606142</v>
      </c>
      <c r="E274" s="25">
        <f ca="1">IF(PaymentSchedule3[[#This Row],[Payment Number]]&lt;&gt;"",ScheduledPayment,"")</f>
        <v>2387.6169801966716</v>
      </c>
      <c r="F27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4" s="25">
        <f ca="1">IF(PaymentSchedule3[[#This Row],[Payment Number]]&lt;&gt;"",PaymentSchedule3[[#This Row],[Total
Payment]]-PaymentSchedule3[[#This Row],[Interest]],"")</f>
        <v>1307.2777104267172</v>
      </c>
      <c r="I274" s="25">
        <f ca="1">IF(PaymentSchedule3[[#This Row],[Payment Number]]&lt;&gt;"",PaymentSchedule3[[#This Row],[Beginning
Balance]]*(InterestRate/PaymentsPerYear),"")</f>
        <v>1080.3392697699544</v>
      </c>
      <c r="J274" s="25">
        <f ca="1">IF(PaymentSchedule3[[#This Row],[Payment Number]]&lt;&gt;"",IF(PaymentSchedule3[[#This Row],[Scheduled Payment]]+PaymentSchedule3[[#This Row],[Extra
Payment]]&lt;=PaymentSchedule3[[#This Row],[Beginning
Balance]],PaymentSchedule3[[#This Row],[Beginning
Balance]]-PaymentSchedule3[[#This Row],[Principal]],0),"")</f>
        <v>177507.4979756347</v>
      </c>
      <c r="K274" s="25">
        <f ca="1">IF(PaymentSchedule3[[#This Row],[Payment Number]]&lt;&gt;"",SUM(INDEX(PaymentSchedule3[Interest],1,1):PaymentSchedule3[[#This Row],[Interest]]),"")</f>
        <v>450675.52980696573</v>
      </c>
    </row>
    <row r="275" spans="2:11" x14ac:dyDescent="0.3">
      <c r="B275" s="23">
        <f ca="1">IF(LoanIsGood,IF(ROW()-ROW(PaymentSchedule3[[#Headers],[Payment Number]])&gt;ScheduledNumberOfPayments,"",ROW()-ROW(PaymentSchedule3[[#Headers],[Payment Number]])),"")</f>
        <v>262</v>
      </c>
      <c r="C275" s="24">
        <f ca="1">IF(PaymentSchedule3[[#This Row],[Payment Number]]&lt;&gt;"",EOMONTH(LoanStartDate,ROW(PaymentSchedule3[[#This Row],[Payment Number]])-ROW(PaymentSchedule3[[#Headers],[Payment Number]])-2)+DAY(LoanStartDate),"")</f>
        <v>53397</v>
      </c>
      <c r="D275" s="25">
        <f ca="1">IF(PaymentSchedule3[[#This Row],[Payment Number]]&lt;&gt;"",IF(ROW()-ROW(PaymentSchedule3[[#Headers],[Beginning
Balance]])=1,LoanAmount,INDEX(PaymentSchedule3[Ending
Balance],ROW()-ROW(PaymentSchedule3[[#Headers],[Beginning
Balance]])-1)),"")</f>
        <v>177507.4979756347</v>
      </c>
      <c r="E275" s="25">
        <f ca="1">IF(PaymentSchedule3[[#This Row],[Payment Number]]&lt;&gt;"",ScheduledPayment,"")</f>
        <v>2387.6169801966716</v>
      </c>
      <c r="F27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5" s="25">
        <f ca="1">IF(PaymentSchedule3[[#This Row],[Payment Number]]&lt;&gt;"",PaymentSchedule3[[#This Row],[Total
Payment]]-PaymentSchedule3[[#This Row],[Interest]],"")</f>
        <v>1315.1758465938788</v>
      </c>
      <c r="I275" s="25">
        <f ca="1">IF(PaymentSchedule3[[#This Row],[Payment Number]]&lt;&gt;"",PaymentSchedule3[[#This Row],[Beginning
Balance]]*(InterestRate/PaymentsPerYear),"")</f>
        <v>1072.4411336027929</v>
      </c>
      <c r="J275" s="25">
        <f ca="1">IF(PaymentSchedule3[[#This Row],[Payment Number]]&lt;&gt;"",IF(PaymentSchedule3[[#This Row],[Scheduled Payment]]+PaymentSchedule3[[#This Row],[Extra
Payment]]&lt;=PaymentSchedule3[[#This Row],[Beginning
Balance]],PaymentSchedule3[[#This Row],[Beginning
Balance]]-PaymentSchedule3[[#This Row],[Principal]],0),"")</f>
        <v>176192.32212904081</v>
      </c>
      <c r="K275" s="25">
        <f ca="1">IF(PaymentSchedule3[[#This Row],[Payment Number]]&lt;&gt;"",SUM(INDEX(PaymentSchedule3[Interest],1,1):PaymentSchedule3[[#This Row],[Interest]]),"")</f>
        <v>451747.97094056854</v>
      </c>
    </row>
    <row r="276" spans="2:11" x14ac:dyDescent="0.3">
      <c r="B276" s="23">
        <f ca="1">IF(LoanIsGood,IF(ROW()-ROW(PaymentSchedule3[[#Headers],[Payment Number]])&gt;ScheduledNumberOfPayments,"",ROW()-ROW(PaymentSchedule3[[#Headers],[Payment Number]])),"")</f>
        <v>263</v>
      </c>
      <c r="C276" s="24">
        <f ca="1">IF(PaymentSchedule3[[#This Row],[Payment Number]]&lt;&gt;"",EOMONTH(LoanStartDate,ROW(PaymentSchedule3[[#This Row],[Payment Number]])-ROW(PaymentSchedule3[[#Headers],[Payment Number]])-2)+DAY(LoanStartDate),"")</f>
        <v>53428</v>
      </c>
      <c r="D276" s="25">
        <f ca="1">IF(PaymentSchedule3[[#This Row],[Payment Number]]&lt;&gt;"",IF(ROW()-ROW(PaymentSchedule3[[#Headers],[Beginning
Balance]])=1,LoanAmount,INDEX(PaymentSchedule3[Ending
Balance],ROW()-ROW(PaymentSchedule3[[#Headers],[Beginning
Balance]])-1)),"")</f>
        <v>176192.32212904081</v>
      </c>
      <c r="E276" s="25">
        <f ca="1">IF(PaymentSchedule3[[#This Row],[Payment Number]]&lt;&gt;"",ScheduledPayment,"")</f>
        <v>2387.6169801966716</v>
      </c>
      <c r="F27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6" s="25">
        <f ca="1">IF(PaymentSchedule3[[#This Row],[Payment Number]]&lt;&gt;"",PaymentSchedule3[[#This Row],[Total
Payment]]-PaymentSchedule3[[#This Row],[Interest]],"")</f>
        <v>1323.1217006670502</v>
      </c>
      <c r="I276" s="25">
        <f ca="1">IF(PaymentSchedule3[[#This Row],[Payment Number]]&lt;&gt;"",PaymentSchedule3[[#This Row],[Beginning
Balance]]*(InterestRate/PaymentsPerYear),"")</f>
        <v>1064.4952795296215</v>
      </c>
      <c r="J276" s="25">
        <f ca="1">IF(PaymentSchedule3[[#This Row],[Payment Number]]&lt;&gt;"",IF(PaymentSchedule3[[#This Row],[Scheduled Payment]]+PaymentSchedule3[[#This Row],[Extra
Payment]]&lt;=PaymentSchedule3[[#This Row],[Beginning
Balance]],PaymentSchedule3[[#This Row],[Beginning
Balance]]-PaymentSchedule3[[#This Row],[Principal]],0),"")</f>
        <v>174869.20042837376</v>
      </c>
      <c r="K276" s="25">
        <f ca="1">IF(PaymentSchedule3[[#This Row],[Payment Number]]&lt;&gt;"",SUM(INDEX(PaymentSchedule3[Interest],1,1):PaymentSchedule3[[#This Row],[Interest]]),"")</f>
        <v>452812.46622009814</v>
      </c>
    </row>
    <row r="277" spans="2:11" x14ac:dyDescent="0.3">
      <c r="B277" s="23">
        <f ca="1">IF(LoanIsGood,IF(ROW()-ROW(PaymentSchedule3[[#Headers],[Payment Number]])&gt;ScheduledNumberOfPayments,"",ROW()-ROW(PaymentSchedule3[[#Headers],[Payment Number]])),"")</f>
        <v>264</v>
      </c>
      <c r="C277" s="24">
        <f ca="1">IF(PaymentSchedule3[[#This Row],[Payment Number]]&lt;&gt;"",EOMONTH(LoanStartDate,ROW(PaymentSchedule3[[#This Row],[Payment Number]])-ROW(PaymentSchedule3[[#Headers],[Payment Number]])-2)+DAY(LoanStartDate),"")</f>
        <v>53458</v>
      </c>
      <c r="D277" s="25">
        <f ca="1">IF(PaymentSchedule3[[#This Row],[Payment Number]]&lt;&gt;"",IF(ROW()-ROW(PaymentSchedule3[[#Headers],[Beginning
Balance]])=1,LoanAmount,INDEX(PaymentSchedule3[Ending
Balance],ROW()-ROW(PaymentSchedule3[[#Headers],[Beginning
Balance]])-1)),"")</f>
        <v>174869.20042837376</v>
      </c>
      <c r="E277" s="25">
        <f ca="1">IF(PaymentSchedule3[[#This Row],[Payment Number]]&lt;&gt;"",ScheduledPayment,"")</f>
        <v>2387.6169801966716</v>
      </c>
      <c r="F27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7" s="25">
        <f ca="1">IF(PaymentSchedule3[[#This Row],[Payment Number]]&lt;&gt;"",PaymentSchedule3[[#This Row],[Total
Payment]]-PaymentSchedule3[[#This Row],[Interest]],"")</f>
        <v>1331.1155609419136</v>
      </c>
      <c r="I277" s="25">
        <f ca="1">IF(PaymentSchedule3[[#This Row],[Payment Number]]&lt;&gt;"",PaymentSchedule3[[#This Row],[Beginning
Balance]]*(InterestRate/PaymentsPerYear),"")</f>
        <v>1056.501419254758</v>
      </c>
      <c r="J277" s="25">
        <f ca="1">IF(PaymentSchedule3[[#This Row],[Payment Number]]&lt;&gt;"",IF(PaymentSchedule3[[#This Row],[Scheduled Payment]]+PaymentSchedule3[[#This Row],[Extra
Payment]]&lt;=PaymentSchedule3[[#This Row],[Beginning
Balance]],PaymentSchedule3[[#This Row],[Beginning
Balance]]-PaymentSchedule3[[#This Row],[Principal]],0),"")</f>
        <v>173538.08486743184</v>
      </c>
      <c r="K277" s="25">
        <f ca="1">IF(PaymentSchedule3[[#This Row],[Payment Number]]&lt;&gt;"",SUM(INDEX(PaymentSchedule3[Interest],1,1):PaymentSchedule3[[#This Row],[Interest]]),"")</f>
        <v>453868.96763935289</v>
      </c>
    </row>
    <row r="278" spans="2:11" x14ac:dyDescent="0.3">
      <c r="B278" s="23">
        <f ca="1">IF(LoanIsGood,IF(ROW()-ROW(PaymentSchedule3[[#Headers],[Payment Number]])&gt;ScheduledNumberOfPayments,"",ROW()-ROW(PaymentSchedule3[[#Headers],[Payment Number]])),"")</f>
        <v>265</v>
      </c>
      <c r="C278" s="24">
        <f ca="1">IF(PaymentSchedule3[[#This Row],[Payment Number]]&lt;&gt;"",EOMONTH(LoanStartDate,ROW(PaymentSchedule3[[#This Row],[Payment Number]])-ROW(PaymentSchedule3[[#Headers],[Payment Number]])-2)+DAY(LoanStartDate),"")</f>
        <v>53489</v>
      </c>
      <c r="D278" s="25">
        <f ca="1">IF(PaymentSchedule3[[#This Row],[Payment Number]]&lt;&gt;"",IF(ROW()-ROW(PaymentSchedule3[[#Headers],[Beginning
Balance]])=1,LoanAmount,INDEX(PaymentSchedule3[Ending
Balance],ROW()-ROW(PaymentSchedule3[[#Headers],[Beginning
Balance]])-1)),"")</f>
        <v>173538.08486743184</v>
      </c>
      <c r="E278" s="25">
        <f ca="1">IF(PaymentSchedule3[[#This Row],[Payment Number]]&lt;&gt;"",ScheduledPayment,"")</f>
        <v>2387.6169801966716</v>
      </c>
      <c r="F27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8" s="25">
        <f ca="1">IF(PaymentSchedule3[[#This Row],[Payment Number]]&lt;&gt;"",PaymentSchedule3[[#This Row],[Total
Payment]]-PaymentSchedule3[[#This Row],[Interest]],"")</f>
        <v>1339.1577174559377</v>
      </c>
      <c r="I278" s="25">
        <f ca="1">IF(PaymentSchedule3[[#This Row],[Payment Number]]&lt;&gt;"",PaymentSchedule3[[#This Row],[Beginning
Balance]]*(InterestRate/PaymentsPerYear),"")</f>
        <v>1048.4592627407339</v>
      </c>
      <c r="J278" s="25">
        <f ca="1">IF(PaymentSchedule3[[#This Row],[Payment Number]]&lt;&gt;"",IF(PaymentSchedule3[[#This Row],[Scheduled Payment]]+PaymentSchedule3[[#This Row],[Extra
Payment]]&lt;=PaymentSchedule3[[#This Row],[Beginning
Balance]],PaymentSchedule3[[#This Row],[Beginning
Balance]]-PaymentSchedule3[[#This Row],[Principal]],0),"")</f>
        <v>172198.92714997591</v>
      </c>
      <c r="K278" s="25">
        <f ca="1">IF(PaymentSchedule3[[#This Row],[Payment Number]]&lt;&gt;"",SUM(INDEX(PaymentSchedule3[Interest],1,1):PaymentSchedule3[[#This Row],[Interest]]),"")</f>
        <v>454917.42690209363</v>
      </c>
    </row>
    <row r="279" spans="2:11" x14ac:dyDescent="0.3">
      <c r="B279" s="23">
        <f ca="1">IF(LoanIsGood,IF(ROW()-ROW(PaymentSchedule3[[#Headers],[Payment Number]])&gt;ScheduledNumberOfPayments,"",ROW()-ROW(PaymentSchedule3[[#Headers],[Payment Number]])),"")</f>
        <v>266</v>
      </c>
      <c r="C279" s="24">
        <f ca="1">IF(PaymentSchedule3[[#This Row],[Payment Number]]&lt;&gt;"",EOMONTH(LoanStartDate,ROW(PaymentSchedule3[[#This Row],[Payment Number]])-ROW(PaymentSchedule3[[#Headers],[Payment Number]])-2)+DAY(LoanStartDate),"")</f>
        <v>53519</v>
      </c>
      <c r="D279" s="25">
        <f ca="1">IF(PaymentSchedule3[[#This Row],[Payment Number]]&lt;&gt;"",IF(ROW()-ROW(PaymentSchedule3[[#Headers],[Beginning
Balance]])=1,LoanAmount,INDEX(PaymentSchedule3[Ending
Balance],ROW()-ROW(PaymentSchedule3[[#Headers],[Beginning
Balance]])-1)),"")</f>
        <v>172198.92714997591</v>
      </c>
      <c r="E279" s="25">
        <f ca="1">IF(PaymentSchedule3[[#This Row],[Payment Number]]&lt;&gt;"",ScheduledPayment,"")</f>
        <v>2387.6169801966716</v>
      </c>
      <c r="F27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7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79" s="25">
        <f ca="1">IF(PaymentSchedule3[[#This Row],[Payment Number]]&lt;&gt;"",PaymentSchedule3[[#This Row],[Total
Payment]]-PaymentSchedule3[[#This Row],[Interest]],"")</f>
        <v>1347.2484619989007</v>
      </c>
      <c r="I279" s="25">
        <f ca="1">IF(PaymentSchedule3[[#This Row],[Payment Number]]&lt;&gt;"",PaymentSchedule3[[#This Row],[Beginning
Balance]]*(InterestRate/PaymentsPerYear),"")</f>
        <v>1040.368518197771</v>
      </c>
      <c r="J279" s="25">
        <f ca="1">IF(PaymentSchedule3[[#This Row],[Payment Number]]&lt;&gt;"",IF(PaymentSchedule3[[#This Row],[Scheduled Payment]]+PaymentSchedule3[[#This Row],[Extra
Payment]]&lt;=PaymentSchedule3[[#This Row],[Beginning
Balance]],PaymentSchedule3[[#This Row],[Beginning
Balance]]-PaymentSchedule3[[#This Row],[Principal]],0),"")</f>
        <v>170851.67868797699</v>
      </c>
      <c r="K279" s="25">
        <f ca="1">IF(PaymentSchedule3[[#This Row],[Payment Number]]&lt;&gt;"",SUM(INDEX(PaymentSchedule3[Interest],1,1):PaymentSchedule3[[#This Row],[Interest]]),"")</f>
        <v>455957.79542029143</v>
      </c>
    </row>
    <row r="280" spans="2:11" x14ac:dyDescent="0.3">
      <c r="B280" s="23">
        <f ca="1">IF(LoanIsGood,IF(ROW()-ROW(PaymentSchedule3[[#Headers],[Payment Number]])&gt;ScheduledNumberOfPayments,"",ROW()-ROW(PaymentSchedule3[[#Headers],[Payment Number]])),"")</f>
        <v>267</v>
      </c>
      <c r="C280" s="24">
        <f ca="1">IF(PaymentSchedule3[[#This Row],[Payment Number]]&lt;&gt;"",EOMONTH(LoanStartDate,ROW(PaymentSchedule3[[#This Row],[Payment Number]])-ROW(PaymentSchedule3[[#Headers],[Payment Number]])-2)+DAY(LoanStartDate),"")</f>
        <v>53550</v>
      </c>
      <c r="D280" s="25">
        <f ca="1">IF(PaymentSchedule3[[#This Row],[Payment Number]]&lt;&gt;"",IF(ROW()-ROW(PaymentSchedule3[[#Headers],[Beginning
Balance]])=1,LoanAmount,INDEX(PaymentSchedule3[Ending
Balance],ROW()-ROW(PaymentSchedule3[[#Headers],[Beginning
Balance]])-1)),"")</f>
        <v>170851.67868797699</v>
      </c>
      <c r="E280" s="25">
        <f ca="1">IF(PaymentSchedule3[[#This Row],[Payment Number]]&lt;&gt;"",ScheduledPayment,"")</f>
        <v>2387.6169801966716</v>
      </c>
      <c r="F28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0" s="25">
        <f ca="1">IF(PaymentSchedule3[[#This Row],[Payment Number]]&lt;&gt;"",PaymentSchedule3[[#This Row],[Total
Payment]]-PaymentSchedule3[[#This Row],[Interest]],"")</f>
        <v>1355.3880881234772</v>
      </c>
      <c r="I280" s="25">
        <f ca="1">IF(PaymentSchedule3[[#This Row],[Payment Number]]&lt;&gt;"",PaymentSchedule3[[#This Row],[Beginning
Balance]]*(InterestRate/PaymentsPerYear),"")</f>
        <v>1032.2288920731944</v>
      </c>
      <c r="J280" s="25">
        <f ca="1">IF(PaymentSchedule3[[#This Row],[Payment Number]]&lt;&gt;"",IF(PaymentSchedule3[[#This Row],[Scheduled Payment]]+PaymentSchedule3[[#This Row],[Extra
Payment]]&lt;=PaymentSchedule3[[#This Row],[Beginning
Balance]],PaymentSchedule3[[#This Row],[Beginning
Balance]]-PaymentSchedule3[[#This Row],[Principal]],0),"")</f>
        <v>169496.29059985353</v>
      </c>
      <c r="K280" s="25">
        <f ca="1">IF(PaymentSchedule3[[#This Row],[Payment Number]]&lt;&gt;"",SUM(INDEX(PaymentSchedule3[Interest],1,1):PaymentSchedule3[[#This Row],[Interest]]),"")</f>
        <v>456990.02431236464</v>
      </c>
    </row>
    <row r="281" spans="2:11" x14ac:dyDescent="0.3">
      <c r="B281" s="23">
        <f ca="1">IF(LoanIsGood,IF(ROW()-ROW(PaymentSchedule3[[#Headers],[Payment Number]])&gt;ScheduledNumberOfPayments,"",ROW()-ROW(PaymentSchedule3[[#Headers],[Payment Number]])),"")</f>
        <v>268</v>
      </c>
      <c r="C281" s="24">
        <f ca="1">IF(PaymentSchedule3[[#This Row],[Payment Number]]&lt;&gt;"",EOMONTH(LoanStartDate,ROW(PaymentSchedule3[[#This Row],[Payment Number]])-ROW(PaymentSchedule3[[#Headers],[Payment Number]])-2)+DAY(LoanStartDate),"")</f>
        <v>53581</v>
      </c>
      <c r="D281" s="25">
        <f ca="1">IF(PaymentSchedule3[[#This Row],[Payment Number]]&lt;&gt;"",IF(ROW()-ROW(PaymentSchedule3[[#Headers],[Beginning
Balance]])=1,LoanAmount,INDEX(PaymentSchedule3[Ending
Balance],ROW()-ROW(PaymentSchedule3[[#Headers],[Beginning
Balance]])-1)),"")</f>
        <v>169496.29059985353</v>
      </c>
      <c r="E281" s="25">
        <f ca="1">IF(PaymentSchedule3[[#This Row],[Payment Number]]&lt;&gt;"",ScheduledPayment,"")</f>
        <v>2387.6169801966716</v>
      </c>
      <c r="F28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1" s="25">
        <f ca="1">IF(PaymentSchedule3[[#This Row],[Payment Number]]&lt;&gt;"",PaymentSchedule3[[#This Row],[Total
Payment]]-PaymentSchedule3[[#This Row],[Interest]],"")</f>
        <v>1363.5768911558898</v>
      </c>
      <c r="I281" s="25">
        <f ca="1">IF(PaymentSchedule3[[#This Row],[Payment Number]]&lt;&gt;"",PaymentSchedule3[[#This Row],[Beginning
Balance]]*(InterestRate/PaymentsPerYear),"")</f>
        <v>1024.0400890407818</v>
      </c>
      <c r="J281" s="25">
        <f ca="1">IF(PaymentSchedule3[[#This Row],[Payment Number]]&lt;&gt;"",IF(PaymentSchedule3[[#This Row],[Scheduled Payment]]+PaymentSchedule3[[#This Row],[Extra
Payment]]&lt;=PaymentSchedule3[[#This Row],[Beginning
Balance]],PaymentSchedule3[[#This Row],[Beginning
Balance]]-PaymentSchedule3[[#This Row],[Principal]],0),"")</f>
        <v>168132.71370869764</v>
      </c>
      <c r="K281" s="25">
        <f ca="1">IF(PaymentSchedule3[[#This Row],[Payment Number]]&lt;&gt;"",SUM(INDEX(PaymentSchedule3[Interest],1,1):PaymentSchedule3[[#This Row],[Interest]]),"")</f>
        <v>458014.0644014054</v>
      </c>
    </row>
    <row r="282" spans="2:11" x14ac:dyDescent="0.3">
      <c r="B282" s="23">
        <f ca="1">IF(LoanIsGood,IF(ROW()-ROW(PaymentSchedule3[[#Headers],[Payment Number]])&gt;ScheduledNumberOfPayments,"",ROW()-ROW(PaymentSchedule3[[#Headers],[Payment Number]])),"")</f>
        <v>269</v>
      </c>
      <c r="C282" s="24">
        <f ca="1">IF(PaymentSchedule3[[#This Row],[Payment Number]]&lt;&gt;"",EOMONTH(LoanStartDate,ROW(PaymentSchedule3[[#This Row],[Payment Number]])-ROW(PaymentSchedule3[[#Headers],[Payment Number]])-2)+DAY(LoanStartDate),"")</f>
        <v>53611</v>
      </c>
      <c r="D282" s="25">
        <f ca="1">IF(PaymentSchedule3[[#This Row],[Payment Number]]&lt;&gt;"",IF(ROW()-ROW(PaymentSchedule3[[#Headers],[Beginning
Balance]])=1,LoanAmount,INDEX(PaymentSchedule3[Ending
Balance],ROW()-ROW(PaymentSchedule3[[#Headers],[Beginning
Balance]])-1)),"")</f>
        <v>168132.71370869764</v>
      </c>
      <c r="E282" s="25">
        <f ca="1">IF(PaymentSchedule3[[#This Row],[Payment Number]]&lt;&gt;"",ScheduledPayment,"")</f>
        <v>2387.6169801966716</v>
      </c>
      <c r="F28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2" s="25">
        <f ca="1">IF(PaymentSchedule3[[#This Row],[Payment Number]]&lt;&gt;"",PaymentSchedule3[[#This Row],[Total
Payment]]-PaymentSchedule3[[#This Row],[Interest]],"")</f>
        <v>1371.8151682066234</v>
      </c>
      <c r="I282" s="25">
        <f ca="1">IF(PaymentSchedule3[[#This Row],[Payment Number]]&lt;&gt;"",PaymentSchedule3[[#This Row],[Beginning
Balance]]*(InterestRate/PaymentsPerYear),"")</f>
        <v>1015.8018119900482</v>
      </c>
      <c r="J282" s="25">
        <f ca="1">IF(PaymentSchedule3[[#This Row],[Payment Number]]&lt;&gt;"",IF(PaymentSchedule3[[#This Row],[Scheduled Payment]]+PaymentSchedule3[[#This Row],[Extra
Payment]]&lt;=PaymentSchedule3[[#This Row],[Beginning
Balance]],PaymentSchedule3[[#This Row],[Beginning
Balance]]-PaymentSchedule3[[#This Row],[Principal]],0),"")</f>
        <v>166760.89854049103</v>
      </c>
      <c r="K282" s="25">
        <f ca="1">IF(PaymentSchedule3[[#This Row],[Payment Number]]&lt;&gt;"",SUM(INDEX(PaymentSchedule3[Interest],1,1):PaymentSchedule3[[#This Row],[Interest]]),"")</f>
        <v>459029.86621339543</v>
      </c>
    </row>
    <row r="283" spans="2:11" x14ac:dyDescent="0.3">
      <c r="B283" s="23">
        <f ca="1">IF(LoanIsGood,IF(ROW()-ROW(PaymentSchedule3[[#Headers],[Payment Number]])&gt;ScheduledNumberOfPayments,"",ROW()-ROW(PaymentSchedule3[[#Headers],[Payment Number]])),"")</f>
        <v>270</v>
      </c>
      <c r="C283" s="24">
        <f ca="1">IF(PaymentSchedule3[[#This Row],[Payment Number]]&lt;&gt;"",EOMONTH(LoanStartDate,ROW(PaymentSchedule3[[#This Row],[Payment Number]])-ROW(PaymentSchedule3[[#Headers],[Payment Number]])-2)+DAY(LoanStartDate),"")</f>
        <v>53642</v>
      </c>
      <c r="D283" s="25">
        <f ca="1">IF(PaymentSchedule3[[#This Row],[Payment Number]]&lt;&gt;"",IF(ROW()-ROW(PaymentSchedule3[[#Headers],[Beginning
Balance]])=1,LoanAmount,INDEX(PaymentSchedule3[Ending
Balance],ROW()-ROW(PaymentSchedule3[[#Headers],[Beginning
Balance]])-1)),"")</f>
        <v>166760.89854049103</v>
      </c>
      <c r="E283" s="25">
        <f ca="1">IF(PaymentSchedule3[[#This Row],[Payment Number]]&lt;&gt;"",ScheduledPayment,"")</f>
        <v>2387.6169801966716</v>
      </c>
      <c r="F28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3" s="25">
        <f ca="1">IF(PaymentSchedule3[[#This Row],[Payment Number]]&lt;&gt;"",PaymentSchedule3[[#This Row],[Total
Payment]]-PaymentSchedule3[[#This Row],[Interest]],"")</f>
        <v>1380.103218181205</v>
      </c>
      <c r="I283" s="25">
        <f ca="1">IF(PaymentSchedule3[[#This Row],[Payment Number]]&lt;&gt;"",PaymentSchedule3[[#This Row],[Beginning
Balance]]*(InterestRate/PaymentsPerYear),"")</f>
        <v>1007.5137620154667</v>
      </c>
      <c r="J283" s="25">
        <f ca="1">IF(PaymentSchedule3[[#This Row],[Payment Number]]&lt;&gt;"",IF(PaymentSchedule3[[#This Row],[Scheduled Payment]]+PaymentSchedule3[[#This Row],[Extra
Payment]]&lt;=PaymentSchedule3[[#This Row],[Beginning
Balance]],PaymentSchedule3[[#This Row],[Beginning
Balance]]-PaymentSchedule3[[#This Row],[Principal]],0),"")</f>
        <v>165380.79532230983</v>
      </c>
      <c r="K283" s="25">
        <f ca="1">IF(PaymentSchedule3[[#This Row],[Payment Number]]&lt;&gt;"",SUM(INDEX(PaymentSchedule3[Interest],1,1):PaymentSchedule3[[#This Row],[Interest]]),"")</f>
        <v>460037.37997541088</v>
      </c>
    </row>
    <row r="284" spans="2:11" x14ac:dyDescent="0.3">
      <c r="B284" s="23">
        <f ca="1">IF(LoanIsGood,IF(ROW()-ROW(PaymentSchedule3[[#Headers],[Payment Number]])&gt;ScheduledNumberOfPayments,"",ROW()-ROW(PaymentSchedule3[[#Headers],[Payment Number]])),"")</f>
        <v>271</v>
      </c>
      <c r="C284" s="24">
        <f ca="1">IF(PaymentSchedule3[[#This Row],[Payment Number]]&lt;&gt;"",EOMONTH(LoanStartDate,ROW(PaymentSchedule3[[#This Row],[Payment Number]])-ROW(PaymentSchedule3[[#Headers],[Payment Number]])-2)+DAY(LoanStartDate),"")</f>
        <v>53672</v>
      </c>
      <c r="D284" s="25">
        <f ca="1">IF(PaymentSchedule3[[#This Row],[Payment Number]]&lt;&gt;"",IF(ROW()-ROW(PaymentSchedule3[[#Headers],[Beginning
Balance]])=1,LoanAmount,INDEX(PaymentSchedule3[Ending
Balance],ROW()-ROW(PaymentSchedule3[[#Headers],[Beginning
Balance]])-1)),"")</f>
        <v>165380.79532230983</v>
      </c>
      <c r="E284" s="25">
        <f ca="1">IF(PaymentSchedule3[[#This Row],[Payment Number]]&lt;&gt;"",ScheduledPayment,"")</f>
        <v>2387.6169801966716</v>
      </c>
      <c r="F28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4" s="25">
        <f ca="1">IF(PaymentSchedule3[[#This Row],[Payment Number]]&lt;&gt;"",PaymentSchedule3[[#This Row],[Total
Payment]]-PaymentSchedule3[[#This Row],[Interest]],"")</f>
        <v>1388.4413417910498</v>
      </c>
      <c r="I284" s="25">
        <f ca="1">IF(PaymentSchedule3[[#This Row],[Payment Number]]&lt;&gt;"",PaymentSchedule3[[#This Row],[Beginning
Balance]]*(InterestRate/PaymentsPerYear),"")</f>
        <v>999.17563840562184</v>
      </c>
      <c r="J284" s="25">
        <f ca="1">IF(PaymentSchedule3[[#This Row],[Payment Number]]&lt;&gt;"",IF(PaymentSchedule3[[#This Row],[Scheduled Payment]]+PaymentSchedule3[[#This Row],[Extra
Payment]]&lt;=PaymentSchedule3[[#This Row],[Beginning
Balance]],PaymentSchedule3[[#This Row],[Beginning
Balance]]-PaymentSchedule3[[#This Row],[Principal]],0),"")</f>
        <v>163992.35398051879</v>
      </c>
      <c r="K284" s="25">
        <f ca="1">IF(PaymentSchedule3[[#This Row],[Payment Number]]&lt;&gt;"",SUM(INDEX(PaymentSchedule3[Interest],1,1):PaymentSchedule3[[#This Row],[Interest]]),"")</f>
        <v>461036.55561381648</v>
      </c>
    </row>
    <row r="285" spans="2:11" x14ac:dyDescent="0.3">
      <c r="B285" s="23">
        <f ca="1">IF(LoanIsGood,IF(ROW()-ROW(PaymentSchedule3[[#Headers],[Payment Number]])&gt;ScheduledNumberOfPayments,"",ROW()-ROW(PaymentSchedule3[[#Headers],[Payment Number]])),"")</f>
        <v>272</v>
      </c>
      <c r="C285" s="24">
        <f ca="1">IF(PaymentSchedule3[[#This Row],[Payment Number]]&lt;&gt;"",EOMONTH(LoanStartDate,ROW(PaymentSchedule3[[#This Row],[Payment Number]])-ROW(PaymentSchedule3[[#Headers],[Payment Number]])-2)+DAY(LoanStartDate),"")</f>
        <v>53703</v>
      </c>
      <c r="D285" s="25">
        <f ca="1">IF(PaymentSchedule3[[#This Row],[Payment Number]]&lt;&gt;"",IF(ROW()-ROW(PaymentSchedule3[[#Headers],[Beginning
Balance]])=1,LoanAmount,INDEX(PaymentSchedule3[Ending
Balance],ROW()-ROW(PaymentSchedule3[[#Headers],[Beginning
Balance]])-1)),"")</f>
        <v>163992.35398051879</v>
      </c>
      <c r="E285" s="25">
        <f ca="1">IF(PaymentSchedule3[[#This Row],[Payment Number]]&lt;&gt;"",ScheduledPayment,"")</f>
        <v>2387.6169801966716</v>
      </c>
      <c r="F28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5" s="25">
        <f ca="1">IF(PaymentSchedule3[[#This Row],[Payment Number]]&lt;&gt;"",PaymentSchedule3[[#This Row],[Total
Payment]]-PaymentSchedule3[[#This Row],[Interest]],"")</f>
        <v>1396.8298415643708</v>
      </c>
      <c r="I285" s="25">
        <f ca="1">IF(PaymentSchedule3[[#This Row],[Payment Number]]&lt;&gt;"",PaymentSchedule3[[#This Row],[Beginning
Balance]]*(InterestRate/PaymentsPerYear),"")</f>
        <v>990.78713863230098</v>
      </c>
      <c r="J285" s="25">
        <f ca="1">IF(PaymentSchedule3[[#This Row],[Payment Number]]&lt;&gt;"",IF(PaymentSchedule3[[#This Row],[Scheduled Payment]]+PaymentSchedule3[[#This Row],[Extra
Payment]]&lt;=PaymentSchedule3[[#This Row],[Beginning
Balance]],PaymentSchedule3[[#This Row],[Beginning
Balance]]-PaymentSchedule3[[#This Row],[Principal]],0),"")</f>
        <v>162595.52413895441</v>
      </c>
      <c r="K285" s="25">
        <f ca="1">IF(PaymentSchedule3[[#This Row],[Payment Number]]&lt;&gt;"",SUM(INDEX(PaymentSchedule3[Interest],1,1):PaymentSchedule3[[#This Row],[Interest]]),"")</f>
        <v>462027.34275244881</v>
      </c>
    </row>
    <row r="286" spans="2:11" x14ac:dyDescent="0.3">
      <c r="B286" s="23">
        <f ca="1">IF(LoanIsGood,IF(ROW()-ROW(PaymentSchedule3[[#Headers],[Payment Number]])&gt;ScheduledNumberOfPayments,"",ROW()-ROW(PaymentSchedule3[[#Headers],[Payment Number]])),"")</f>
        <v>273</v>
      </c>
      <c r="C286" s="24">
        <f ca="1">IF(PaymentSchedule3[[#This Row],[Payment Number]]&lt;&gt;"",EOMONTH(LoanStartDate,ROW(PaymentSchedule3[[#This Row],[Payment Number]])-ROW(PaymentSchedule3[[#Headers],[Payment Number]])-2)+DAY(LoanStartDate),"")</f>
        <v>53734</v>
      </c>
      <c r="D286" s="25">
        <f ca="1">IF(PaymentSchedule3[[#This Row],[Payment Number]]&lt;&gt;"",IF(ROW()-ROW(PaymentSchedule3[[#Headers],[Beginning
Balance]])=1,LoanAmount,INDEX(PaymentSchedule3[Ending
Balance],ROW()-ROW(PaymentSchedule3[[#Headers],[Beginning
Balance]])-1)),"")</f>
        <v>162595.52413895441</v>
      </c>
      <c r="E286" s="25">
        <f ca="1">IF(PaymentSchedule3[[#This Row],[Payment Number]]&lt;&gt;"",ScheduledPayment,"")</f>
        <v>2387.6169801966716</v>
      </c>
      <c r="F28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6" s="25">
        <f ca="1">IF(PaymentSchedule3[[#This Row],[Payment Number]]&lt;&gt;"",PaymentSchedule3[[#This Row],[Total
Payment]]-PaymentSchedule3[[#This Row],[Interest]],"")</f>
        <v>1405.2690218571554</v>
      </c>
      <c r="I286" s="25">
        <f ca="1">IF(PaymentSchedule3[[#This Row],[Payment Number]]&lt;&gt;"",PaymentSchedule3[[#This Row],[Beginning
Balance]]*(InterestRate/PaymentsPerYear),"")</f>
        <v>982.34795833951625</v>
      </c>
      <c r="J286" s="25">
        <f ca="1">IF(PaymentSchedule3[[#This Row],[Payment Number]]&lt;&gt;"",IF(PaymentSchedule3[[#This Row],[Scheduled Payment]]+PaymentSchedule3[[#This Row],[Extra
Payment]]&lt;=PaymentSchedule3[[#This Row],[Beginning
Balance]],PaymentSchedule3[[#This Row],[Beginning
Balance]]-PaymentSchedule3[[#This Row],[Principal]],0),"")</f>
        <v>161190.25511709726</v>
      </c>
      <c r="K286" s="25">
        <f ca="1">IF(PaymentSchedule3[[#This Row],[Payment Number]]&lt;&gt;"",SUM(INDEX(PaymentSchedule3[Interest],1,1):PaymentSchedule3[[#This Row],[Interest]]),"")</f>
        <v>463009.6907107883</v>
      </c>
    </row>
    <row r="287" spans="2:11" x14ac:dyDescent="0.3">
      <c r="B287" s="23">
        <f ca="1">IF(LoanIsGood,IF(ROW()-ROW(PaymentSchedule3[[#Headers],[Payment Number]])&gt;ScheduledNumberOfPayments,"",ROW()-ROW(PaymentSchedule3[[#Headers],[Payment Number]])),"")</f>
        <v>274</v>
      </c>
      <c r="C287" s="24">
        <f ca="1">IF(PaymentSchedule3[[#This Row],[Payment Number]]&lt;&gt;"",EOMONTH(LoanStartDate,ROW(PaymentSchedule3[[#This Row],[Payment Number]])-ROW(PaymentSchedule3[[#Headers],[Payment Number]])-2)+DAY(LoanStartDate),"")</f>
        <v>53762</v>
      </c>
      <c r="D287" s="25">
        <f ca="1">IF(PaymentSchedule3[[#This Row],[Payment Number]]&lt;&gt;"",IF(ROW()-ROW(PaymentSchedule3[[#Headers],[Beginning
Balance]])=1,LoanAmount,INDEX(PaymentSchedule3[Ending
Balance],ROW()-ROW(PaymentSchedule3[[#Headers],[Beginning
Balance]])-1)),"")</f>
        <v>161190.25511709726</v>
      </c>
      <c r="E287" s="25">
        <f ca="1">IF(PaymentSchedule3[[#This Row],[Payment Number]]&lt;&gt;"",ScheduledPayment,"")</f>
        <v>2387.6169801966716</v>
      </c>
      <c r="F28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7" s="25">
        <f ca="1">IF(PaymentSchedule3[[#This Row],[Payment Number]]&lt;&gt;"",PaymentSchedule3[[#This Row],[Total
Payment]]-PaymentSchedule3[[#This Row],[Interest]],"")</f>
        <v>1413.7591888642091</v>
      </c>
      <c r="I287" s="25">
        <f ca="1">IF(PaymentSchedule3[[#This Row],[Payment Number]]&lt;&gt;"",PaymentSchedule3[[#This Row],[Beginning
Balance]]*(InterestRate/PaymentsPerYear),"")</f>
        <v>973.85779133246263</v>
      </c>
      <c r="J287" s="25">
        <f ca="1">IF(PaymentSchedule3[[#This Row],[Payment Number]]&lt;&gt;"",IF(PaymentSchedule3[[#This Row],[Scheduled Payment]]+PaymentSchedule3[[#This Row],[Extra
Payment]]&lt;=PaymentSchedule3[[#This Row],[Beginning
Balance]],PaymentSchedule3[[#This Row],[Beginning
Balance]]-PaymentSchedule3[[#This Row],[Principal]],0),"")</f>
        <v>159776.49592823305</v>
      </c>
      <c r="K287" s="25">
        <f ca="1">IF(PaymentSchedule3[[#This Row],[Payment Number]]&lt;&gt;"",SUM(INDEX(PaymentSchedule3[Interest],1,1):PaymentSchedule3[[#This Row],[Interest]]),"")</f>
        <v>463983.54850212077</v>
      </c>
    </row>
    <row r="288" spans="2:11" x14ac:dyDescent="0.3">
      <c r="B288" s="23">
        <f ca="1">IF(LoanIsGood,IF(ROW()-ROW(PaymentSchedule3[[#Headers],[Payment Number]])&gt;ScheduledNumberOfPayments,"",ROW()-ROW(PaymentSchedule3[[#Headers],[Payment Number]])),"")</f>
        <v>275</v>
      </c>
      <c r="C288" s="24">
        <f ca="1">IF(PaymentSchedule3[[#This Row],[Payment Number]]&lt;&gt;"",EOMONTH(LoanStartDate,ROW(PaymentSchedule3[[#This Row],[Payment Number]])-ROW(PaymentSchedule3[[#Headers],[Payment Number]])-2)+DAY(LoanStartDate),"")</f>
        <v>53793</v>
      </c>
      <c r="D288" s="25">
        <f ca="1">IF(PaymentSchedule3[[#This Row],[Payment Number]]&lt;&gt;"",IF(ROW()-ROW(PaymentSchedule3[[#Headers],[Beginning
Balance]])=1,LoanAmount,INDEX(PaymentSchedule3[Ending
Balance],ROW()-ROW(PaymentSchedule3[[#Headers],[Beginning
Balance]])-1)),"")</f>
        <v>159776.49592823305</v>
      </c>
      <c r="E288" s="25">
        <f ca="1">IF(PaymentSchedule3[[#This Row],[Payment Number]]&lt;&gt;"",ScheduledPayment,"")</f>
        <v>2387.6169801966716</v>
      </c>
      <c r="F28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8" s="25">
        <f ca="1">IF(PaymentSchedule3[[#This Row],[Payment Number]]&lt;&gt;"",PaymentSchedule3[[#This Row],[Total
Payment]]-PaymentSchedule3[[#This Row],[Interest]],"")</f>
        <v>1422.3006506302636</v>
      </c>
      <c r="I288" s="25">
        <f ca="1">IF(PaymentSchedule3[[#This Row],[Payment Number]]&lt;&gt;"",PaymentSchedule3[[#This Row],[Beginning
Balance]]*(InterestRate/PaymentsPerYear),"")</f>
        <v>965.31632956640806</v>
      </c>
      <c r="J288" s="25">
        <f ca="1">IF(PaymentSchedule3[[#This Row],[Payment Number]]&lt;&gt;"",IF(PaymentSchedule3[[#This Row],[Scheduled Payment]]+PaymentSchedule3[[#This Row],[Extra
Payment]]&lt;=PaymentSchedule3[[#This Row],[Beginning
Balance]],PaymentSchedule3[[#This Row],[Beginning
Balance]]-PaymentSchedule3[[#This Row],[Principal]],0),"")</f>
        <v>158354.19527760279</v>
      </c>
      <c r="K288" s="25">
        <f ca="1">IF(PaymentSchedule3[[#This Row],[Payment Number]]&lt;&gt;"",SUM(INDEX(PaymentSchedule3[Interest],1,1):PaymentSchedule3[[#This Row],[Interest]]),"")</f>
        <v>464948.86483168718</v>
      </c>
    </row>
    <row r="289" spans="2:11" x14ac:dyDescent="0.3">
      <c r="B289" s="23">
        <f ca="1">IF(LoanIsGood,IF(ROW()-ROW(PaymentSchedule3[[#Headers],[Payment Number]])&gt;ScheduledNumberOfPayments,"",ROW()-ROW(PaymentSchedule3[[#Headers],[Payment Number]])),"")</f>
        <v>276</v>
      </c>
      <c r="C289" s="24">
        <f ca="1">IF(PaymentSchedule3[[#This Row],[Payment Number]]&lt;&gt;"",EOMONTH(LoanStartDate,ROW(PaymentSchedule3[[#This Row],[Payment Number]])-ROW(PaymentSchedule3[[#Headers],[Payment Number]])-2)+DAY(LoanStartDate),"")</f>
        <v>53823</v>
      </c>
      <c r="D289" s="25">
        <f ca="1">IF(PaymentSchedule3[[#This Row],[Payment Number]]&lt;&gt;"",IF(ROW()-ROW(PaymentSchedule3[[#Headers],[Beginning
Balance]])=1,LoanAmount,INDEX(PaymentSchedule3[Ending
Balance],ROW()-ROW(PaymentSchedule3[[#Headers],[Beginning
Balance]])-1)),"")</f>
        <v>158354.19527760279</v>
      </c>
      <c r="E289" s="25">
        <f ca="1">IF(PaymentSchedule3[[#This Row],[Payment Number]]&lt;&gt;"",ScheduledPayment,"")</f>
        <v>2387.6169801966716</v>
      </c>
      <c r="F28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8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89" s="25">
        <f ca="1">IF(PaymentSchedule3[[#This Row],[Payment Number]]&lt;&gt;"",PaymentSchedule3[[#This Row],[Total
Payment]]-PaymentSchedule3[[#This Row],[Interest]],"")</f>
        <v>1430.8937170611548</v>
      </c>
      <c r="I289" s="25">
        <f ca="1">IF(PaymentSchedule3[[#This Row],[Payment Number]]&lt;&gt;"",PaymentSchedule3[[#This Row],[Beginning
Balance]]*(InterestRate/PaymentsPerYear),"")</f>
        <v>956.72326313551685</v>
      </c>
      <c r="J289" s="25">
        <f ca="1">IF(PaymentSchedule3[[#This Row],[Payment Number]]&lt;&gt;"",IF(PaymentSchedule3[[#This Row],[Scheduled Payment]]+PaymentSchedule3[[#This Row],[Extra
Payment]]&lt;=PaymentSchedule3[[#This Row],[Beginning
Balance]],PaymentSchedule3[[#This Row],[Beginning
Balance]]-PaymentSchedule3[[#This Row],[Principal]],0),"")</f>
        <v>156923.30156054164</v>
      </c>
      <c r="K289" s="25">
        <f ca="1">IF(PaymentSchedule3[[#This Row],[Payment Number]]&lt;&gt;"",SUM(INDEX(PaymentSchedule3[Interest],1,1):PaymentSchedule3[[#This Row],[Interest]]),"")</f>
        <v>465905.58809482271</v>
      </c>
    </row>
    <row r="290" spans="2:11" x14ac:dyDescent="0.3">
      <c r="B290" s="23">
        <f ca="1">IF(LoanIsGood,IF(ROW()-ROW(PaymentSchedule3[[#Headers],[Payment Number]])&gt;ScheduledNumberOfPayments,"",ROW()-ROW(PaymentSchedule3[[#Headers],[Payment Number]])),"")</f>
        <v>277</v>
      </c>
      <c r="C290" s="24">
        <f ca="1">IF(PaymentSchedule3[[#This Row],[Payment Number]]&lt;&gt;"",EOMONTH(LoanStartDate,ROW(PaymentSchedule3[[#This Row],[Payment Number]])-ROW(PaymentSchedule3[[#Headers],[Payment Number]])-2)+DAY(LoanStartDate),"")</f>
        <v>53854</v>
      </c>
      <c r="D290" s="25">
        <f ca="1">IF(PaymentSchedule3[[#This Row],[Payment Number]]&lt;&gt;"",IF(ROW()-ROW(PaymentSchedule3[[#Headers],[Beginning
Balance]])=1,LoanAmount,INDEX(PaymentSchedule3[Ending
Balance],ROW()-ROW(PaymentSchedule3[[#Headers],[Beginning
Balance]])-1)),"")</f>
        <v>156923.30156054164</v>
      </c>
      <c r="E290" s="25">
        <f ca="1">IF(PaymentSchedule3[[#This Row],[Payment Number]]&lt;&gt;"",ScheduledPayment,"")</f>
        <v>2387.6169801966716</v>
      </c>
      <c r="F29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0" s="25">
        <f ca="1">IF(PaymentSchedule3[[#This Row],[Payment Number]]&lt;&gt;"",PaymentSchedule3[[#This Row],[Total
Payment]]-PaymentSchedule3[[#This Row],[Interest]],"")</f>
        <v>1439.5386999350658</v>
      </c>
      <c r="I290" s="25">
        <f ca="1">IF(PaymentSchedule3[[#This Row],[Payment Number]]&lt;&gt;"",PaymentSchedule3[[#This Row],[Beginning
Balance]]*(InterestRate/PaymentsPerYear),"")</f>
        <v>948.07828026160576</v>
      </c>
      <c r="J290" s="25">
        <f ca="1">IF(PaymentSchedule3[[#This Row],[Payment Number]]&lt;&gt;"",IF(PaymentSchedule3[[#This Row],[Scheduled Payment]]+PaymentSchedule3[[#This Row],[Extra
Payment]]&lt;=PaymentSchedule3[[#This Row],[Beginning
Balance]],PaymentSchedule3[[#This Row],[Beginning
Balance]]-PaymentSchedule3[[#This Row],[Principal]],0),"")</f>
        <v>155483.76286060657</v>
      </c>
      <c r="K290" s="25">
        <f ca="1">IF(PaymentSchedule3[[#This Row],[Payment Number]]&lt;&gt;"",SUM(INDEX(PaymentSchedule3[Interest],1,1):PaymentSchedule3[[#This Row],[Interest]]),"")</f>
        <v>466853.66637508431</v>
      </c>
    </row>
    <row r="291" spans="2:11" x14ac:dyDescent="0.3">
      <c r="B291" s="23">
        <f ca="1">IF(LoanIsGood,IF(ROW()-ROW(PaymentSchedule3[[#Headers],[Payment Number]])&gt;ScheduledNumberOfPayments,"",ROW()-ROW(PaymentSchedule3[[#Headers],[Payment Number]])),"")</f>
        <v>278</v>
      </c>
      <c r="C291" s="24">
        <f ca="1">IF(PaymentSchedule3[[#This Row],[Payment Number]]&lt;&gt;"",EOMONTH(LoanStartDate,ROW(PaymentSchedule3[[#This Row],[Payment Number]])-ROW(PaymentSchedule3[[#Headers],[Payment Number]])-2)+DAY(LoanStartDate),"")</f>
        <v>53884</v>
      </c>
      <c r="D291" s="25">
        <f ca="1">IF(PaymentSchedule3[[#This Row],[Payment Number]]&lt;&gt;"",IF(ROW()-ROW(PaymentSchedule3[[#Headers],[Beginning
Balance]])=1,LoanAmount,INDEX(PaymentSchedule3[Ending
Balance],ROW()-ROW(PaymentSchedule3[[#Headers],[Beginning
Balance]])-1)),"")</f>
        <v>155483.76286060657</v>
      </c>
      <c r="E291" s="25">
        <f ca="1">IF(PaymentSchedule3[[#This Row],[Payment Number]]&lt;&gt;"",ScheduledPayment,"")</f>
        <v>2387.6169801966716</v>
      </c>
      <c r="F29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1" s="25">
        <f ca="1">IF(PaymentSchedule3[[#This Row],[Payment Number]]&lt;&gt;"",PaymentSchedule3[[#This Row],[Total
Payment]]-PaymentSchedule3[[#This Row],[Interest]],"")</f>
        <v>1448.2359129138404</v>
      </c>
      <c r="I291" s="25">
        <f ca="1">IF(PaymentSchedule3[[#This Row],[Payment Number]]&lt;&gt;"",PaymentSchedule3[[#This Row],[Beginning
Balance]]*(InterestRate/PaymentsPerYear),"")</f>
        <v>939.3810672828314</v>
      </c>
      <c r="J291" s="25">
        <f ca="1">IF(PaymentSchedule3[[#This Row],[Payment Number]]&lt;&gt;"",IF(PaymentSchedule3[[#This Row],[Scheduled Payment]]+PaymentSchedule3[[#This Row],[Extra
Payment]]&lt;=PaymentSchedule3[[#This Row],[Beginning
Balance]],PaymentSchedule3[[#This Row],[Beginning
Balance]]-PaymentSchedule3[[#This Row],[Principal]],0),"")</f>
        <v>154035.52694769274</v>
      </c>
      <c r="K291" s="25">
        <f ca="1">IF(PaymentSchedule3[[#This Row],[Payment Number]]&lt;&gt;"",SUM(INDEX(PaymentSchedule3[Interest],1,1):PaymentSchedule3[[#This Row],[Interest]]),"")</f>
        <v>467793.04744236713</v>
      </c>
    </row>
    <row r="292" spans="2:11" x14ac:dyDescent="0.3">
      <c r="B292" s="23">
        <f ca="1">IF(LoanIsGood,IF(ROW()-ROW(PaymentSchedule3[[#Headers],[Payment Number]])&gt;ScheduledNumberOfPayments,"",ROW()-ROW(PaymentSchedule3[[#Headers],[Payment Number]])),"")</f>
        <v>279</v>
      </c>
      <c r="C292" s="24">
        <f ca="1">IF(PaymentSchedule3[[#This Row],[Payment Number]]&lt;&gt;"",EOMONTH(LoanStartDate,ROW(PaymentSchedule3[[#This Row],[Payment Number]])-ROW(PaymentSchedule3[[#Headers],[Payment Number]])-2)+DAY(LoanStartDate),"")</f>
        <v>53915</v>
      </c>
      <c r="D292" s="25">
        <f ca="1">IF(PaymentSchedule3[[#This Row],[Payment Number]]&lt;&gt;"",IF(ROW()-ROW(PaymentSchedule3[[#Headers],[Beginning
Balance]])=1,LoanAmount,INDEX(PaymentSchedule3[Ending
Balance],ROW()-ROW(PaymentSchedule3[[#Headers],[Beginning
Balance]])-1)),"")</f>
        <v>154035.52694769274</v>
      </c>
      <c r="E292" s="25">
        <f ca="1">IF(PaymentSchedule3[[#This Row],[Payment Number]]&lt;&gt;"",ScheduledPayment,"")</f>
        <v>2387.6169801966716</v>
      </c>
      <c r="F29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2" s="25">
        <f ca="1">IF(PaymentSchedule3[[#This Row],[Payment Number]]&lt;&gt;"",PaymentSchedule3[[#This Row],[Total
Payment]]-PaymentSchedule3[[#This Row],[Interest]],"")</f>
        <v>1456.9856715543615</v>
      </c>
      <c r="I292" s="25">
        <f ca="1">IF(PaymentSchedule3[[#This Row],[Payment Number]]&lt;&gt;"",PaymentSchedule3[[#This Row],[Beginning
Balance]]*(InterestRate/PaymentsPerYear),"")</f>
        <v>930.63130864231027</v>
      </c>
      <c r="J292" s="25">
        <f ca="1">IF(PaymentSchedule3[[#This Row],[Payment Number]]&lt;&gt;"",IF(PaymentSchedule3[[#This Row],[Scheduled Payment]]+PaymentSchedule3[[#This Row],[Extra
Payment]]&lt;=PaymentSchedule3[[#This Row],[Beginning
Balance]],PaymentSchedule3[[#This Row],[Beginning
Balance]]-PaymentSchedule3[[#This Row],[Principal]],0),"")</f>
        <v>152578.54127613836</v>
      </c>
      <c r="K292" s="25">
        <f ca="1">IF(PaymentSchedule3[[#This Row],[Payment Number]]&lt;&gt;"",SUM(INDEX(PaymentSchedule3[Interest],1,1):PaymentSchedule3[[#This Row],[Interest]]),"")</f>
        <v>468723.67875100946</v>
      </c>
    </row>
    <row r="293" spans="2:11" x14ac:dyDescent="0.3">
      <c r="B293" s="23">
        <f ca="1">IF(LoanIsGood,IF(ROW()-ROW(PaymentSchedule3[[#Headers],[Payment Number]])&gt;ScheduledNumberOfPayments,"",ROW()-ROW(PaymentSchedule3[[#Headers],[Payment Number]])),"")</f>
        <v>280</v>
      </c>
      <c r="C293" s="24">
        <f ca="1">IF(PaymentSchedule3[[#This Row],[Payment Number]]&lt;&gt;"",EOMONTH(LoanStartDate,ROW(PaymentSchedule3[[#This Row],[Payment Number]])-ROW(PaymentSchedule3[[#Headers],[Payment Number]])-2)+DAY(LoanStartDate),"")</f>
        <v>53946</v>
      </c>
      <c r="D293" s="25">
        <f ca="1">IF(PaymentSchedule3[[#This Row],[Payment Number]]&lt;&gt;"",IF(ROW()-ROW(PaymentSchedule3[[#Headers],[Beginning
Balance]])=1,LoanAmount,INDEX(PaymentSchedule3[Ending
Balance],ROW()-ROW(PaymentSchedule3[[#Headers],[Beginning
Balance]])-1)),"")</f>
        <v>152578.54127613836</v>
      </c>
      <c r="E293" s="25">
        <f ca="1">IF(PaymentSchedule3[[#This Row],[Payment Number]]&lt;&gt;"",ScheduledPayment,"")</f>
        <v>2387.6169801966716</v>
      </c>
      <c r="F29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3" s="25">
        <f ca="1">IF(PaymentSchedule3[[#This Row],[Payment Number]]&lt;&gt;"",PaymentSchedule3[[#This Row],[Total
Payment]]-PaymentSchedule3[[#This Row],[Interest]],"")</f>
        <v>1465.7882933200024</v>
      </c>
      <c r="I293" s="25">
        <f ca="1">IF(PaymentSchedule3[[#This Row],[Payment Number]]&lt;&gt;"",PaymentSchedule3[[#This Row],[Beginning
Balance]]*(InterestRate/PaymentsPerYear),"")</f>
        <v>921.82868687666928</v>
      </c>
      <c r="J293" s="25">
        <f ca="1">IF(PaymentSchedule3[[#This Row],[Payment Number]]&lt;&gt;"",IF(PaymentSchedule3[[#This Row],[Scheduled Payment]]+PaymentSchedule3[[#This Row],[Extra
Payment]]&lt;=PaymentSchedule3[[#This Row],[Beginning
Balance]],PaymentSchedule3[[#This Row],[Beginning
Balance]]-PaymentSchedule3[[#This Row],[Principal]],0),"")</f>
        <v>151112.75298281835</v>
      </c>
      <c r="K293" s="25">
        <f ca="1">IF(PaymentSchedule3[[#This Row],[Payment Number]]&lt;&gt;"",SUM(INDEX(PaymentSchedule3[Interest],1,1):PaymentSchedule3[[#This Row],[Interest]]),"")</f>
        <v>469645.50743788615</v>
      </c>
    </row>
    <row r="294" spans="2:11" x14ac:dyDescent="0.3">
      <c r="B294" s="23">
        <f ca="1">IF(LoanIsGood,IF(ROW()-ROW(PaymentSchedule3[[#Headers],[Payment Number]])&gt;ScheduledNumberOfPayments,"",ROW()-ROW(PaymentSchedule3[[#Headers],[Payment Number]])),"")</f>
        <v>281</v>
      </c>
      <c r="C294" s="24">
        <f ca="1">IF(PaymentSchedule3[[#This Row],[Payment Number]]&lt;&gt;"",EOMONTH(LoanStartDate,ROW(PaymentSchedule3[[#This Row],[Payment Number]])-ROW(PaymentSchedule3[[#Headers],[Payment Number]])-2)+DAY(LoanStartDate),"")</f>
        <v>53976</v>
      </c>
      <c r="D294" s="25">
        <f ca="1">IF(PaymentSchedule3[[#This Row],[Payment Number]]&lt;&gt;"",IF(ROW()-ROW(PaymentSchedule3[[#Headers],[Beginning
Balance]])=1,LoanAmount,INDEX(PaymentSchedule3[Ending
Balance],ROW()-ROW(PaymentSchedule3[[#Headers],[Beginning
Balance]])-1)),"")</f>
        <v>151112.75298281835</v>
      </c>
      <c r="E294" s="25">
        <f ca="1">IF(PaymentSchedule3[[#This Row],[Payment Number]]&lt;&gt;"",ScheduledPayment,"")</f>
        <v>2387.6169801966716</v>
      </c>
      <c r="F29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4" s="25">
        <f ca="1">IF(PaymentSchedule3[[#This Row],[Payment Number]]&lt;&gt;"",PaymentSchedule3[[#This Row],[Total
Payment]]-PaymentSchedule3[[#This Row],[Interest]],"")</f>
        <v>1474.6440975921441</v>
      </c>
      <c r="I294" s="25">
        <f ca="1">IF(PaymentSchedule3[[#This Row],[Payment Number]]&lt;&gt;"",PaymentSchedule3[[#This Row],[Beginning
Balance]]*(InterestRate/PaymentsPerYear),"")</f>
        <v>912.97288260452751</v>
      </c>
      <c r="J294" s="25">
        <f ca="1">IF(PaymentSchedule3[[#This Row],[Payment Number]]&lt;&gt;"",IF(PaymentSchedule3[[#This Row],[Scheduled Payment]]+PaymentSchedule3[[#This Row],[Extra
Payment]]&lt;=PaymentSchedule3[[#This Row],[Beginning
Balance]],PaymentSchedule3[[#This Row],[Beginning
Balance]]-PaymentSchedule3[[#This Row],[Principal]],0),"")</f>
        <v>149638.10888522619</v>
      </c>
      <c r="K294" s="25">
        <f ca="1">IF(PaymentSchedule3[[#This Row],[Payment Number]]&lt;&gt;"",SUM(INDEX(PaymentSchedule3[Interest],1,1):PaymentSchedule3[[#This Row],[Interest]]),"")</f>
        <v>470558.48032049066</v>
      </c>
    </row>
    <row r="295" spans="2:11" x14ac:dyDescent="0.3">
      <c r="B295" s="23">
        <f ca="1">IF(LoanIsGood,IF(ROW()-ROW(PaymentSchedule3[[#Headers],[Payment Number]])&gt;ScheduledNumberOfPayments,"",ROW()-ROW(PaymentSchedule3[[#Headers],[Payment Number]])),"")</f>
        <v>282</v>
      </c>
      <c r="C295" s="24">
        <f ca="1">IF(PaymentSchedule3[[#This Row],[Payment Number]]&lt;&gt;"",EOMONTH(LoanStartDate,ROW(PaymentSchedule3[[#This Row],[Payment Number]])-ROW(PaymentSchedule3[[#Headers],[Payment Number]])-2)+DAY(LoanStartDate),"")</f>
        <v>54007</v>
      </c>
      <c r="D295" s="25">
        <f ca="1">IF(PaymentSchedule3[[#This Row],[Payment Number]]&lt;&gt;"",IF(ROW()-ROW(PaymentSchedule3[[#Headers],[Beginning
Balance]])=1,LoanAmount,INDEX(PaymentSchedule3[Ending
Balance],ROW()-ROW(PaymentSchedule3[[#Headers],[Beginning
Balance]])-1)),"")</f>
        <v>149638.10888522619</v>
      </c>
      <c r="E295" s="25">
        <f ca="1">IF(PaymentSchedule3[[#This Row],[Payment Number]]&lt;&gt;"",ScheduledPayment,"")</f>
        <v>2387.6169801966716</v>
      </c>
      <c r="F29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5" s="25">
        <f ca="1">IF(PaymentSchedule3[[#This Row],[Payment Number]]&lt;&gt;"",PaymentSchedule3[[#This Row],[Total
Payment]]-PaymentSchedule3[[#This Row],[Interest]],"")</f>
        <v>1483.5534056817635</v>
      </c>
      <c r="I295" s="25">
        <f ca="1">IF(PaymentSchedule3[[#This Row],[Payment Number]]&lt;&gt;"",PaymentSchedule3[[#This Row],[Beginning
Balance]]*(InterestRate/PaymentsPerYear),"")</f>
        <v>904.06357451490817</v>
      </c>
      <c r="J295" s="25">
        <f ca="1">IF(PaymentSchedule3[[#This Row],[Payment Number]]&lt;&gt;"",IF(PaymentSchedule3[[#This Row],[Scheduled Payment]]+PaymentSchedule3[[#This Row],[Extra
Payment]]&lt;=PaymentSchedule3[[#This Row],[Beginning
Balance]],PaymentSchedule3[[#This Row],[Beginning
Balance]]-PaymentSchedule3[[#This Row],[Principal]],0),"")</f>
        <v>148154.55547954442</v>
      </c>
      <c r="K295" s="25">
        <f ca="1">IF(PaymentSchedule3[[#This Row],[Payment Number]]&lt;&gt;"",SUM(INDEX(PaymentSchedule3[Interest],1,1):PaymentSchedule3[[#This Row],[Interest]]),"")</f>
        <v>471462.5438950056</v>
      </c>
    </row>
    <row r="296" spans="2:11" x14ac:dyDescent="0.3">
      <c r="B296" s="23">
        <f ca="1">IF(LoanIsGood,IF(ROW()-ROW(PaymentSchedule3[[#Headers],[Payment Number]])&gt;ScheduledNumberOfPayments,"",ROW()-ROW(PaymentSchedule3[[#Headers],[Payment Number]])),"")</f>
        <v>283</v>
      </c>
      <c r="C296" s="24">
        <f ca="1">IF(PaymentSchedule3[[#This Row],[Payment Number]]&lt;&gt;"",EOMONTH(LoanStartDate,ROW(PaymentSchedule3[[#This Row],[Payment Number]])-ROW(PaymentSchedule3[[#Headers],[Payment Number]])-2)+DAY(LoanStartDate),"")</f>
        <v>54037</v>
      </c>
      <c r="D296" s="25">
        <f ca="1">IF(PaymentSchedule3[[#This Row],[Payment Number]]&lt;&gt;"",IF(ROW()-ROW(PaymentSchedule3[[#Headers],[Beginning
Balance]])=1,LoanAmount,INDEX(PaymentSchedule3[Ending
Balance],ROW()-ROW(PaymentSchedule3[[#Headers],[Beginning
Balance]])-1)),"")</f>
        <v>148154.55547954442</v>
      </c>
      <c r="E296" s="25">
        <f ca="1">IF(PaymentSchedule3[[#This Row],[Payment Number]]&lt;&gt;"",ScheduledPayment,"")</f>
        <v>2387.6169801966716</v>
      </c>
      <c r="F29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6" s="25">
        <f ca="1">IF(PaymentSchedule3[[#This Row],[Payment Number]]&lt;&gt;"",PaymentSchedule3[[#This Row],[Total
Payment]]-PaymentSchedule3[[#This Row],[Interest]],"")</f>
        <v>1492.5165408410908</v>
      </c>
      <c r="I296" s="25">
        <f ca="1">IF(PaymentSchedule3[[#This Row],[Payment Number]]&lt;&gt;"",PaymentSchedule3[[#This Row],[Beginning
Balance]]*(InterestRate/PaymentsPerYear),"")</f>
        <v>895.10043935558087</v>
      </c>
      <c r="J296" s="25">
        <f ca="1">IF(PaymentSchedule3[[#This Row],[Payment Number]]&lt;&gt;"",IF(PaymentSchedule3[[#This Row],[Scheduled Payment]]+PaymentSchedule3[[#This Row],[Extra
Payment]]&lt;=PaymentSchedule3[[#This Row],[Beginning
Balance]],PaymentSchedule3[[#This Row],[Beginning
Balance]]-PaymentSchedule3[[#This Row],[Principal]],0),"")</f>
        <v>146662.03893870334</v>
      </c>
      <c r="K296" s="25">
        <f ca="1">IF(PaymentSchedule3[[#This Row],[Payment Number]]&lt;&gt;"",SUM(INDEX(PaymentSchedule3[Interest],1,1):PaymentSchedule3[[#This Row],[Interest]]),"")</f>
        <v>472357.64433436119</v>
      </c>
    </row>
    <row r="297" spans="2:11" x14ac:dyDescent="0.3">
      <c r="B297" s="23">
        <f ca="1">IF(LoanIsGood,IF(ROW()-ROW(PaymentSchedule3[[#Headers],[Payment Number]])&gt;ScheduledNumberOfPayments,"",ROW()-ROW(PaymentSchedule3[[#Headers],[Payment Number]])),"")</f>
        <v>284</v>
      </c>
      <c r="C297" s="24">
        <f ca="1">IF(PaymentSchedule3[[#This Row],[Payment Number]]&lt;&gt;"",EOMONTH(LoanStartDate,ROW(PaymentSchedule3[[#This Row],[Payment Number]])-ROW(PaymentSchedule3[[#Headers],[Payment Number]])-2)+DAY(LoanStartDate),"")</f>
        <v>54068</v>
      </c>
      <c r="D297" s="25">
        <f ca="1">IF(PaymentSchedule3[[#This Row],[Payment Number]]&lt;&gt;"",IF(ROW()-ROW(PaymentSchedule3[[#Headers],[Beginning
Balance]])=1,LoanAmount,INDEX(PaymentSchedule3[Ending
Balance],ROW()-ROW(PaymentSchedule3[[#Headers],[Beginning
Balance]])-1)),"")</f>
        <v>146662.03893870334</v>
      </c>
      <c r="E297" s="25">
        <f ca="1">IF(PaymentSchedule3[[#This Row],[Payment Number]]&lt;&gt;"",ScheduledPayment,"")</f>
        <v>2387.6169801966716</v>
      </c>
      <c r="F29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7" s="25">
        <f ca="1">IF(PaymentSchedule3[[#This Row],[Payment Number]]&lt;&gt;"",PaymentSchedule3[[#This Row],[Total
Payment]]-PaymentSchedule3[[#This Row],[Interest]],"")</f>
        <v>1501.5338282753391</v>
      </c>
      <c r="I297" s="25">
        <f ca="1">IF(PaymentSchedule3[[#This Row],[Payment Number]]&lt;&gt;"",PaymentSchedule3[[#This Row],[Beginning
Balance]]*(InterestRate/PaymentsPerYear),"")</f>
        <v>886.08315192133261</v>
      </c>
      <c r="J297" s="25">
        <f ca="1">IF(PaymentSchedule3[[#This Row],[Payment Number]]&lt;&gt;"",IF(PaymentSchedule3[[#This Row],[Scheduled Payment]]+PaymentSchedule3[[#This Row],[Extra
Payment]]&lt;=PaymentSchedule3[[#This Row],[Beginning
Balance]],PaymentSchedule3[[#This Row],[Beginning
Balance]]-PaymentSchedule3[[#This Row],[Principal]],0),"")</f>
        <v>145160.505110428</v>
      </c>
      <c r="K297" s="25">
        <f ca="1">IF(PaymentSchedule3[[#This Row],[Payment Number]]&lt;&gt;"",SUM(INDEX(PaymentSchedule3[Interest],1,1):PaymentSchedule3[[#This Row],[Interest]]),"")</f>
        <v>473243.72748628253</v>
      </c>
    </row>
    <row r="298" spans="2:11" x14ac:dyDescent="0.3">
      <c r="B298" s="23">
        <f ca="1">IF(LoanIsGood,IF(ROW()-ROW(PaymentSchedule3[[#Headers],[Payment Number]])&gt;ScheduledNumberOfPayments,"",ROW()-ROW(PaymentSchedule3[[#Headers],[Payment Number]])),"")</f>
        <v>285</v>
      </c>
      <c r="C298" s="24">
        <f ca="1">IF(PaymentSchedule3[[#This Row],[Payment Number]]&lt;&gt;"",EOMONTH(LoanStartDate,ROW(PaymentSchedule3[[#This Row],[Payment Number]])-ROW(PaymentSchedule3[[#Headers],[Payment Number]])-2)+DAY(LoanStartDate),"")</f>
        <v>54099</v>
      </c>
      <c r="D298" s="25">
        <f ca="1">IF(PaymentSchedule3[[#This Row],[Payment Number]]&lt;&gt;"",IF(ROW()-ROW(PaymentSchedule3[[#Headers],[Beginning
Balance]])=1,LoanAmount,INDEX(PaymentSchedule3[Ending
Balance],ROW()-ROW(PaymentSchedule3[[#Headers],[Beginning
Balance]])-1)),"")</f>
        <v>145160.505110428</v>
      </c>
      <c r="E298" s="25">
        <f ca="1">IF(PaymentSchedule3[[#This Row],[Payment Number]]&lt;&gt;"",ScheduledPayment,"")</f>
        <v>2387.6169801966716</v>
      </c>
      <c r="F29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8" s="25">
        <f ca="1">IF(PaymentSchedule3[[#This Row],[Payment Number]]&lt;&gt;"",PaymentSchedule3[[#This Row],[Total
Payment]]-PaymentSchedule3[[#This Row],[Interest]],"")</f>
        <v>1510.6055951545025</v>
      </c>
      <c r="I298" s="25">
        <f ca="1">IF(PaymentSchedule3[[#This Row],[Payment Number]]&lt;&gt;"",PaymentSchedule3[[#This Row],[Beginning
Balance]]*(InterestRate/PaymentsPerYear),"")</f>
        <v>877.0113850421692</v>
      </c>
      <c r="J298" s="25">
        <f ca="1">IF(PaymentSchedule3[[#This Row],[Payment Number]]&lt;&gt;"",IF(PaymentSchedule3[[#This Row],[Scheduled Payment]]+PaymentSchedule3[[#This Row],[Extra
Payment]]&lt;=PaymentSchedule3[[#This Row],[Beginning
Balance]],PaymentSchedule3[[#This Row],[Beginning
Balance]]-PaymentSchedule3[[#This Row],[Principal]],0),"")</f>
        <v>143649.89951527349</v>
      </c>
      <c r="K298" s="25">
        <f ca="1">IF(PaymentSchedule3[[#This Row],[Payment Number]]&lt;&gt;"",SUM(INDEX(PaymentSchedule3[Interest],1,1):PaymentSchedule3[[#This Row],[Interest]]),"")</f>
        <v>474120.73887132469</v>
      </c>
    </row>
    <row r="299" spans="2:11" x14ac:dyDescent="0.3">
      <c r="B299" s="23">
        <f ca="1">IF(LoanIsGood,IF(ROW()-ROW(PaymentSchedule3[[#Headers],[Payment Number]])&gt;ScheduledNumberOfPayments,"",ROW()-ROW(PaymentSchedule3[[#Headers],[Payment Number]])),"")</f>
        <v>286</v>
      </c>
      <c r="C299" s="24">
        <f ca="1">IF(PaymentSchedule3[[#This Row],[Payment Number]]&lt;&gt;"",EOMONTH(LoanStartDate,ROW(PaymentSchedule3[[#This Row],[Payment Number]])-ROW(PaymentSchedule3[[#Headers],[Payment Number]])-2)+DAY(LoanStartDate),"")</f>
        <v>54128</v>
      </c>
      <c r="D299" s="25">
        <f ca="1">IF(PaymentSchedule3[[#This Row],[Payment Number]]&lt;&gt;"",IF(ROW()-ROW(PaymentSchedule3[[#Headers],[Beginning
Balance]])=1,LoanAmount,INDEX(PaymentSchedule3[Ending
Balance],ROW()-ROW(PaymentSchedule3[[#Headers],[Beginning
Balance]])-1)),"")</f>
        <v>143649.89951527349</v>
      </c>
      <c r="E299" s="25">
        <f ca="1">IF(PaymentSchedule3[[#This Row],[Payment Number]]&lt;&gt;"",ScheduledPayment,"")</f>
        <v>2387.6169801966716</v>
      </c>
      <c r="F29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29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299" s="25">
        <f ca="1">IF(PaymentSchedule3[[#This Row],[Payment Number]]&lt;&gt;"",PaymentSchedule3[[#This Row],[Total
Payment]]-PaymentSchedule3[[#This Row],[Interest]],"")</f>
        <v>1519.7321706252278</v>
      </c>
      <c r="I299" s="25">
        <f ca="1">IF(PaymentSchedule3[[#This Row],[Payment Number]]&lt;&gt;"",PaymentSchedule3[[#This Row],[Beginning
Balance]]*(InterestRate/PaymentsPerYear),"")</f>
        <v>867.88480957144395</v>
      </c>
      <c r="J299" s="25">
        <f ca="1">IF(PaymentSchedule3[[#This Row],[Payment Number]]&lt;&gt;"",IF(PaymentSchedule3[[#This Row],[Scheduled Payment]]+PaymentSchedule3[[#This Row],[Extra
Payment]]&lt;=PaymentSchedule3[[#This Row],[Beginning
Balance]],PaymentSchedule3[[#This Row],[Beginning
Balance]]-PaymentSchedule3[[#This Row],[Principal]],0),"")</f>
        <v>142130.16734464825</v>
      </c>
      <c r="K299" s="25">
        <f ca="1">IF(PaymentSchedule3[[#This Row],[Payment Number]]&lt;&gt;"",SUM(INDEX(PaymentSchedule3[Interest],1,1):PaymentSchedule3[[#This Row],[Interest]]),"")</f>
        <v>474988.62368089613</v>
      </c>
    </row>
    <row r="300" spans="2:11" x14ac:dyDescent="0.3">
      <c r="B300" s="23">
        <f ca="1">IF(LoanIsGood,IF(ROW()-ROW(PaymentSchedule3[[#Headers],[Payment Number]])&gt;ScheduledNumberOfPayments,"",ROW()-ROW(PaymentSchedule3[[#Headers],[Payment Number]])),"")</f>
        <v>287</v>
      </c>
      <c r="C300" s="24">
        <f ca="1">IF(PaymentSchedule3[[#This Row],[Payment Number]]&lt;&gt;"",EOMONTH(LoanStartDate,ROW(PaymentSchedule3[[#This Row],[Payment Number]])-ROW(PaymentSchedule3[[#Headers],[Payment Number]])-2)+DAY(LoanStartDate),"")</f>
        <v>54159</v>
      </c>
      <c r="D300" s="25">
        <f ca="1">IF(PaymentSchedule3[[#This Row],[Payment Number]]&lt;&gt;"",IF(ROW()-ROW(PaymentSchedule3[[#Headers],[Beginning
Balance]])=1,LoanAmount,INDEX(PaymentSchedule3[Ending
Balance],ROW()-ROW(PaymentSchedule3[[#Headers],[Beginning
Balance]])-1)),"")</f>
        <v>142130.16734464825</v>
      </c>
      <c r="E300" s="25">
        <f ca="1">IF(PaymentSchedule3[[#This Row],[Payment Number]]&lt;&gt;"",ScheduledPayment,"")</f>
        <v>2387.6169801966716</v>
      </c>
      <c r="F30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0" s="25">
        <f ca="1">IF(PaymentSchedule3[[#This Row],[Payment Number]]&lt;&gt;"",PaymentSchedule3[[#This Row],[Total
Payment]]-PaymentSchedule3[[#This Row],[Interest]],"")</f>
        <v>1528.9138858227552</v>
      </c>
      <c r="I300" s="25">
        <f ca="1">IF(PaymentSchedule3[[#This Row],[Payment Number]]&lt;&gt;"",PaymentSchedule3[[#This Row],[Beginning
Balance]]*(InterestRate/PaymentsPerYear),"")</f>
        <v>858.70309437391643</v>
      </c>
      <c r="J300" s="25">
        <f ca="1">IF(PaymentSchedule3[[#This Row],[Payment Number]]&lt;&gt;"",IF(PaymentSchedule3[[#This Row],[Scheduled Payment]]+PaymentSchedule3[[#This Row],[Extra
Payment]]&lt;=PaymentSchedule3[[#This Row],[Beginning
Balance]],PaymentSchedule3[[#This Row],[Beginning
Balance]]-PaymentSchedule3[[#This Row],[Principal]],0),"")</f>
        <v>140601.25345882549</v>
      </c>
      <c r="K300" s="25">
        <f ca="1">IF(PaymentSchedule3[[#This Row],[Payment Number]]&lt;&gt;"",SUM(INDEX(PaymentSchedule3[Interest],1,1):PaymentSchedule3[[#This Row],[Interest]]),"")</f>
        <v>475847.32677527005</v>
      </c>
    </row>
    <row r="301" spans="2:11" x14ac:dyDescent="0.3">
      <c r="B301" s="23">
        <f ca="1">IF(LoanIsGood,IF(ROW()-ROW(PaymentSchedule3[[#Headers],[Payment Number]])&gt;ScheduledNumberOfPayments,"",ROW()-ROW(PaymentSchedule3[[#Headers],[Payment Number]])),"")</f>
        <v>288</v>
      </c>
      <c r="C301" s="24">
        <f ca="1">IF(PaymentSchedule3[[#This Row],[Payment Number]]&lt;&gt;"",EOMONTH(LoanStartDate,ROW(PaymentSchedule3[[#This Row],[Payment Number]])-ROW(PaymentSchedule3[[#Headers],[Payment Number]])-2)+DAY(LoanStartDate),"")</f>
        <v>54189</v>
      </c>
      <c r="D301" s="25">
        <f ca="1">IF(PaymentSchedule3[[#This Row],[Payment Number]]&lt;&gt;"",IF(ROW()-ROW(PaymentSchedule3[[#Headers],[Beginning
Balance]])=1,LoanAmount,INDEX(PaymentSchedule3[Ending
Balance],ROW()-ROW(PaymentSchedule3[[#Headers],[Beginning
Balance]])-1)),"")</f>
        <v>140601.25345882549</v>
      </c>
      <c r="E301" s="25">
        <f ca="1">IF(PaymentSchedule3[[#This Row],[Payment Number]]&lt;&gt;"",ScheduledPayment,"")</f>
        <v>2387.6169801966716</v>
      </c>
      <c r="F30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1" s="25">
        <f ca="1">IF(PaymentSchedule3[[#This Row],[Payment Number]]&lt;&gt;"",PaymentSchedule3[[#This Row],[Total
Payment]]-PaymentSchedule3[[#This Row],[Interest]],"")</f>
        <v>1538.1510738829343</v>
      </c>
      <c r="I301" s="25">
        <f ca="1">IF(PaymentSchedule3[[#This Row],[Payment Number]]&lt;&gt;"",PaymentSchedule3[[#This Row],[Beginning
Balance]]*(InterestRate/PaymentsPerYear),"")</f>
        <v>849.46590631373738</v>
      </c>
      <c r="J301" s="25">
        <f ca="1">IF(PaymentSchedule3[[#This Row],[Payment Number]]&lt;&gt;"",IF(PaymentSchedule3[[#This Row],[Scheduled Payment]]+PaymentSchedule3[[#This Row],[Extra
Payment]]&lt;=PaymentSchedule3[[#This Row],[Beginning
Balance]],PaymentSchedule3[[#This Row],[Beginning
Balance]]-PaymentSchedule3[[#This Row],[Principal]],0),"")</f>
        <v>139063.10238494255</v>
      </c>
      <c r="K301" s="25">
        <f ca="1">IF(PaymentSchedule3[[#This Row],[Payment Number]]&lt;&gt;"",SUM(INDEX(PaymentSchedule3[Interest],1,1):PaymentSchedule3[[#This Row],[Interest]]),"")</f>
        <v>476696.79268158379</v>
      </c>
    </row>
    <row r="302" spans="2:11" x14ac:dyDescent="0.3">
      <c r="B302" s="23">
        <f ca="1">IF(LoanIsGood,IF(ROW()-ROW(PaymentSchedule3[[#Headers],[Payment Number]])&gt;ScheduledNumberOfPayments,"",ROW()-ROW(PaymentSchedule3[[#Headers],[Payment Number]])),"")</f>
        <v>289</v>
      </c>
      <c r="C302" s="24">
        <f ca="1">IF(PaymentSchedule3[[#This Row],[Payment Number]]&lt;&gt;"",EOMONTH(LoanStartDate,ROW(PaymentSchedule3[[#This Row],[Payment Number]])-ROW(PaymentSchedule3[[#Headers],[Payment Number]])-2)+DAY(LoanStartDate),"")</f>
        <v>54220</v>
      </c>
      <c r="D302" s="25">
        <f ca="1">IF(PaymentSchedule3[[#This Row],[Payment Number]]&lt;&gt;"",IF(ROW()-ROW(PaymentSchedule3[[#Headers],[Beginning
Balance]])=1,LoanAmount,INDEX(PaymentSchedule3[Ending
Balance],ROW()-ROW(PaymentSchedule3[[#Headers],[Beginning
Balance]])-1)),"")</f>
        <v>139063.10238494255</v>
      </c>
      <c r="E302" s="25">
        <f ca="1">IF(PaymentSchedule3[[#This Row],[Payment Number]]&lt;&gt;"",ScheduledPayment,"")</f>
        <v>2387.6169801966716</v>
      </c>
      <c r="F30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2" s="25">
        <f ca="1">IF(PaymentSchedule3[[#This Row],[Payment Number]]&lt;&gt;"",PaymentSchedule3[[#This Row],[Total
Payment]]-PaymentSchedule3[[#This Row],[Interest]],"")</f>
        <v>1547.4440699543104</v>
      </c>
      <c r="I302" s="25">
        <f ca="1">IF(PaymentSchedule3[[#This Row],[Payment Number]]&lt;&gt;"",PaymentSchedule3[[#This Row],[Beginning
Balance]]*(InterestRate/PaymentsPerYear),"")</f>
        <v>840.17291024236124</v>
      </c>
      <c r="J302" s="25">
        <f ca="1">IF(PaymentSchedule3[[#This Row],[Payment Number]]&lt;&gt;"",IF(PaymentSchedule3[[#This Row],[Scheduled Payment]]+PaymentSchedule3[[#This Row],[Extra
Payment]]&lt;=PaymentSchedule3[[#This Row],[Beginning
Balance]],PaymentSchedule3[[#This Row],[Beginning
Balance]]-PaymentSchedule3[[#This Row],[Principal]],0),"")</f>
        <v>137515.65831498825</v>
      </c>
      <c r="K302" s="25">
        <f ca="1">IF(PaymentSchedule3[[#This Row],[Payment Number]]&lt;&gt;"",SUM(INDEX(PaymentSchedule3[Interest],1,1):PaymentSchedule3[[#This Row],[Interest]]),"")</f>
        <v>477536.96559182613</v>
      </c>
    </row>
    <row r="303" spans="2:11" x14ac:dyDescent="0.3">
      <c r="B303" s="23">
        <f ca="1">IF(LoanIsGood,IF(ROW()-ROW(PaymentSchedule3[[#Headers],[Payment Number]])&gt;ScheduledNumberOfPayments,"",ROW()-ROW(PaymentSchedule3[[#Headers],[Payment Number]])),"")</f>
        <v>290</v>
      </c>
      <c r="C303" s="24">
        <f ca="1">IF(PaymentSchedule3[[#This Row],[Payment Number]]&lt;&gt;"",EOMONTH(LoanStartDate,ROW(PaymentSchedule3[[#This Row],[Payment Number]])-ROW(PaymentSchedule3[[#Headers],[Payment Number]])-2)+DAY(LoanStartDate),"")</f>
        <v>54250</v>
      </c>
      <c r="D303" s="25">
        <f ca="1">IF(PaymentSchedule3[[#This Row],[Payment Number]]&lt;&gt;"",IF(ROW()-ROW(PaymentSchedule3[[#Headers],[Beginning
Balance]])=1,LoanAmount,INDEX(PaymentSchedule3[Ending
Balance],ROW()-ROW(PaymentSchedule3[[#Headers],[Beginning
Balance]])-1)),"")</f>
        <v>137515.65831498825</v>
      </c>
      <c r="E303" s="25">
        <f ca="1">IF(PaymentSchedule3[[#This Row],[Payment Number]]&lt;&gt;"",ScheduledPayment,"")</f>
        <v>2387.6169801966716</v>
      </c>
      <c r="F30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3" s="25">
        <f ca="1">IF(PaymentSchedule3[[#This Row],[Payment Number]]&lt;&gt;"",PaymentSchedule3[[#This Row],[Total
Payment]]-PaymentSchedule3[[#This Row],[Interest]],"")</f>
        <v>1556.7932112102844</v>
      </c>
      <c r="I303" s="25">
        <f ca="1">IF(PaymentSchedule3[[#This Row],[Payment Number]]&lt;&gt;"",PaymentSchedule3[[#This Row],[Beginning
Balance]]*(InterestRate/PaymentsPerYear),"")</f>
        <v>830.82376898638734</v>
      </c>
      <c r="J303" s="25">
        <f ca="1">IF(PaymentSchedule3[[#This Row],[Payment Number]]&lt;&gt;"",IF(PaymentSchedule3[[#This Row],[Scheduled Payment]]+PaymentSchedule3[[#This Row],[Extra
Payment]]&lt;=PaymentSchedule3[[#This Row],[Beginning
Balance]],PaymentSchedule3[[#This Row],[Beginning
Balance]]-PaymentSchedule3[[#This Row],[Principal]],0),"")</f>
        <v>135958.86510377796</v>
      </c>
      <c r="K303" s="25">
        <f ca="1">IF(PaymentSchedule3[[#This Row],[Payment Number]]&lt;&gt;"",SUM(INDEX(PaymentSchedule3[Interest],1,1):PaymentSchedule3[[#This Row],[Interest]]),"")</f>
        <v>478367.78936081252</v>
      </c>
    </row>
    <row r="304" spans="2:11" x14ac:dyDescent="0.3">
      <c r="B304" s="23">
        <f ca="1">IF(LoanIsGood,IF(ROW()-ROW(PaymentSchedule3[[#Headers],[Payment Number]])&gt;ScheduledNumberOfPayments,"",ROW()-ROW(PaymentSchedule3[[#Headers],[Payment Number]])),"")</f>
        <v>291</v>
      </c>
      <c r="C304" s="24">
        <f ca="1">IF(PaymentSchedule3[[#This Row],[Payment Number]]&lt;&gt;"",EOMONTH(LoanStartDate,ROW(PaymentSchedule3[[#This Row],[Payment Number]])-ROW(PaymentSchedule3[[#Headers],[Payment Number]])-2)+DAY(LoanStartDate),"")</f>
        <v>54281</v>
      </c>
      <c r="D304" s="25">
        <f ca="1">IF(PaymentSchedule3[[#This Row],[Payment Number]]&lt;&gt;"",IF(ROW()-ROW(PaymentSchedule3[[#Headers],[Beginning
Balance]])=1,LoanAmount,INDEX(PaymentSchedule3[Ending
Balance],ROW()-ROW(PaymentSchedule3[[#Headers],[Beginning
Balance]])-1)),"")</f>
        <v>135958.86510377796</v>
      </c>
      <c r="E304" s="25">
        <f ca="1">IF(PaymentSchedule3[[#This Row],[Payment Number]]&lt;&gt;"",ScheduledPayment,"")</f>
        <v>2387.6169801966716</v>
      </c>
      <c r="F30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4" s="25">
        <f ca="1">IF(PaymentSchedule3[[#This Row],[Payment Number]]&lt;&gt;"",PaymentSchedule3[[#This Row],[Total
Payment]]-PaymentSchedule3[[#This Row],[Interest]],"")</f>
        <v>1566.1988368613465</v>
      </c>
      <c r="I304" s="25">
        <f ca="1">IF(PaymentSchedule3[[#This Row],[Payment Number]]&lt;&gt;"",PaymentSchedule3[[#This Row],[Beginning
Balance]]*(InterestRate/PaymentsPerYear),"")</f>
        <v>821.41814333532523</v>
      </c>
      <c r="J304" s="25">
        <f ca="1">IF(PaymentSchedule3[[#This Row],[Payment Number]]&lt;&gt;"",IF(PaymentSchedule3[[#This Row],[Scheduled Payment]]+PaymentSchedule3[[#This Row],[Extra
Payment]]&lt;=PaymentSchedule3[[#This Row],[Beginning
Balance]],PaymentSchedule3[[#This Row],[Beginning
Balance]]-PaymentSchedule3[[#This Row],[Principal]],0),"")</f>
        <v>134392.66626691661</v>
      </c>
      <c r="K304" s="25">
        <f ca="1">IF(PaymentSchedule3[[#This Row],[Payment Number]]&lt;&gt;"",SUM(INDEX(PaymentSchedule3[Interest],1,1):PaymentSchedule3[[#This Row],[Interest]]),"")</f>
        <v>479189.20750414784</v>
      </c>
    </row>
    <row r="305" spans="2:11" x14ac:dyDescent="0.3">
      <c r="B305" s="23">
        <f ca="1">IF(LoanIsGood,IF(ROW()-ROW(PaymentSchedule3[[#Headers],[Payment Number]])&gt;ScheduledNumberOfPayments,"",ROW()-ROW(PaymentSchedule3[[#Headers],[Payment Number]])),"")</f>
        <v>292</v>
      </c>
      <c r="C305" s="24">
        <f ca="1">IF(PaymentSchedule3[[#This Row],[Payment Number]]&lt;&gt;"",EOMONTH(LoanStartDate,ROW(PaymentSchedule3[[#This Row],[Payment Number]])-ROW(PaymentSchedule3[[#Headers],[Payment Number]])-2)+DAY(LoanStartDate),"")</f>
        <v>54312</v>
      </c>
      <c r="D305" s="25">
        <f ca="1">IF(PaymentSchedule3[[#This Row],[Payment Number]]&lt;&gt;"",IF(ROW()-ROW(PaymentSchedule3[[#Headers],[Beginning
Balance]])=1,LoanAmount,INDEX(PaymentSchedule3[Ending
Balance],ROW()-ROW(PaymentSchedule3[[#Headers],[Beginning
Balance]])-1)),"")</f>
        <v>134392.66626691661</v>
      </c>
      <c r="E305" s="25">
        <f ca="1">IF(PaymentSchedule3[[#This Row],[Payment Number]]&lt;&gt;"",ScheduledPayment,"")</f>
        <v>2387.6169801966716</v>
      </c>
      <c r="F30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5" s="25">
        <f ca="1">IF(PaymentSchedule3[[#This Row],[Payment Number]]&lt;&gt;"",PaymentSchedule3[[#This Row],[Total
Payment]]-PaymentSchedule3[[#This Row],[Interest]],"")</f>
        <v>1575.6612881673836</v>
      </c>
      <c r="I305" s="25">
        <f ca="1">IF(PaymentSchedule3[[#This Row],[Payment Number]]&lt;&gt;"",PaymentSchedule3[[#This Row],[Beginning
Balance]]*(InterestRate/PaymentsPerYear),"")</f>
        <v>811.95569202928789</v>
      </c>
      <c r="J305" s="25">
        <f ca="1">IF(PaymentSchedule3[[#This Row],[Payment Number]]&lt;&gt;"",IF(PaymentSchedule3[[#This Row],[Scheduled Payment]]+PaymentSchedule3[[#This Row],[Extra
Payment]]&lt;=PaymentSchedule3[[#This Row],[Beginning
Balance]],PaymentSchedule3[[#This Row],[Beginning
Balance]]-PaymentSchedule3[[#This Row],[Principal]],0),"")</f>
        <v>132817.00497874923</v>
      </c>
      <c r="K305" s="25">
        <f ca="1">IF(PaymentSchedule3[[#This Row],[Payment Number]]&lt;&gt;"",SUM(INDEX(PaymentSchedule3[Interest],1,1):PaymentSchedule3[[#This Row],[Interest]]),"")</f>
        <v>480001.16319617711</v>
      </c>
    </row>
    <row r="306" spans="2:11" x14ac:dyDescent="0.3">
      <c r="B306" s="23">
        <f ca="1">IF(LoanIsGood,IF(ROW()-ROW(PaymentSchedule3[[#Headers],[Payment Number]])&gt;ScheduledNumberOfPayments,"",ROW()-ROW(PaymentSchedule3[[#Headers],[Payment Number]])),"")</f>
        <v>293</v>
      </c>
      <c r="C306" s="24">
        <f ca="1">IF(PaymentSchedule3[[#This Row],[Payment Number]]&lt;&gt;"",EOMONTH(LoanStartDate,ROW(PaymentSchedule3[[#This Row],[Payment Number]])-ROW(PaymentSchedule3[[#Headers],[Payment Number]])-2)+DAY(LoanStartDate),"")</f>
        <v>54342</v>
      </c>
      <c r="D306" s="25">
        <f ca="1">IF(PaymentSchedule3[[#This Row],[Payment Number]]&lt;&gt;"",IF(ROW()-ROW(PaymentSchedule3[[#Headers],[Beginning
Balance]])=1,LoanAmount,INDEX(PaymentSchedule3[Ending
Balance],ROW()-ROW(PaymentSchedule3[[#Headers],[Beginning
Balance]])-1)),"")</f>
        <v>132817.00497874923</v>
      </c>
      <c r="E306" s="25">
        <f ca="1">IF(PaymentSchedule3[[#This Row],[Payment Number]]&lt;&gt;"",ScheduledPayment,"")</f>
        <v>2387.6169801966716</v>
      </c>
      <c r="F30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6" s="25">
        <f ca="1">IF(PaymentSchedule3[[#This Row],[Payment Number]]&lt;&gt;"",PaymentSchedule3[[#This Row],[Total
Payment]]-PaymentSchedule3[[#This Row],[Interest]],"")</f>
        <v>1585.1809084500617</v>
      </c>
      <c r="I306" s="25">
        <f ca="1">IF(PaymentSchedule3[[#This Row],[Payment Number]]&lt;&gt;"",PaymentSchedule3[[#This Row],[Beginning
Balance]]*(InterestRate/PaymentsPerYear),"")</f>
        <v>802.43607174660997</v>
      </c>
      <c r="J306" s="25">
        <f ca="1">IF(PaymentSchedule3[[#This Row],[Payment Number]]&lt;&gt;"",IF(PaymentSchedule3[[#This Row],[Scheduled Payment]]+PaymentSchedule3[[#This Row],[Extra
Payment]]&lt;=PaymentSchedule3[[#This Row],[Beginning
Balance]],PaymentSchedule3[[#This Row],[Beginning
Balance]]-PaymentSchedule3[[#This Row],[Principal]],0),"")</f>
        <v>131231.82407029916</v>
      </c>
      <c r="K306" s="25">
        <f ca="1">IF(PaymentSchedule3[[#This Row],[Payment Number]]&lt;&gt;"",SUM(INDEX(PaymentSchedule3[Interest],1,1):PaymentSchedule3[[#This Row],[Interest]]),"")</f>
        <v>480803.59926792374</v>
      </c>
    </row>
    <row r="307" spans="2:11" x14ac:dyDescent="0.3">
      <c r="B307" s="23">
        <f ca="1">IF(LoanIsGood,IF(ROW()-ROW(PaymentSchedule3[[#Headers],[Payment Number]])&gt;ScheduledNumberOfPayments,"",ROW()-ROW(PaymentSchedule3[[#Headers],[Payment Number]])),"")</f>
        <v>294</v>
      </c>
      <c r="C307" s="24">
        <f ca="1">IF(PaymentSchedule3[[#This Row],[Payment Number]]&lt;&gt;"",EOMONTH(LoanStartDate,ROW(PaymentSchedule3[[#This Row],[Payment Number]])-ROW(PaymentSchedule3[[#Headers],[Payment Number]])-2)+DAY(LoanStartDate),"")</f>
        <v>54373</v>
      </c>
      <c r="D307" s="25">
        <f ca="1">IF(PaymentSchedule3[[#This Row],[Payment Number]]&lt;&gt;"",IF(ROW()-ROW(PaymentSchedule3[[#Headers],[Beginning
Balance]])=1,LoanAmount,INDEX(PaymentSchedule3[Ending
Balance],ROW()-ROW(PaymentSchedule3[[#Headers],[Beginning
Balance]])-1)),"")</f>
        <v>131231.82407029916</v>
      </c>
      <c r="E307" s="25">
        <f ca="1">IF(PaymentSchedule3[[#This Row],[Payment Number]]&lt;&gt;"",ScheduledPayment,"")</f>
        <v>2387.6169801966716</v>
      </c>
      <c r="F30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7" s="25">
        <f ca="1">IF(PaymentSchedule3[[#This Row],[Payment Number]]&lt;&gt;"",PaymentSchedule3[[#This Row],[Total
Payment]]-PaymentSchedule3[[#This Row],[Interest]],"")</f>
        <v>1594.7580431052809</v>
      </c>
      <c r="I307" s="25">
        <f ca="1">IF(PaymentSchedule3[[#This Row],[Payment Number]]&lt;&gt;"",PaymentSchedule3[[#This Row],[Beginning
Balance]]*(InterestRate/PaymentsPerYear),"")</f>
        <v>792.85893709139077</v>
      </c>
      <c r="J307" s="25">
        <f ca="1">IF(PaymentSchedule3[[#This Row],[Payment Number]]&lt;&gt;"",IF(PaymentSchedule3[[#This Row],[Scheduled Payment]]+PaymentSchedule3[[#This Row],[Extra
Payment]]&lt;=PaymentSchedule3[[#This Row],[Beginning
Balance]],PaymentSchedule3[[#This Row],[Beginning
Balance]]-PaymentSchedule3[[#This Row],[Principal]],0),"")</f>
        <v>129637.06602719388</v>
      </c>
      <c r="K307" s="25">
        <f ca="1">IF(PaymentSchedule3[[#This Row],[Payment Number]]&lt;&gt;"",SUM(INDEX(PaymentSchedule3[Interest],1,1):PaymentSchedule3[[#This Row],[Interest]]),"")</f>
        <v>481596.45820501511</v>
      </c>
    </row>
    <row r="308" spans="2:11" x14ac:dyDescent="0.3">
      <c r="B308" s="23">
        <f ca="1">IF(LoanIsGood,IF(ROW()-ROW(PaymentSchedule3[[#Headers],[Payment Number]])&gt;ScheduledNumberOfPayments,"",ROW()-ROW(PaymentSchedule3[[#Headers],[Payment Number]])),"")</f>
        <v>295</v>
      </c>
      <c r="C308" s="24">
        <f ca="1">IF(PaymentSchedule3[[#This Row],[Payment Number]]&lt;&gt;"",EOMONTH(LoanStartDate,ROW(PaymentSchedule3[[#This Row],[Payment Number]])-ROW(PaymentSchedule3[[#Headers],[Payment Number]])-2)+DAY(LoanStartDate),"")</f>
        <v>54403</v>
      </c>
      <c r="D308" s="25">
        <f ca="1">IF(PaymentSchedule3[[#This Row],[Payment Number]]&lt;&gt;"",IF(ROW()-ROW(PaymentSchedule3[[#Headers],[Beginning
Balance]])=1,LoanAmount,INDEX(PaymentSchedule3[Ending
Balance],ROW()-ROW(PaymentSchedule3[[#Headers],[Beginning
Balance]])-1)),"")</f>
        <v>129637.06602719388</v>
      </c>
      <c r="E308" s="25">
        <f ca="1">IF(PaymentSchedule3[[#This Row],[Payment Number]]&lt;&gt;"",ScheduledPayment,"")</f>
        <v>2387.6169801966716</v>
      </c>
      <c r="F30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8" s="25">
        <f ca="1">IF(PaymentSchedule3[[#This Row],[Payment Number]]&lt;&gt;"",PaymentSchedule3[[#This Row],[Total
Payment]]-PaymentSchedule3[[#This Row],[Interest]],"")</f>
        <v>1604.3930396157086</v>
      </c>
      <c r="I308" s="25">
        <f ca="1">IF(PaymentSchedule3[[#This Row],[Payment Number]]&lt;&gt;"",PaymentSchedule3[[#This Row],[Beginning
Balance]]*(InterestRate/PaymentsPerYear),"")</f>
        <v>783.22394058096302</v>
      </c>
      <c r="J308" s="25">
        <f ca="1">IF(PaymentSchedule3[[#This Row],[Payment Number]]&lt;&gt;"",IF(PaymentSchedule3[[#This Row],[Scheduled Payment]]+PaymentSchedule3[[#This Row],[Extra
Payment]]&lt;=PaymentSchedule3[[#This Row],[Beginning
Balance]],PaymentSchedule3[[#This Row],[Beginning
Balance]]-PaymentSchedule3[[#This Row],[Principal]],0),"")</f>
        <v>128032.67298757817</v>
      </c>
      <c r="K308" s="25">
        <f ca="1">IF(PaymentSchedule3[[#This Row],[Payment Number]]&lt;&gt;"",SUM(INDEX(PaymentSchedule3[Interest],1,1):PaymentSchedule3[[#This Row],[Interest]]),"")</f>
        <v>482379.68214559607</v>
      </c>
    </row>
    <row r="309" spans="2:11" x14ac:dyDescent="0.3">
      <c r="B309" s="23">
        <f ca="1">IF(LoanIsGood,IF(ROW()-ROW(PaymentSchedule3[[#Headers],[Payment Number]])&gt;ScheduledNumberOfPayments,"",ROW()-ROW(PaymentSchedule3[[#Headers],[Payment Number]])),"")</f>
        <v>296</v>
      </c>
      <c r="C309" s="24">
        <f ca="1">IF(PaymentSchedule3[[#This Row],[Payment Number]]&lt;&gt;"",EOMONTH(LoanStartDate,ROW(PaymentSchedule3[[#This Row],[Payment Number]])-ROW(PaymentSchedule3[[#Headers],[Payment Number]])-2)+DAY(LoanStartDate),"")</f>
        <v>54434</v>
      </c>
      <c r="D309" s="25">
        <f ca="1">IF(PaymentSchedule3[[#This Row],[Payment Number]]&lt;&gt;"",IF(ROW()-ROW(PaymentSchedule3[[#Headers],[Beginning
Balance]])=1,LoanAmount,INDEX(PaymentSchedule3[Ending
Balance],ROW()-ROW(PaymentSchedule3[[#Headers],[Beginning
Balance]])-1)),"")</f>
        <v>128032.67298757817</v>
      </c>
      <c r="E309" s="25">
        <f ca="1">IF(PaymentSchedule3[[#This Row],[Payment Number]]&lt;&gt;"",ScheduledPayment,"")</f>
        <v>2387.6169801966716</v>
      </c>
      <c r="F30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0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09" s="25">
        <f ca="1">IF(PaymentSchedule3[[#This Row],[Payment Number]]&lt;&gt;"",PaymentSchedule3[[#This Row],[Total
Payment]]-PaymentSchedule3[[#This Row],[Interest]],"")</f>
        <v>1614.0862475633869</v>
      </c>
      <c r="I309" s="25">
        <f ca="1">IF(PaymentSchedule3[[#This Row],[Payment Number]]&lt;&gt;"",PaymentSchedule3[[#This Row],[Beginning
Balance]]*(InterestRate/PaymentsPerYear),"")</f>
        <v>773.53073263328474</v>
      </c>
      <c r="J309" s="25">
        <f ca="1">IF(PaymentSchedule3[[#This Row],[Payment Number]]&lt;&gt;"",IF(PaymentSchedule3[[#This Row],[Scheduled Payment]]+PaymentSchedule3[[#This Row],[Extra
Payment]]&lt;=PaymentSchedule3[[#This Row],[Beginning
Balance]],PaymentSchedule3[[#This Row],[Beginning
Balance]]-PaymentSchedule3[[#This Row],[Principal]],0),"")</f>
        <v>126418.58674001478</v>
      </c>
      <c r="K309" s="25">
        <f ca="1">IF(PaymentSchedule3[[#This Row],[Payment Number]]&lt;&gt;"",SUM(INDEX(PaymentSchedule3[Interest],1,1):PaymentSchedule3[[#This Row],[Interest]]),"")</f>
        <v>483153.21287822939</v>
      </c>
    </row>
    <row r="310" spans="2:11" x14ac:dyDescent="0.3">
      <c r="B310" s="23">
        <f ca="1">IF(LoanIsGood,IF(ROW()-ROW(PaymentSchedule3[[#Headers],[Payment Number]])&gt;ScheduledNumberOfPayments,"",ROW()-ROW(PaymentSchedule3[[#Headers],[Payment Number]])),"")</f>
        <v>297</v>
      </c>
      <c r="C310" s="24">
        <f ca="1">IF(PaymentSchedule3[[#This Row],[Payment Number]]&lt;&gt;"",EOMONTH(LoanStartDate,ROW(PaymentSchedule3[[#This Row],[Payment Number]])-ROW(PaymentSchedule3[[#Headers],[Payment Number]])-2)+DAY(LoanStartDate),"")</f>
        <v>54465</v>
      </c>
      <c r="D310" s="25">
        <f ca="1">IF(PaymentSchedule3[[#This Row],[Payment Number]]&lt;&gt;"",IF(ROW()-ROW(PaymentSchedule3[[#Headers],[Beginning
Balance]])=1,LoanAmount,INDEX(PaymentSchedule3[Ending
Balance],ROW()-ROW(PaymentSchedule3[[#Headers],[Beginning
Balance]])-1)),"")</f>
        <v>126418.58674001478</v>
      </c>
      <c r="E310" s="25">
        <f ca="1">IF(PaymentSchedule3[[#This Row],[Payment Number]]&lt;&gt;"",ScheduledPayment,"")</f>
        <v>2387.6169801966716</v>
      </c>
      <c r="F31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0" s="25">
        <f ca="1">IF(PaymentSchedule3[[#This Row],[Payment Number]]&lt;&gt;"",PaymentSchedule3[[#This Row],[Total
Payment]]-PaymentSchedule3[[#This Row],[Interest]],"")</f>
        <v>1623.8380186424156</v>
      </c>
      <c r="I310" s="25">
        <f ca="1">IF(PaymentSchedule3[[#This Row],[Payment Number]]&lt;&gt;"",PaymentSchedule3[[#This Row],[Beginning
Balance]]*(InterestRate/PaymentsPerYear),"")</f>
        <v>763.77896155425594</v>
      </c>
      <c r="J310" s="25">
        <f ca="1">IF(PaymentSchedule3[[#This Row],[Payment Number]]&lt;&gt;"",IF(PaymentSchedule3[[#This Row],[Scheduled Payment]]+PaymentSchedule3[[#This Row],[Extra
Payment]]&lt;=PaymentSchedule3[[#This Row],[Beginning
Balance]],PaymentSchedule3[[#This Row],[Beginning
Balance]]-PaymentSchedule3[[#This Row],[Principal]],0),"")</f>
        <v>124794.74872137237</v>
      </c>
      <c r="K310" s="25">
        <f ca="1">IF(PaymentSchedule3[[#This Row],[Payment Number]]&lt;&gt;"",SUM(INDEX(PaymentSchedule3[Interest],1,1):PaymentSchedule3[[#This Row],[Interest]]),"")</f>
        <v>483916.99183978362</v>
      </c>
    </row>
    <row r="311" spans="2:11" x14ac:dyDescent="0.3">
      <c r="B311" s="23">
        <f ca="1">IF(LoanIsGood,IF(ROW()-ROW(PaymentSchedule3[[#Headers],[Payment Number]])&gt;ScheduledNumberOfPayments,"",ROW()-ROW(PaymentSchedule3[[#Headers],[Payment Number]])),"")</f>
        <v>298</v>
      </c>
      <c r="C311" s="24">
        <f ca="1">IF(PaymentSchedule3[[#This Row],[Payment Number]]&lt;&gt;"",EOMONTH(LoanStartDate,ROW(PaymentSchedule3[[#This Row],[Payment Number]])-ROW(PaymentSchedule3[[#Headers],[Payment Number]])-2)+DAY(LoanStartDate),"")</f>
        <v>54493</v>
      </c>
      <c r="D311" s="25">
        <f ca="1">IF(PaymentSchedule3[[#This Row],[Payment Number]]&lt;&gt;"",IF(ROW()-ROW(PaymentSchedule3[[#Headers],[Beginning
Balance]])=1,LoanAmount,INDEX(PaymentSchedule3[Ending
Balance],ROW()-ROW(PaymentSchedule3[[#Headers],[Beginning
Balance]])-1)),"")</f>
        <v>124794.74872137237</v>
      </c>
      <c r="E311" s="25">
        <f ca="1">IF(PaymentSchedule3[[#This Row],[Payment Number]]&lt;&gt;"",ScheduledPayment,"")</f>
        <v>2387.6169801966716</v>
      </c>
      <c r="F31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1" s="25">
        <f ca="1">IF(PaymentSchedule3[[#This Row],[Payment Number]]&lt;&gt;"",PaymentSchedule3[[#This Row],[Total
Payment]]-PaymentSchedule3[[#This Row],[Interest]],"")</f>
        <v>1633.6487066717136</v>
      </c>
      <c r="I311" s="25">
        <f ca="1">IF(PaymentSchedule3[[#This Row],[Payment Number]]&lt;&gt;"",PaymentSchedule3[[#This Row],[Beginning
Balance]]*(InterestRate/PaymentsPerYear),"")</f>
        <v>753.96827352495802</v>
      </c>
      <c r="J311" s="25">
        <f ca="1">IF(PaymentSchedule3[[#This Row],[Payment Number]]&lt;&gt;"",IF(PaymentSchedule3[[#This Row],[Scheduled Payment]]+PaymentSchedule3[[#This Row],[Extra
Payment]]&lt;=PaymentSchedule3[[#This Row],[Beginning
Balance]],PaymentSchedule3[[#This Row],[Beginning
Balance]]-PaymentSchedule3[[#This Row],[Principal]],0),"")</f>
        <v>123161.10001470066</v>
      </c>
      <c r="K311" s="25">
        <f ca="1">IF(PaymentSchedule3[[#This Row],[Payment Number]]&lt;&gt;"",SUM(INDEX(PaymentSchedule3[Interest],1,1):PaymentSchedule3[[#This Row],[Interest]]),"")</f>
        <v>484670.96011330857</v>
      </c>
    </row>
    <row r="312" spans="2:11" x14ac:dyDescent="0.3">
      <c r="B312" s="23">
        <f ca="1">IF(LoanIsGood,IF(ROW()-ROW(PaymentSchedule3[[#Headers],[Payment Number]])&gt;ScheduledNumberOfPayments,"",ROW()-ROW(PaymentSchedule3[[#Headers],[Payment Number]])),"")</f>
        <v>299</v>
      </c>
      <c r="C312" s="24">
        <f ca="1">IF(PaymentSchedule3[[#This Row],[Payment Number]]&lt;&gt;"",EOMONTH(LoanStartDate,ROW(PaymentSchedule3[[#This Row],[Payment Number]])-ROW(PaymentSchedule3[[#Headers],[Payment Number]])-2)+DAY(LoanStartDate),"")</f>
        <v>54524</v>
      </c>
      <c r="D312" s="25">
        <f ca="1">IF(PaymentSchedule3[[#This Row],[Payment Number]]&lt;&gt;"",IF(ROW()-ROW(PaymentSchedule3[[#Headers],[Beginning
Balance]])=1,LoanAmount,INDEX(PaymentSchedule3[Ending
Balance],ROW()-ROW(PaymentSchedule3[[#Headers],[Beginning
Balance]])-1)),"")</f>
        <v>123161.10001470066</v>
      </c>
      <c r="E312" s="25">
        <f ca="1">IF(PaymentSchedule3[[#This Row],[Payment Number]]&lt;&gt;"",ScheduledPayment,"")</f>
        <v>2387.6169801966716</v>
      </c>
      <c r="F31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2" s="25">
        <f ca="1">IF(PaymentSchedule3[[#This Row],[Payment Number]]&lt;&gt;"",PaymentSchedule3[[#This Row],[Total
Payment]]-PaymentSchedule3[[#This Row],[Interest]],"")</f>
        <v>1643.5186676078551</v>
      </c>
      <c r="I312" s="25">
        <f ca="1">IF(PaymentSchedule3[[#This Row],[Payment Number]]&lt;&gt;"",PaymentSchedule3[[#This Row],[Beginning
Balance]]*(InterestRate/PaymentsPerYear),"")</f>
        <v>744.0983125888165</v>
      </c>
      <c r="J312" s="25">
        <f ca="1">IF(PaymentSchedule3[[#This Row],[Payment Number]]&lt;&gt;"",IF(PaymentSchedule3[[#This Row],[Scheduled Payment]]+PaymentSchedule3[[#This Row],[Extra
Payment]]&lt;=PaymentSchedule3[[#This Row],[Beginning
Balance]],PaymentSchedule3[[#This Row],[Beginning
Balance]]-PaymentSchedule3[[#This Row],[Principal]],0),"")</f>
        <v>121517.5813470928</v>
      </c>
      <c r="K312" s="25">
        <f ca="1">IF(PaymentSchedule3[[#This Row],[Payment Number]]&lt;&gt;"",SUM(INDEX(PaymentSchedule3[Interest],1,1):PaymentSchedule3[[#This Row],[Interest]]),"")</f>
        <v>485415.05842589738</v>
      </c>
    </row>
    <row r="313" spans="2:11" x14ac:dyDescent="0.3">
      <c r="B313" s="23">
        <f ca="1">IF(LoanIsGood,IF(ROW()-ROW(PaymentSchedule3[[#Headers],[Payment Number]])&gt;ScheduledNumberOfPayments,"",ROW()-ROW(PaymentSchedule3[[#Headers],[Payment Number]])),"")</f>
        <v>300</v>
      </c>
      <c r="C313" s="24">
        <f ca="1">IF(PaymentSchedule3[[#This Row],[Payment Number]]&lt;&gt;"",EOMONTH(LoanStartDate,ROW(PaymentSchedule3[[#This Row],[Payment Number]])-ROW(PaymentSchedule3[[#Headers],[Payment Number]])-2)+DAY(LoanStartDate),"")</f>
        <v>54554</v>
      </c>
      <c r="D313" s="25">
        <f ca="1">IF(PaymentSchedule3[[#This Row],[Payment Number]]&lt;&gt;"",IF(ROW()-ROW(PaymentSchedule3[[#Headers],[Beginning
Balance]])=1,LoanAmount,INDEX(PaymentSchedule3[Ending
Balance],ROW()-ROW(PaymentSchedule3[[#Headers],[Beginning
Balance]])-1)),"")</f>
        <v>121517.5813470928</v>
      </c>
      <c r="E313" s="25">
        <f ca="1">IF(PaymentSchedule3[[#This Row],[Payment Number]]&lt;&gt;"",ScheduledPayment,"")</f>
        <v>2387.6169801966716</v>
      </c>
      <c r="F31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3" s="25">
        <f ca="1">IF(PaymentSchedule3[[#This Row],[Payment Number]]&lt;&gt;"",PaymentSchedule3[[#This Row],[Total
Payment]]-PaymentSchedule3[[#This Row],[Interest]],"")</f>
        <v>1653.4482595579861</v>
      </c>
      <c r="I313" s="25">
        <f ca="1">IF(PaymentSchedule3[[#This Row],[Payment Number]]&lt;&gt;"",PaymentSchedule3[[#This Row],[Beginning
Balance]]*(InterestRate/PaymentsPerYear),"")</f>
        <v>734.16872063868561</v>
      </c>
      <c r="J313" s="25">
        <f ca="1">IF(PaymentSchedule3[[#This Row],[Payment Number]]&lt;&gt;"",IF(PaymentSchedule3[[#This Row],[Scheduled Payment]]+PaymentSchedule3[[#This Row],[Extra
Payment]]&lt;=PaymentSchedule3[[#This Row],[Beginning
Balance]],PaymentSchedule3[[#This Row],[Beginning
Balance]]-PaymentSchedule3[[#This Row],[Principal]],0),"")</f>
        <v>119864.13308753481</v>
      </c>
      <c r="K313" s="25">
        <f ca="1">IF(PaymentSchedule3[[#This Row],[Payment Number]]&lt;&gt;"",SUM(INDEX(PaymentSchedule3[Interest],1,1):PaymentSchedule3[[#This Row],[Interest]]),"")</f>
        <v>486149.22714653605</v>
      </c>
    </row>
    <row r="314" spans="2:11" x14ac:dyDescent="0.3">
      <c r="B314" s="23">
        <f ca="1">IF(LoanIsGood,IF(ROW()-ROW(PaymentSchedule3[[#Headers],[Payment Number]])&gt;ScheduledNumberOfPayments,"",ROW()-ROW(PaymentSchedule3[[#Headers],[Payment Number]])),"")</f>
        <v>301</v>
      </c>
      <c r="C314" s="24">
        <f ca="1">IF(PaymentSchedule3[[#This Row],[Payment Number]]&lt;&gt;"",EOMONTH(LoanStartDate,ROW(PaymentSchedule3[[#This Row],[Payment Number]])-ROW(PaymentSchedule3[[#Headers],[Payment Number]])-2)+DAY(LoanStartDate),"")</f>
        <v>54585</v>
      </c>
      <c r="D314" s="25">
        <f ca="1">IF(PaymentSchedule3[[#This Row],[Payment Number]]&lt;&gt;"",IF(ROW()-ROW(PaymentSchedule3[[#Headers],[Beginning
Balance]])=1,LoanAmount,INDEX(PaymentSchedule3[Ending
Balance],ROW()-ROW(PaymentSchedule3[[#Headers],[Beginning
Balance]])-1)),"")</f>
        <v>119864.13308753481</v>
      </c>
      <c r="E314" s="25">
        <f ca="1">IF(PaymentSchedule3[[#This Row],[Payment Number]]&lt;&gt;"",ScheduledPayment,"")</f>
        <v>2387.6169801966716</v>
      </c>
      <c r="F31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4" s="25">
        <f ca="1">IF(PaymentSchedule3[[#This Row],[Payment Number]]&lt;&gt;"",PaymentSchedule3[[#This Row],[Total
Payment]]-PaymentSchedule3[[#This Row],[Interest]],"")</f>
        <v>1663.4378427928154</v>
      </c>
      <c r="I314" s="25">
        <f ca="1">IF(PaymentSchedule3[[#This Row],[Payment Number]]&lt;&gt;"",PaymentSchedule3[[#This Row],[Beginning
Balance]]*(InterestRate/PaymentsPerYear),"")</f>
        <v>724.17913740385609</v>
      </c>
      <c r="J314" s="25">
        <f ca="1">IF(PaymentSchedule3[[#This Row],[Payment Number]]&lt;&gt;"",IF(PaymentSchedule3[[#This Row],[Scheduled Payment]]+PaymentSchedule3[[#This Row],[Extra
Payment]]&lt;=PaymentSchedule3[[#This Row],[Beginning
Balance]],PaymentSchedule3[[#This Row],[Beginning
Balance]]-PaymentSchedule3[[#This Row],[Principal]],0),"")</f>
        <v>118200.69524474199</v>
      </c>
      <c r="K314" s="25">
        <f ca="1">IF(PaymentSchedule3[[#This Row],[Payment Number]]&lt;&gt;"",SUM(INDEX(PaymentSchedule3[Interest],1,1):PaymentSchedule3[[#This Row],[Interest]]),"")</f>
        <v>486873.4062839399</v>
      </c>
    </row>
    <row r="315" spans="2:11" x14ac:dyDescent="0.3">
      <c r="B315" s="23">
        <f ca="1">IF(LoanIsGood,IF(ROW()-ROW(PaymentSchedule3[[#Headers],[Payment Number]])&gt;ScheduledNumberOfPayments,"",ROW()-ROW(PaymentSchedule3[[#Headers],[Payment Number]])),"")</f>
        <v>302</v>
      </c>
      <c r="C315" s="24">
        <f ca="1">IF(PaymentSchedule3[[#This Row],[Payment Number]]&lt;&gt;"",EOMONTH(LoanStartDate,ROW(PaymentSchedule3[[#This Row],[Payment Number]])-ROW(PaymentSchedule3[[#Headers],[Payment Number]])-2)+DAY(LoanStartDate),"")</f>
        <v>54615</v>
      </c>
      <c r="D315" s="25">
        <f ca="1">IF(PaymentSchedule3[[#This Row],[Payment Number]]&lt;&gt;"",IF(ROW()-ROW(PaymentSchedule3[[#Headers],[Beginning
Balance]])=1,LoanAmount,INDEX(PaymentSchedule3[Ending
Balance],ROW()-ROW(PaymentSchedule3[[#Headers],[Beginning
Balance]])-1)),"")</f>
        <v>118200.69524474199</v>
      </c>
      <c r="E315" s="25">
        <f ca="1">IF(PaymentSchedule3[[#This Row],[Payment Number]]&lt;&gt;"",ScheduledPayment,"")</f>
        <v>2387.6169801966716</v>
      </c>
      <c r="F31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5" s="25">
        <f ca="1">IF(PaymentSchedule3[[#This Row],[Payment Number]]&lt;&gt;"",PaymentSchedule3[[#This Row],[Total
Payment]]-PaymentSchedule3[[#This Row],[Interest]],"")</f>
        <v>1673.4877797596887</v>
      </c>
      <c r="I315" s="25">
        <f ca="1">IF(PaymentSchedule3[[#This Row],[Payment Number]]&lt;&gt;"",PaymentSchedule3[[#This Row],[Beginning
Balance]]*(InterestRate/PaymentsPerYear),"")</f>
        <v>714.12920043698284</v>
      </c>
      <c r="J315" s="25">
        <f ca="1">IF(PaymentSchedule3[[#This Row],[Payment Number]]&lt;&gt;"",IF(PaymentSchedule3[[#This Row],[Scheduled Payment]]+PaymentSchedule3[[#This Row],[Extra
Payment]]&lt;=PaymentSchedule3[[#This Row],[Beginning
Balance]],PaymentSchedule3[[#This Row],[Beginning
Balance]]-PaymentSchedule3[[#This Row],[Principal]],0),"")</f>
        <v>116527.2074649823</v>
      </c>
      <c r="K315" s="25">
        <f ca="1">IF(PaymentSchedule3[[#This Row],[Payment Number]]&lt;&gt;"",SUM(INDEX(PaymentSchedule3[Interest],1,1):PaymentSchedule3[[#This Row],[Interest]]),"")</f>
        <v>487587.53548437689</v>
      </c>
    </row>
    <row r="316" spans="2:11" x14ac:dyDescent="0.3">
      <c r="B316" s="23">
        <f ca="1">IF(LoanIsGood,IF(ROW()-ROW(PaymentSchedule3[[#Headers],[Payment Number]])&gt;ScheduledNumberOfPayments,"",ROW()-ROW(PaymentSchedule3[[#Headers],[Payment Number]])),"")</f>
        <v>303</v>
      </c>
      <c r="C316" s="24">
        <f ca="1">IF(PaymentSchedule3[[#This Row],[Payment Number]]&lt;&gt;"",EOMONTH(LoanStartDate,ROW(PaymentSchedule3[[#This Row],[Payment Number]])-ROW(PaymentSchedule3[[#Headers],[Payment Number]])-2)+DAY(LoanStartDate),"")</f>
        <v>54646</v>
      </c>
      <c r="D316" s="25">
        <f ca="1">IF(PaymentSchedule3[[#This Row],[Payment Number]]&lt;&gt;"",IF(ROW()-ROW(PaymentSchedule3[[#Headers],[Beginning
Balance]])=1,LoanAmount,INDEX(PaymentSchedule3[Ending
Balance],ROW()-ROW(PaymentSchedule3[[#Headers],[Beginning
Balance]])-1)),"")</f>
        <v>116527.2074649823</v>
      </c>
      <c r="E316" s="25">
        <f ca="1">IF(PaymentSchedule3[[#This Row],[Payment Number]]&lt;&gt;"",ScheduledPayment,"")</f>
        <v>2387.6169801966716</v>
      </c>
      <c r="F31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6" s="25">
        <f ca="1">IF(PaymentSchedule3[[#This Row],[Payment Number]]&lt;&gt;"",PaymentSchedule3[[#This Row],[Total
Payment]]-PaymentSchedule3[[#This Row],[Interest]],"")</f>
        <v>1683.5984350957369</v>
      </c>
      <c r="I316" s="25">
        <f ca="1">IF(PaymentSchedule3[[#This Row],[Payment Number]]&lt;&gt;"",PaymentSchedule3[[#This Row],[Beginning
Balance]]*(InterestRate/PaymentsPerYear),"")</f>
        <v>704.01854510093472</v>
      </c>
      <c r="J316" s="25">
        <f ca="1">IF(PaymentSchedule3[[#This Row],[Payment Number]]&lt;&gt;"",IF(PaymentSchedule3[[#This Row],[Scheduled Payment]]+PaymentSchedule3[[#This Row],[Extra
Payment]]&lt;=PaymentSchedule3[[#This Row],[Beginning
Balance]],PaymentSchedule3[[#This Row],[Beginning
Balance]]-PaymentSchedule3[[#This Row],[Principal]],0),"")</f>
        <v>114843.60902988657</v>
      </c>
      <c r="K316" s="25">
        <f ca="1">IF(PaymentSchedule3[[#This Row],[Payment Number]]&lt;&gt;"",SUM(INDEX(PaymentSchedule3[Interest],1,1):PaymentSchedule3[[#This Row],[Interest]]),"")</f>
        <v>488291.55402947782</v>
      </c>
    </row>
    <row r="317" spans="2:11" x14ac:dyDescent="0.3">
      <c r="B317" s="23">
        <f ca="1">IF(LoanIsGood,IF(ROW()-ROW(PaymentSchedule3[[#Headers],[Payment Number]])&gt;ScheduledNumberOfPayments,"",ROW()-ROW(PaymentSchedule3[[#Headers],[Payment Number]])),"")</f>
        <v>304</v>
      </c>
      <c r="C317" s="24">
        <f ca="1">IF(PaymentSchedule3[[#This Row],[Payment Number]]&lt;&gt;"",EOMONTH(LoanStartDate,ROW(PaymentSchedule3[[#This Row],[Payment Number]])-ROW(PaymentSchedule3[[#Headers],[Payment Number]])-2)+DAY(LoanStartDate),"")</f>
        <v>54677</v>
      </c>
      <c r="D317" s="25">
        <f ca="1">IF(PaymentSchedule3[[#This Row],[Payment Number]]&lt;&gt;"",IF(ROW()-ROW(PaymentSchedule3[[#Headers],[Beginning
Balance]])=1,LoanAmount,INDEX(PaymentSchedule3[Ending
Balance],ROW()-ROW(PaymentSchedule3[[#Headers],[Beginning
Balance]])-1)),"")</f>
        <v>114843.60902988657</v>
      </c>
      <c r="E317" s="25">
        <f ca="1">IF(PaymentSchedule3[[#This Row],[Payment Number]]&lt;&gt;"",ScheduledPayment,"")</f>
        <v>2387.6169801966716</v>
      </c>
      <c r="F31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7" s="25">
        <f ca="1">IF(PaymentSchedule3[[#This Row],[Payment Number]]&lt;&gt;"",PaymentSchedule3[[#This Row],[Total
Payment]]-PaymentSchedule3[[#This Row],[Interest]],"")</f>
        <v>1693.770175641107</v>
      </c>
      <c r="I317" s="25">
        <f ca="1">IF(PaymentSchedule3[[#This Row],[Payment Number]]&lt;&gt;"",PaymentSchedule3[[#This Row],[Beginning
Balance]]*(InterestRate/PaymentsPerYear),"")</f>
        <v>693.84680455556474</v>
      </c>
      <c r="J317" s="25">
        <f ca="1">IF(PaymentSchedule3[[#This Row],[Payment Number]]&lt;&gt;"",IF(PaymentSchedule3[[#This Row],[Scheduled Payment]]+PaymentSchedule3[[#This Row],[Extra
Payment]]&lt;=PaymentSchedule3[[#This Row],[Beginning
Balance]],PaymentSchedule3[[#This Row],[Beginning
Balance]]-PaymentSchedule3[[#This Row],[Principal]],0),"")</f>
        <v>113149.83885424546</v>
      </c>
      <c r="K317" s="25">
        <f ca="1">IF(PaymentSchedule3[[#This Row],[Payment Number]]&lt;&gt;"",SUM(INDEX(PaymentSchedule3[Interest],1,1):PaymentSchedule3[[#This Row],[Interest]]),"")</f>
        <v>488985.40083403338</v>
      </c>
    </row>
    <row r="318" spans="2:11" x14ac:dyDescent="0.3">
      <c r="B318" s="23">
        <f ca="1">IF(LoanIsGood,IF(ROW()-ROW(PaymentSchedule3[[#Headers],[Payment Number]])&gt;ScheduledNumberOfPayments,"",ROW()-ROW(PaymentSchedule3[[#Headers],[Payment Number]])),"")</f>
        <v>305</v>
      </c>
      <c r="C318" s="24">
        <f ca="1">IF(PaymentSchedule3[[#This Row],[Payment Number]]&lt;&gt;"",EOMONTH(LoanStartDate,ROW(PaymentSchedule3[[#This Row],[Payment Number]])-ROW(PaymentSchedule3[[#Headers],[Payment Number]])-2)+DAY(LoanStartDate),"")</f>
        <v>54707</v>
      </c>
      <c r="D318" s="25">
        <f ca="1">IF(PaymentSchedule3[[#This Row],[Payment Number]]&lt;&gt;"",IF(ROW()-ROW(PaymentSchedule3[[#Headers],[Beginning
Balance]])=1,LoanAmount,INDEX(PaymentSchedule3[Ending
Balance],ROW()-ROW(PaymentSchedule3[[#Headers],[Beginning
Balance]])-1)),"")</f>
        <v>113149.83885424546</v>
      </c>
      <c r="E318" s="25">
        <f ca="1">IF(PaymentSchedule3[[#This Row],[Payment Number]]&lt;&gt;"",ScheduledPayment,"")</f>
        <v>2387.6169801966716</v>
      </c>
      <c r="F31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8" s="25">
        <f ca="1">IF(PaymentSchedule3[[#This Row],[Payment Number]]&lt;&gt;"",PaymentSchedule3[[#This Row],[Total
Payment]]-PaymentSchedule3[[#This Row],[Interest]],"")</f>
        <v>1704.0033704522721</v>
      </c>
      <c r="I318" s="25">
        <f ca="1">IF(PaymentSchedule3[[#This Row],[Payment Number]]&lt;&gt;"",PaymentSchedule3[[#This Row],[Beginning
Balance]]*(InterestRate/PaymentsPerYear),"")</f>
        <v>683.6136097443997</v>
      </c>
      <c r="J318" s="25">
        <f ca="1">IF(PaymentSchedule3[[#This Row],[Payment Number]]&lt;&gt;"",IF(PaymentSchedule3[[#This Row],[Scheduled Payment]]+PaymentSchedule3[[#This Row],[Extra
Payment]]&lt;=PaymentSchedule3[[#This Row],[Beginning
Balance]],PaymentSchedule3[[#This Row],[Beginning
Balance]]-PaymentSchedule3[[#This Row],[Principal]],0),"")</f>
        <v>111445.8354837932</v>
      </c>
      <c r="K318" s="25">
        <f ca="1">IF(PaymentSchedule3[[#This Row],[Payment Number]]&lt;&gt;"",SUM(INDEX(PaymentSchedule3[Interest],1,1):PaymentSchedule3[[#This Row],[Interest]]),"")</f>
        <v>489669.01444377779</v>
      </c>
    </row>
    <row r="319" spans="2:11" x14ac:dyDescent="0.3">
      <c r="B319" s="23">
        <f ca="1">IF(LoanIsGood,IF(ROW()-ROW(PaymentSchedule3[[#Headers],[Payment Number]])&gt;ScheduledNumberOfPayments,"",ROW()-ROW(PaymentSchedule3[[#Headers],[Payment Number]])),"")</f>
        <v>306</v>
      </c>
      <c r="C319" s="24">
        <f ca="1">IF(PaymentSchedule3[[#This Row],[Payment Number]]&lt;&gt;"",EOMONTH(LoanStartDate,ROW(PaymentSchedule3[[#This Row],[Payment Number]])-ROW(PaymentSchedule3[[#Headers],[Payment Number]])-2)+DAY(LoanStartDate),"")</f>
        <v>54738</v>
      </c>
      <c r="D319" s="25">
        <f ca="1">IF(PaymentSchedule3[[#This Row],[Payment Number]]&lt;&gt;"",IF(ROW()-ROW(PaymentSchedule3[[#Headers],[Beginning
Balance]])=1,LoanAmount,INDEX(PaymentSchedule3[Ending
Balance],ROW()-ROW(PaymentSchedule3[[#Headers],[Beginning
Balance]])-1)),"")</f>
        <v>111445.8354837932</v>
      </c>
      <c r="E319" s="25">
        <f ca="1">IF(PaymentSchedule3[[#This Row],[Payment Number]]&lt;&gt;"",ScheduledPayment,"")</f>
        <v>2387.6169801966716</v>
      </c>
      <c r="F31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1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19" s="25">
        <f ca="1">IF(PaymentSchedule3[[#This Row],[Payment Number]]&lt;&gt;"",PaymentSchedule3[[#This Row],[Total
Payment]]-PaymentSchedule3[[#This Row],[Interest]],"")</f>
        <v>1714.298390815421</v>
      </c>
      <c r="I319" s="25">
        <f ca="1">IF(PaymentSchedule3[[#This Row],[Payment Number]]&lt;&gt;"",PaymentSchedule3[[#This Row],[Beginning
Balance]]*(InterestRate/PaymentsPerYear),"")</f>
        <v>673.3185893812506</v>
      </c>
      <c r="J319" s="25">
        <f ca="1">IF(PaymentSchedule3[[#This Row],[Payment Number]]&lt;&gt;"",IF(PaymentSchedule3[[#This Row],[Scheduled Payment]]+PaymentSchedule3[[#This Row],[Extra
Payment]]&lt;=PaymentSchedule3[[#This Row],[Beginning
Balance]],PaymentSchedule3[[#This Row],[Beginning
Balance]]-PaymentSchedule3[[#This Row],[Principal]],0),"")</f>
        <v>109731.53709297777</v>
      </c>
      <c r="K319" s="25">
        <f ca="1">IF(PaymentSchedule3[[#This Row],[Payment Number]]&lt;&gt;"",SUM(INDEX(PaymentSchedule3[Interest],1,1):PaymentSchedule3[[#This Row],[Interest]]),"")</f>
        <v>490342.33303315903</v>
      </c>
    </row>
    <row r="320" spans="2:11" x14ac:dyDescent="0.3">
      <c r="B320" s="23">
        <f ca="1">IF(LoanIsGood,IF(ROW()-ROW(PaymentSchedule3[[#Headers],[Payment Number]])&gt;ScheduledNumberOfPayments,"",ROW()-ROW(PaymentSchedule3[[#Headers],[Payment Number]])),"")</f>
        <v>307</v>
      </c>
      <c r="C320" s="24">
        <f ca="1">IF(PaymentSchedule3[[#This Row],[Payment Number]]&lt;&gt;"",EOMONTH(LoanStartDate,ROW(PaymentSchedule3[[#This Row],[Payment Number]])-ROW(PaymentSchedule3[[#Headers],[Payment Number]])-2)+DAY(LoanStartDate),"")</f>
        <v>54768</v>
      </c>
      <c r="D320" s="25">
        <f ca="1">IF(PaymentSchedule3[[#This Row],[Payment Number]]&lt;&gt;"",IF(ROW()-ROW(PaymentSchedule3[[#Headers],[Beginning
Balance]])=1,LoanAmount,INDEX(PaymentSchedule3[Ending
Balance],ROW()-ROW(PaymentSchedule3[[#Headers],[Beginning
Balance]])-1)),"")</f>
        <v>109731.53709297777</v>
      </c>
      <c r="E320" s="25">
        <f ca="1">IF(PaymentSchedule3[[#This Row],[Payment Number]]&lt;&gt;"",ScheduledPayment,"")</f>
        <v>2387.6169801966716</v>
      </c>
      <c r="F32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0" s="25">
        <f ca="1">IF(PaymentSchedule3[[#This Row],[Payment Number]]&lt;&gt;"",PaymentSchedule3[[#This Row],[Total
Payment]]-PaymentSchedule3[[#This Row],[Interest]],"")</f>
        <v>1724.6556102599311</v>
      </c>
      <c r="I320" s="25">
        <f ca="1">IF(PaymentSchedule3[[#This Row],[Payment Number]]&lt;&gt;"",PaymentSchedule3[[#This Row],[Beginning
Balance]]*(InterestRate/PaymentsPerYear),"")</f>
        <v>662.96136993674065</v>
      </c>
      <c r="J320" s="25">
        <f ca="1">IF(PaymentSchedule3[[#This Row],[Payment Number]]&lt;&gt;"",IF(PaymentSchedule3[[#This Row],[Scheduled Payment]]+PaymentSchedule3[[#This Row],[Extra
Payment]]&lt;=PaymentSchedule3[[#This Row],[Beginning
Balance]],PaymentSchedule3[[#This Row],[Beginning
Balance]]-PaymentSchedule3[[#This Row],[Principal]],0),"")</f>
        <v>108006.88148271784</v>
      </c>
      <c r="K320" s="25">
        <f ca="1">IF(PaymentSchedule3[[#This Row],[Payment Number]]&lt;&gt;"",SUM(INDEX(PaymentSchedule3[Interest],1,1):PaymentSchedule3[[#This Row],[Interest]]),"")</f>
        <v>491005.29440309579</v>
      </c>
    </row>
    <row r="321" spans="2:11" x14ac:dyDescent="0.3">
      <c r="B321" s="23">
        <f ca="1">IF(LoanIsGood,IF(ROW()-ROW(PaymentSchedule3[[#Headers],[Payment Number]])&gt;ScheduledNumberOfPayments,"",ROW()-ROW(PaymentSchedule3[[#Headers],[Payment Number]])),"")</f>
        <v>308</v>
      </c>
      <c r="C321" s="24">
        <f ca="1">IF(PaymentSchedule3[[#This Row],[Payment Number]]&lt;&gt;"",EOMONTH(LoanStartDate,ROW(PaymentSchedule3[[#This Row],[Payment Number]])-ROW(PaymentSchedule3[[#Headers],[Payment Number]])-2)+DAY(LoanStartDate),"")</f>
        <v>54799</v>
      </c>
      <c r="D321" s="25">
        <f ca="1">IF(PaymentSchedule3[[#This Row],[Payment Number]]&lt;&gt;"",IF(ROW()-ROW(PaymentSchedule3[[#Headers],[Beginning
Balance]])=1,LoanAmount,INDEX(PaymentSchedule3[Ending
Balance],ROW()-ROW(PaymentSchedule3[[#Headers],[Beginning
Balance]])-1)),"")</f>
        <v>108006.88148271784</v>
      </c>
      <c r="E321" s="25">
        <f ca="1">IF(PaymentSchedule3[[#This Row],[Payment Number]]&lt;&gt;"",ScheduledPayment,"")</f>
        <v>2387.6169801966716</v>
      </c>
      <c r="F32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1" s="25">
        <f ca="1">IF(PaymentSchedule3[[#This Row],[Payment Number]]&lt;&gt;"",PaymentSchedule3[[#This Row],[Total
Payment]]-PaymentSchedule3[[#This Row],[Interest]],"")</f>
        <v>1735.0754045719182</v>
      </c>
      <c r="I321" s="25">
        <f ca="1">IF(PaymentSchedule3[[#This Row],[Payment Number]]&lt;&gt;"",PaymentSchedule3[[#This Row],[Beginning
Balance]]*(InterestRate/PaymentsPerYear),"")</f>
        <v>652.54157562475359</v>
      </c>
      <c r="J321" s="25">
        <f ca="1">IF(PaymentSchedule3[[#This Row],[Payment Number]]&lt;&gt;"",IF(PaymentSchedule3[[#This Row],[Scheduled Payment]]+PaymentSchedule3[[#This Row],[Extra
Payment]]&lt;=PaymentSchedule3[[#This Row],[Beginning
Balance]],PaymentSchedule3[[#This Row],[Beginning
Balance]]-PaymentSchedule3[[#This Row],[Principal]],0),"")</f>
        <v>106271.80607814592</v>
      </c>
      <c r="K321" s="25">
        <f ca="1">IF(PaymentSchedule3[[#This Row],[Payment Number]]&lt;&gt;"",SUM(INDEX(PaymentSchedule3[Interest],1,1):PaymentSchedule3[[#This Row],[Interest]]),"")</f>
        <v>491657.83597872057</v>
      </c>
    </row>
    <row r="322" spans="2:11" x14ac:dyDescent="0.3">
      <c r="B322" s="23">
        <f ca="1">IF(LoanIsGood,IF(ROW()-ROW(PaymentSchedule3[[#Headers],[Payment Number]])&gt;ScheduledNumberOfPayments,"",ROW()-ROW(PaymentSchedule3[[#Headers],[Payment Number]])),"")</f>
        <v>309</v>
      </c>
      <c r="C322" s="24">
        <f ca="1">IF(PaymentSchedule3[[#This Row],[Payment Number]]&lt;&gt;"",EOMONTH(LoanStartDate,ROW(PaymentSchedule3[[#This Row],[Payment Number]])-ROW(PaymentSchedule3[[#Headers],[Payment Number]])-2)+DAY(LoanStartDate),"")</f>
        <v>54830</v>
      </c>
      <c r="D322" s="25">
        <f ca="1">IF(PaymentSchedule3[[#This Row],[Payment Number]]&lt;&gt;"",IF(ROW()-ROW(PaymentSchedule3[[#Headers],[Beginning
Balance]])=1,LoanAmount,INDEX(PaymentSchedule3[Ending
Balance],ROW()-ROW(PaymentSchedule3[[#Headers],[Beginning
Balance]])-1)),"")</f>
        <v>106271.80607814592</v>
      </c>
      <c r="E322" s="25">
        <f ca="1">IF(PaymentSchedule3[[#This Row],[Payment Number]]&lt;&gt;"",ScheduledPayment,"")</f>
        <v>2387.6169801966716</v>
      </c>
      <c r="F32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2" s="25">
        <f ca="1">IF(PaymentSchedule3[[#This Row],[Payment Number]]&lt;&gt;"",PaymentSchedule3[[#This Row],[Total
Payment]]-PaymentSchedule3[[#This Row],[Interest]],"")</f>
        <v>1745.5581518078734</v>
      </c>
      <c r="I322" s="25">
        <f ca="1">IF(PaymentSchedule3[[#This Row],[Payment Number]]&lt;&gt;"",PaymentSchedule3[[#This Row],[Beginning
Balance]]*(InterestRate/PaymentsPerYear),"")</f>
        <v>642.05882838879825</v>
      </c>
      <c r="J322" s="25">
        <f ca="1">IF(PaymentSchedule3[[#This Row],[Payment Number]]&lt;&gt;"",IF(PaymentSchedule3[[#This Row],[Scheduled Payment]]+PaymentSchedule3[[#This Row],[Extra
Payment]]&lt;=PaymentSchedule3[[#This Row],[Beginning
Balance]],PaymentSchedule3[[#This Row],[Beginning
Balance]]-PaymentSchedule3[[#This Row],[Principal]],0),"")</f>
        <v>104526.24792633805</v>
      </c>
      <c r="K322" s="25">
        <f ca="1">IF(PaymentSchedule3[[#This Row],[Payment Number]]&lt;&gt;"",SUM(INDEX(PaymentSchedule3[Interest],1,1):PaymentSchedule3[[#This Row],[Interest]]),"")</f>
        <v>492299.89480710938</v>
      </c>
    </row>
    <row r="323" spans="2:11" x14ac:dyDescent="0.3">
      <c r="B323" s="23">
        <f ca="1">IF(LoanIsGood,IF(ROW()-ROW(PaymentSchedule3[[#Headers],[Payment Number]])&gt;ScheduledNumberOfPayments,"",ROW()-ROW(PaymentSchedule3[[#Headers],[Payment Number]])),"")</f>
        <v>310</v>
      </c>
      <c r="C323" s="24">
        <f ca="1">IF(PaymentSchedule3[[#This Row],[Payment Number]]&lt;&gt;"",EOMONTH(LoanStartDate,ROW(PaymentSchedule3[[#This Row],[Payment Number]])-ROW(PaymentSchedule3[[#Headers],[Payment Number]])-2)+DAY(LoanStartDate),"")</f>
        <v>54858</v>
      </c>
      <c r="D323" s="25">
        <f ca="1">IF(PaymentSchedule3[[#This Row],[Payment Number]]&lt;&gt;"",IF(ROW()-ROW(PaymentSchedule3[[#Headers],[Beginning
Balance]])=1,LoanAmount,INDEX(PaymentSchedule3[Ending
Balance],ROW()-ROW(PaymentSchedule3[[#Headers],[Beginning
Balance]])-1)),"")</f>
        <v>104526.24792633805</v>
      </c>
      <c r="E323" s="25">
        <f ca="1">IF(PaymentSchedule3[[#This Row],[Payment Number]]&lt;&gt;"",ScheduledPayment,"")</f>
        <v>2387.6169801966716</v>
      </c>
      <c r="F32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3" s="25">
        <f ca="1">IF(PaymentSchedule3[[#This Row],[Payment Number]]&lt;&gt;"",PaymentSchedule3[[#This Row],[Total
Payment]]-PaymentSchedule3[[#This Row],[Interest]],"")</f>
        <v>1756.1042323083793</v>
      </c>
      <c r="I323" s="25">
        <f ca="1">IF(PaymentSchedule3[[#This Row],[Payment Number]]&lt;&gt;"",PaymentSchedule3[[#This Row],[Beginning
Balance]]*(InterestRate/PaymentsPerYear),"")</f>
        <v>631.51274788829244</v>
      </c>
      <c r="J323" s="25">
        <f ca="1">IF(PaymentSchedule3[[#This Row],[Payment Number]]&lt;&gt;"",IF(PaymentSchedule3[[#This Row],[Scheduled Payment]]+PaymentSchedule3[[#This Row],[Extra
Payment]]&lt;=PaymentSchedule3[[#This Row],[Beginning
Balance]],PaymentSchedule3[[#This Row],[Beginning
Balance]]-PaymentSchedule3[[#This Row],[Principal]],0),"")</f>
        <v>102770.14369402967</v>
      </c>
      <c r="K323" s="25">
        <f ca="1">IF(PaymentSchedule3[[#This Row],[Payment Number]]&lt;&gt;"",SUM(INDEX(PaymentSchedule3[Interest],1,1):PaymentSchedule3[[#This Row],[Interest]]),"")</f>
        <v>492931.40755499766</v>
      </c>
    </row>
    <row r="324" spans="2:11" x14ac:dyDescent="0.3">
      <c r="B324" s="23">
        <f ca="1">IF(LoanIsGood,IF(ROW()-ROW(PaymentSchedule3[[#Headers],[Payment Number]])&gt;ScheduledNumberOfPayments,"",ROW()-ROW(PaymentSchedule3[[#Headers],[Payment Number]])),"")</f>
        <v>311</v>
      </c>
      <c r="C324" s="24">
        <f ca="1">IF(PaymentSchedule3[[#This Row],[Payment Number]]&lt;&gt;"",EOMONTH(LoanStartDate,ROW(PaymentSchedule3[[#This Row],[Payment Number]])-ROW(PaymentSchedule3[[#Headers],[Payment Number]])-2)+DAY(LoanStartDate),"")</f>
        <v>54889</v>
      </c>
      <c r="D324" s="25">
        <f ca="1">IF(PaymentSchedule3[[#This Row],[Payment Number]]&lt;&gt;"",IF(ROW()-ROW(PaymentSchedule3[[#Headers],[Beginning
Balance]])=1,LoanAmount,INDEX(PaymentSchedule3[Ending
Balance],ROW()-ROW(PaymentSchedule3[[#Headers],[Beginning
Balance]])-1)),"")</f>
        <v>102770.14369402967</v>
      </c>
      <c r="E324" s="25">
        <f ca="1">IF(PaymentSchedule3[[#This Row],[Payment Number]]&lt;&gt;"",ScheduledPayment,"")</f>
        <v>2387.6169801966716</v>
      </c>
      <c r="F32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4" s="25">
        <f ca="1">IF(PaymentSchedule3[[#This Row],[Payment Number]]&lt;&gt;"",PaymentSchedule3[[#This Row],[Total
Payment]]-PaymentSchedule3[[#This Row],[Interest]],"")</f>
        <v>1766.7140287119091</v>
      </c>
      <c r="I324" s="25">
        <f ca="1">IF(PaymentSchedule3[[#This Row],[Payment Number]]&lt;&gt;"",PaymentSchedule3[[#This Row],[Beginning
Balance]]*(InterestRate/PaymentsPerYear),"")</f>
        <v>620.90295148476253</v>
      </c>
      <c r="J324" s="25">
        <f ca="1">IF(PaymentSchedule3[[#This Row],[Payment Number]]&lt;&gt;"",IF(PaymentSchedule3[[#This Row],[Scheduled Payment]]+PaymentSchedule3[[#This Row],[Extra
Payment]]&lt;=PaymentSchedule3[[#This Row],[Beginning
Balance]],PaymentSchedule3[[#This Row],[Beginning
Balance]]-PaymentSchedule3[[#This Row],[Principal]],0),"")</f>
        <v>101003.42966531776</v>
      </c>
      <c r="K324" s="25">
        <f ca="1">IF(PaymentSchedule3[[#This Row],[Payment Number]]&lt;&gt;"",SUM(INDEX(PaymentSchedule3[Interest],1,1):PaymentSchedule3[[#This Row],[Interest]]),"")</f>
        <v>493552.31050648243</v>
      </c>
    </row>
    <row r="325" spans="2:11" x14ac:dyDescent="0.3">
      <c r="B325" s="23">
        <f ca="1">IF(LoanIsGood,IF(ROW()-ROW(PaymentSchedule3[[#Headers],[Payment Number]])&gt;ScheduledNumberOfPayments,"",ROW()-ROW(PaymentSchedule3[[#Headers],[Payment Number]])),"")</f>
        <v>312</v>
      </c>
      <c r="C325" s="24">
        <f ca="1">IF(PaymentSchedule3[[#This Row],[Payment Number]]&lt;&gt;"",EOMONTH(LoanStartDate,ROW(PaymentSchedule3[[#This Row],[Payment Number]])-ROW(PaymentSchedule3[[#Headers],[Payment Number]])-2)+DAY(LoanStartDate),"")</f>
        <v>54919</v>
      </c>
      <c r="D325" s="25">
        <f ca="1">IF(PaymentSchedule3[[#This Row],[Payment Number]]&lt;&gt;"",IF(ROW()-ROW(PaymentSchedule3[[#Headers],[Beginning
Balance]])=1,LoanAmount,INDEX(PaymentSchedule3[Ending
Balance],ROW()-ROW(PaymentSchedule3[[#Headers],[Beginning
Balance]])-1)),"")</f>
        <v>101003.42966531776</v>
      </c>
      <c r="E325" s="25">
        <f ca="1">IF(PaymentSchedule3[[#This Row],[Payment Number]]&lt;&gt;"",ScheduledPayment,"")</f>
        <v>2387.6169801966716</v>
      </c>
      <c r="F32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5" s="25">
        <f ca="1">IF(PaymentSchedule3[[#This Row],[Payment Number]]&lt;&gt;"",PaymentSchedule3[[#This Row],[Total
Payment]]-PaymentSchedule3[[#This Row],[Interest]],"")</f>
        <v>1777.3879259687101</v>
      </c>
      <c r="I325" s="25">
        <f ca="1">IF(PaymentSchedule3[[#This Row],[Payment Number]]&lt;&gt;"",PaymentSchedule3[[#This Row],[Beginning
Balance]]*(InterestRate/PaymentsPerYear),"")</f>
        <v>610.22905422796146</v>
      </c>
      <c r="J325" s="25">
        <f ca="1">IF(PaymentSchedule3[[#This Row],[Payment Number]]&lt;&gt;"",IF(PaymentSchedule3[[#This Row],[Scheduled Payment]]+PaymentSchedule3[[#This Row],[Extra
Payment]]&lt;=PaymentSchedule3[[#This Row],[Beginning
Balance]],PaymentSchedule3[[#This Row],[Beginning
Balance]]-PaymentSchedule3[[#This Row],[Principal]],0),"")</f>
        <v>99226.04173934905</v>
      </c>
      <c r="K325" s="25">
        <f ca="1">IF(PaymentSchedule3[[#This Row],[Payment Number]]&lt;&gt;"",SUM(INDEX(PaymentSchedule3[Interest],1,1):PaymentSchedule3[[#This Row],[Interest]]),"")</f>
        <v>494162.53956071037</v>
      </c>
    </row>
    <row r="326" spans="2:11" x14ac:dyDescent="0.3">
      <c r="B326" s="23">
        <f ca="1">IF(LoanIsGood,IF(ROW()-ROW(PaymentSchedule3[[#Headers],[Payment Number]])&gt;ScheduledNumberOfPayments,"",ROW()-ROW(PaymentSchedule3[[#Headers],[Payment Number]])),"")</f>
        <v>313</v>
      </c>
      <c r="C326" s="24">
        <f ca="1">IF(PaymentSchedule3[[#This Row],[Payment Number]]&lt;&gt;"",EOMONTH(LoanStartDate,ROW(PaymentSchedule3[[#This Row],[Payment Number]])-ROW(PaymentSchedule3[[#Headers],[Payment Number]])-2)+DAY(LoanStartDate),"")</f>
        <v>54950</v>
      </c>
      <c r="D326" s="25">
        <f ca="1">IF(PaymentSchedule3[[#This Row],[Payment Number]]&lt;&gt;"",IF(ROW()-ROW(PaymentSchedule3[[#Headers],[Beginning
Balance]])=1,LoanAmount,INDEX(PaymentSchedule3[Ending
Balance],ROW()-ROW(PaymentSchedule3[[#Headers],[Beginning
Balance]])-1)),"")</f>
        <v>99226.04173934905</v>
      </c>
      <c r="E326" s="25">
        <f ca="1">IF(PaymentSchedule3[[#This Row],[Payment Number]]&lt;&gt;"",ScheduledPayment,"")</f>
        <v>2387.6169801966716</v>
      </c>
      <c r="F32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6" s="25">
        <f ca="1">IF(PaymentSchedule3[[#This Row],[Payment Number]]&lt;&gt;"",PaymentSchedule3[[#This Row],[Total
Payment]]-PaymentSchedule3[[#This Row],[Interest]],"")</f>
        <v>1788.1263113547711</v>
      </c>
      <c r="I326" s="25">
        <f ca="1">IF(PaymentSchedule3[[#This Row],[Payment Number]]&lt;&gt;"",PaymentSchedule3[[#This Row],[Beginning
Balance]]*(InterestRate/PaymentsPerYear),"")</f>
        <v>599.49066884190051</v>
      </c>
      <c r="J326" s="25">
        <f ca="1">IF(PaymentSchedule3[[#This Row],[Payment Number]]&lt;&gt;"",IF(PaymentSchedule3[[#This Row],[Scheduled Payment]]+PaymentSchedule3[[#This Row],[Extra
Payment]]&lt;=PaymentSchedule3[[#This Row],[Beginning
Balance]],PaymentSchedule3[[#This Row],[Beginning
Balance]]-PaymentSchedule3[[#This Row],[Principal]],0),"")</f>
        <v>97437.915427994274</v>
      </c>
      <c r="K326" s="25">
        <f ca="1">IF(PaymentSchedule3[[#This Row],[Payment Number]]&lt;&gt;"",SUM(INDEX(PaymentSchedule3[Interest],1,1):PaymentSchedule3[[#This Row],[Interest]]),"")</f>
        <v>494762.0302295523</v>
      </c>
    </row>
    <row r="327" spans="2:11" x14ac:dyDescent="0.3">
      <c r="B327" s="23">
        <f ca="1">IF(LoanIsGood,IF(ROW()-ROW(PaymentSchedule3[[#Headers],[Payment Number]])&gt;ScheduledNumberOfPayments,"",ROW()-ROW(PaymentSchedule3[[#Headers],[Payment Number]])),"")</f>
        <v>314</v>
      </c>
      <c r="C327" s="24">
        <f ca="1">IF(PaymentSchedule3[[#This Row],[Payment Number]]&lt;&gt;"",EOMONTH(LoanStartDate,ROW(PaymentSchedule3[[#This Row],[Payment Number]])-ROW(PaymentSchedule3[[#Headers],[Payment Number]])-2)+DAY(LoanStartDate),"")</f>
        <v>54980</v>
      </c>
      <c r="D327" s="25">
        <f ca="1">IF(PaymentSchedule3[[#This Row],[Payment Number]]&lt;&gt;"",IF(ROW()-ROW(PaymentSchedule3[[#Headers],[Beginning
Balance]])=1,LoanAmount,INDEX(PaymentSchedule3[Ending
Balance],ROW()-ROW(PaymentSchedule3[[#Headers],[Beginning
Balance]])-1)),"")</f>
        <v>97437.915427994274</v>
      </c>
      <c r="E327" s="25">
        <f ca="1">IF(PaymentSchedule3[[#This Row],[Payment Number]]&lt;&gt;"",ScheduledPayment,"")</f>
        <v>2387.6169801966716</v>
      </c>
      <c r="F32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7" s="25">
        <f ca="1">IF(PaymentSchedule3[[#This Row],[Payment Number]]&lt;&gt;"",PaymentSchedule3[[#This Row],[Total
Payment]]-PaymentSchedule3[[#This Row],[Interest]],"")</f>
        <v>1798.9295744858728</v>
      </c>
      <c r="I327" s="25">
        <f ca="1">IF(PaymentSchedule3[[#This Row],[Payment Number]]&lt;&gt;"",PaymentSchedule3[[#This Row],[Beginning
Balance]]*(InterestRate/PaymentsPerYear),"")</f>
        <v>588.68740571079877</v>
      </c>
      <c r="J327" s="25">
        <f ca="1">IF(PaymentSchedule3[[#This Row],[Payment Number]]&lt;&gt;"",IF(PaymentSchedule3[[#This Row],[Scheduled Payment]]+PaymentSchedule3[[#This Row],[Extra
Payment]]&lt;=PaymentSchedule3[[#This Row],[Beginning
Balance]],PaymentSchedule3[[#This Row],[Beginning
Balance]]-PaymentSchedule3[[#This Row],[Principal]],0),"")</f>
        <v>95638.985853508406</v>
      </c>
      <c r="K327" s="25">
        <f ca="1">IF(PaymentSchedule3[[#This Row],[Payment Number]]&lt;&gt;"",SUM(INDEX(PaymentSchedule3[Interest],1,1):PaymentSchedule3[[#This Row],[Interest]]),"")</f>
        <v>495350.71763526311</v>
      </c>
    </row>
    <row r="328" spans="2:11" x14ac:dyDescent="0.3">
      <c r="B328" s="23">
        <f ca="1">IF(LoanIsGood,IF(ROW()-ROW(PaymentSchedule3[[#Headers],[Payment Number]])&gt;ScheduledNumberOfPayments,"",ROW()-ROW(PaymentSchedule3[[#Headers],[Payment Number]])),"")</f>
        <v>315</v>
      </c>
      <c r="C328" s="24">
        <f ca="1">IF(PaymentSchedule3[[#This Row],[Payment Number]]&lt;&gt;"",EOMONTH(LoanStartDate,ROW(PaymentSchedule3[[#This Row],[Payment Number]])-ROW(PaymentSchedule3[[#Headers],[Payment Number]])-2)+DAY(LoanStartDate),"")</f>
        <v>55011</v>
      </c>
      <c r="D328" s="25">
        <f ca="1">IF(PaymentSchedule3[[#This Row],[Payment Number]]&lt;&gt;"",IF(ROW()-ROW(PaymentSchedule3[[#Headers],[Beginning
Balance]])=1,LoanAmount,INDEX(PaymentSchedule3[Ending
Balance],ROW()-ROW(PaymentSchedule3[[#Headers],[Beginning
Balance]])-1)),"")</f>
        <v>95638.985853508406</v>
      </c>
      <c r="E328" s="25">
        <f ca="1">IF(PaymentSchedule3[[#This Row],[Payment Number]]&lt;&gt;"",ScheduledPayment,"")</f>
        <v>2387.6169801966716</v>
      </c>
      <c r="F32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8" s="25">
        <f ca="1">IF(PaymentSchedule3[[#This Row],[Payment Number]]&lt;&gt;"",PaymentSchedule3[[#This Row],[Total
Payment]]-PaymentSchedule3[[#This Row],[Interest]],"")</f>
        <v>1809.7981073317251</v>
      </c>
      <c r="I328" s="25">
        <f ca="1">IF(PaymentSchedule3[[#This Row],[Payment Number]]&lt;&gt;"",PaymentSchedule3[[#This Row],[Beginning
Balance]]*(InterestRate/PaymentsPerYear),"")</f>
        <v>577.81887286494657</v>
      </c>
      <c r="J328" s="25">
        <f ca="1">IF(PaymentSchedule3[[#This Row],[Payment Number]]&lt;&gt;"",IF(PaymentSchedule3[[#This Row],[Scheduled Payment]]+PaymentSchedule3[[#This Row],[Extra
Payment]]&lt;=PaymentSchedule3[[#This Row],[Beginning
Balance]],PaymentSchedule3[[#This Row],[Beginning
Balance]]-PaymentSchedule3[[#This Row],[Principal]],0),"")</f>
        <v>93829.187746176685</v>
      </c>
      <c r="K328" s="25">
        <f ca="1">IF(PaymentSchedule3[[#This Row],[Payment Number]]&lt;&gt;"",SUM(INDEX(PaymentSchedule3[Interest],1,1):PaymentSchedule3[[#This Row],[Interest]]),"")</f>
        <v>495928.53650812805</v>
      </c>
    </row>
    <row r="329" spans="2:11" x14ac:dyDescent="0.3">
      <c r="B329" s="23">
        <f ca="1">IF(LoanIsGood,IF(ROW()-ROW(PaymentSchedule3[[#Headers],[Payment Number]])&gt;ScheduledNumberOfPayments,"",ROW()-ROW(PaymentSchedule3[[#Headers],[Payment Number]])),"")</f>
        <v>316</v>
      </c>
      <c r="C329" s="24">
        <f ca="1">IF(PaymentSchedule3[[#This Row],[Payment Number]]&lt;&gt;"",EOMONTH(LoanStartDate,ROW(PaymentSchedule3[[#This Row],[Payment Number]])-ROW(PaymentSchedule3[[#Headers],[Payment Number]])-2)+DAY(LoanStartDate),"")</f>
        <v>55042</v>
      </c>
      <c r="D329" s="25">
        <f ca="1">IF(PaymentSchedule3[[#This Row],[Payment Number]]&lt;&gt;"",IF(ROW()-ROW(PaymentSchedule3[[#Headers],[Beginning
Balance]])=1,LoanAmount,INDEX(PaymentSchedule3[Ending
Balance],ROW()-ROW(PaymentSchedule3[[#Headers],[Beginning
Balance]])-1)),"")</f>
        <v>93829.187746176685</v>
      </c>
      <c r="E329" s="25">
        <f ca="1">IF(PaymentSchedule3[[#This Row],[Payment Number]]&lt;&gt;"",ScheduledPayment,"")</f>
        <v>2387.6169801966716</v>
      </c>
      <c r="F32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2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29" s="25">
        <f ca="1">IF(PaymentSchedule3[[#This Row],[Payment Number]]&lt;&gt;"",PaymentSchedule3[[#This Row],[Total
Payment]]-PaymentSchedule3[[#This Row],[Interest]],"")</f>
        <v>1820.7323042301875</v>
      </c>
      <c r="I329" s="25">
        <f ca="1">IF(PaymentSchedule3[[#This Row],[Payment Number]]&lt;&gt;"",PaymentSchedule3[[#This Row],[Beginning
Balance]]*(InterestRate/PaymentsPerYear),"")</f>
        <v>566.88467596648411</v>
      </c>
      <c r="J329" s="25">
        <f ca="1">IF(PaymentSchedule3[[#This Row],[Payment Number]]&lt;&gt;"",IF(PaymentSchedule3[[#This Row],[Scheduled Payment]]+PaymentSchedule3[[#This Row],[Extra
Payment]]&lt;=PaymentSchedule3[[#This Row],[Beginning
Balance]],PaymentSchedule3[[#This Row],[Beginning
Balance]]-PaymentSchedule3[[#This Row],[Principal]],0),"")</f>
        <v>92008.455441946498</v>
      </c>
      <c r="K329" s="25">
        <f ca="1">IF(PaymentSchedule3[[#This Row],[Payment Number]]&lt;&gt;"",SUM(INDEX(PaymentSchedule3[Interest],1,1):PaymentSchedule3[[#This Row],[Interest]]),"")</f>
        <v>496495.42118409451</v>
      </c>
    </row>
    <row r="330" spans="2:11" x14ac:dyDescent="0.3">
      <c r="B330" s="23">
        <f ca="1">IF(LoanIsGood,IF(ROW()-ROW(PaymentSchedule3[[#Headers],[Payment Number]])&gt;ScheduledNumberOfPayments,"",ROW()-ROW(PaymentSchedule3[[#Headers],[Payment Number]])),"")</f>
        <v>317</v>
      </c>
      <c r="C330" s="24">
        <f ca="1">IF(PaymentSchedule3[[#This Row],[Payment Number]]&lt;&gt;"",EOMONTH(LoanStartDate,ROW(PaymentSchedule3[[#This Row],[Payment Number]])-ROW(PaymentSchedule3[[#Headers],[Payment Number]])-2)+DAY(LoanStartDate),"")</f>
        <v>55072</v>
      </c>
      <c r="D330" s="25">
        <f ca="1">IF(PaymentSchedule3[[#This Row],[Payment Number]]&lt;&gt;"",IF(ROW()-ROW(PaymentSchedule3[[#Headers],[Beginning
Balance]])=1,LoanAmount,INDEX(PaymentSchedule3[Ending
Balance],ROW()-ROW(PaymentSchedule3[[#Headers],[Beginning
Balance]])-1)),"")</f>
        <v>92008.455441946498</v>
      </c>
      <c r="E330" s="25">
        <f ca="1">IF(PaymentSchedule3[[#This Row],[Payment Number]]&lt;&gt;"",ScheduledPayment,"")</f>
        <v>2387.6169801966716</v>
      </c>
      <c r="F33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0" s="25">
        <f ca="1">IF(PaymentSchedule3[[#This Row],[Payment Number]]&lt;&gt;"",PaymentSchedule3[[#This Row],[Total
Payment]]-PaymentSchedule3[[#This Row],[Interest]],"")</f>
        <v>1831.7325619015783</v>
      </c>
      <c r="I330" s="25">
        <f ca="1">IF(PaymentSchedule3[[#This Row],[Payment Number]]&lt;&gt;"",PaymentSchedule3[[#This Row],[Beginning
Balance]]*(InterestRate/PaymentsPerYear),"")</f>
        <v>555.88441829509338</v>
      </c>
      <c r="J330" s="25">
        <f ca="1">IF(PaymentSchedule3[[#This Row],[Payment Number]]&lt;&gt;"",IF(PaymentSchedule3[[#This Row],[Scheduled Payment]]+PaymentSchedule3[[#This Row],[Extra
Payment]]&lt;=PaymentSchedule3[[#This Row],[Beginning
Balance]],PaymentSchedule3[[#This Row],[Beginning
Balance]]-PaymentSchedule3[[#This Row],[Principal]],0),"")</f>
        <v>90176.722880044923</v>
      </c>
      <c r="K330" s="25">
        <f ca="1">IF(PaymentSchedule3[[#This Row],[Payment Number]]&lt;&gt;"",SUM(INDEX(PaymentSchedule3[Interest],1,1):PaymentSchedule3[[#This Row],[Interest]]),"")</f>
        <v>497051.30560238962</v>
      </c>
    </row>
    <row r="331" spans="2:11" x14ac:dyDescent="0.3">
      <c r="B331" s="23">
        <f ca="1">IF(LoanIsGood,IF(ROW()-ROW(PaymentSchedule3[[#Headers],[Payment Number]])&gt;ScheduledNumberOfPayments,"",ROW()-ROW(PaymentSchedule3[[#Headers],[Payment Number]])),"")</f>
        <v>318</v>
      </c>
      <c r="C331" s="24">
        <f ca="1">IF(PaymentSchedule3[[#This Row],[Payment Number]]&lt;&gt;"",EOMONTH(LoanStartDate,ROW(PaymentSchedule3[[#This Row],[Payment Number]])-ROW(PaymentSchedule3[[#Headers],[Payment Number]])-2)+DAY(LoanStartDate),"")</f>
        <v>55103</v>
      </c>
      <c r="D331" s="25">
        <f ca="1">IF(PaymentSchedule3[[#This Row],[Payment Number]]&lt;&gt;"",IF(ROW()-ROW(PaymentSchedule3[[#Headers],[Beginning
Balance]])=1,LoanAmount,INDEX(PaymentSchedule3[Ending
Balance],ROW()-ROW(PaymentSchedule3[[#Headers],[Beginning
Balance]])-1)),"")</f>
        <v>90176.722880044923</v>
      </c>
      <c r="E331" s="25">
        <f ca="1">IF(PaymentSchedule3[[#This Row],[Payment Number]]&lt;&gt;"",ScheduledPayment,"")</f>
        <v>2387.6169801966716</v>
      </c>
      <c r="F33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1" s="25">
        <f ca="1">IF(PaymentSchedule3[[#This Row],[Payment Number]]&lt;&gt;"",PaymentSchedule3[[#This Row],[Total
Payment]]-PaymentSchedule3[[#This Row],[Interest]],"")</f>
        <v>1842.7992794630668</v>
      </c>
      <c r="I331" s="25">
        <f ca="1">IF(PaymentSchedule3[[#This Row],[Payment Number]]&lt;&gt;"",PaymentSchedule3[[#This Row],[Beginning
Balance]]*(InterestRate/PaymentsPerYear),"")</f>
        <v>544.81770073360474</v>
      </c>
      <c r="J331" s="25">
        <f ca="1">IF(PaymentSchedule3[[#This Row],[Payment Number]]&lt;&gt;"",IF(PaymentSchedule3[[#This Row],[Scheduled Payment]]+PaymentSchedule3[[#This Row],[Extra
Payment]]&lt;=PaymentSchedule3[[#This Row],[Beginning
Balance]],PaymentSchedule3[[#This Row],[Beginning
Balance]]-PaymentSchedule3[[#This Row],[Principal]],0),"")</f>
        <v>88333.923600581853</v>
      </c>
      <c r="K331" s="25">
        <f ca="1">IF(PaymentSchedule3[[#This Row],[Payment Number]]&lt;&gt;"",SUM(INDEX(PaymentSchedule3[Interest],1,1):PaymentSchedule3[[#This Row],[Interest]]),"")</f>
        <v>497596.12330312323</v>
      </c>
    </row>
    <row r="332" spans="2:11" x14ac:dyDescent="0.3">
      <c r="B332" s="23">
        <f ca="1">IF(LoanIsGood,IF(ROW()-ROW(PaymentSchedule3[[#Headers],[Payment Number]])&gt;ScheduledNumberOfPayments,"",ROW()-ROW(PaymentSchedule3[[#Headers],[Payment Number]])),"")</f>
        <v>319</v>
      </c>
      <c r="C332" s="24">
        <f ca="1">IF(PaymentSchedule3[[#This Row],[Payment Number]]&lt;&gt;"",EOMONTH(LoanStartDate,ROW(PaymentSchedule3[[#This Row],[Payment Number]])-ROW(PaymentSchedule3[[#Headers],[Payment Number]])-2)+DAY(LoanStartDate),"")</f>
        <v>55133</v>
      </c>
      <c r="D332" s="25">
        <f ca="1">IF(PaymentSchedule3[[#This Row],[Payment Number]]&lt;&gt;"",IF(ROW()-ROW(PaymentSchedule3[[#Headers],[Beginning
Balance]])=1,LoanAmount,INDEX(PaymentSchedule3[Ending
Balance],ROW()-ROW(PaymentSchedule3[[#Headers],[Beginning
Balance]])-1)),"")</f>
        <v>88333.923600581853</v>
      </c>
      <c r="E332" s="25">
        <f ca="1">IF(PaymentSchedule3[[#This Row],[Payment Number]]&lt;&gt;"",ScheduledPayment,"")</f>
        <v>2387.6169801966716</v>
      </c>
      <c r="F33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2" s="25">
        <f ca="1">IF(PaymentSchedule3[[#This Row],[Payment Number]]&lt;&gt;"",PaymentSchedule3[[#This Row],[Total
Payment]]-PaymentSchedule3[[#This Row],[Interest]],"")</f>
        <v>1853.9328584431564</v>
      </c>
      <c r="I332" s="25">
        <f ca="1">IF(PaymentSchedule3[[#This Row],[Payment Number]]&lt;&gt;"",PaymentSchedule3[[#This Row],[Beginning
Balance]]*(InterestRate/PaymentsPerYear),"")</f>
        <v>533.68412175351534</v>
      </c>
      <c r="J332" s="25">
        <f ca="1">IF(PaymentSchedule3[[#This Row],[Payment Number]]&lt;&gt;"",IF(PaymentSchedule3[[#This Row],[Scheduled Payment]]+PaymentSchedule3[[#This Row],[Extra
Payment]]&lt;=PaymentSchedule3[[#This Row],[Beginning
Balance]],PaymentSchedule3[[#This Row],[Beginning
Balance]]-PaymentSchedule3[[#This Row],[Principal]],0),"")</f>
        <v>86479.990742138703</v>
      </c>
      <c r="K332" s="25">
        <f ca="1">IF(PaymentSchedule3[[#This Row],[Payment Number]]&lt;&gt;"",SUM(INDEX(PaymentSchedule3[Interest],1,1):PaymentSchedule3[[#This Row],[Interest]]),"")</f>
        <v>498129.80742487672</v>
      </c>
    </row>
    <row r="333" spans="2:11" x14ac:dyDescent="0.3">
      <c r="B333" s="23">
        <f ca="1">IF(LoanIsGood,IF(ROW()-ROW(PaymentSchedule3[[#Headers],[Payment Number]])&gt;ScheduledNumberOfPayments,"",ROW()-ROW(PaymentSchedule3[[#Headers],[Payment Number]])),"")</f>
        <v>320</v>
      </c>
      <c r="C333" s="24">
        <f ca="1">IF(PaymentSchedule3[[#This Row],[Payment Number]]&lt;&gt;"",EOMONTH(LoanStartDate,ROW(PaymentSchedule3[[#This Row],[Payment Number]])-ROW(PaymentSchedule3[[#Headers],[Payment Number]])-2)+DAY(LoanStartDate),"")</f>
        <v>55164</v>
      </c>
      <c r="D333" s="25">
        <f ca="1">IF(PaymentSchedule3[[#This Row],[Payment Number]]&lt;&gt;"",IF(ROW()-ROW(PaymentSchedule3[[#Headers],[Beginning
Balance]])=1,LoanAmount,INDEX(PaymentSchedule3[Ending
Balance],ROW()-ROW(PaymentSchedule3[[#Headers],[Beginning
Balance]])-1)),"")</f>
        <v>86479.990742138703</v>
      </c>
      <c r="E333" s="25">
        <f ca="1">IF(PaymentSchedule3[[#This Row],[Payment Number]]&lt;&gt;"",ScheduledPayment,"")</f>
        <v>2387.6169801966716</v>
      </c>
      <c r="F33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3" s="25">
        <f ca="1">IF(PaymentSchedule3[[#This Row],[Payment Number]]&lt;&gt;"",PaymentSchedule3[[#This Row],[Total
Payment]]-PaymentSchedule3[[#This Row],[Interest]],"")</f>
        <v>1865.1337027962504</v>
      </c>
      <c r="I333" s="25">
        <f ca="1">IF(PaymentSchedule3[[#This Row],[Payment Number]]&lt;&gt;"",PaymentSchedule3[[#This Row],[Beginning
Balance]]*(InterestRate/PaymentsPerYear),"")</f>
        <v>522.48327740042134</v>
      </c>
      <c r="J333" s="25">
        <f ca="1">IF(PaymentSchedule3[[#This Row],[Payment Number]]&lt;&gt;"",IF(PaymentSchedule3[[#This Row],[Scheduled Payment]]+PaymentSchedule3[[#This Row],[Extra
Payment]]&lt;=PaymentSchedule3[[#This Row],[Beginning
Balance]],PaymentSchedule3[[#This Row],[Beginning
Balance]]-PaymentSchedule3[[#This Row],[Principal]],0),"")</f>
        <v>84614.85703934246</v>
      </c>
      <c r="K333" s="25">
        <f ca="1">IF(PaymentSchedule3[[#This Row],[Payment Number]]&lt;&gt;"",SUM(INDEX(PaymentSchedule3[Interest],1,1):PaymentSchedule3[[#This Row],[Interest]]),"")</f>
        <v>498652.29070227715</v>
      </c>
    </row>
    <row r="334" spans="2:11" x14ac:dyDescent="0.3">
      <c r="B334" s="23">
        <f ca="1">IF(LoanIsGood,IF(ROW()-ROW(PaymentSchedule3[[#Headers],[Payment Number]])&gt;ScheduledNumberOfPayments,"",ROW()-ROW(PaymentSchedule3[[#Headers],[Payment Number]])),"")</f>
        <v>321</v>
      </c>
      <c r="C334" s="24">
        <f ca="1">IF(PaymentSchedule3[[#This Row],[Payment Number]]&lt;&gt;"",EOMONTH(LoanStartDate,ROW(PaymentSchedule3[[#This Row],[Payment Number]])-ROW(PaymentSchedule3[[#Headers],[Payment Number]])-2)+DAY(LoanStartDate),"")</f>
        <v>55195</v>
      </c>
      <c r="D334" s="25">
        <f ca="1">IF(PaymentSchedule3[[#This Row],[Payment Number]]&lt;&gt;"",IF(ROW()-ROW(PaymentSchedule3[[#Headers],[Beginning
Balance]])=1,LoanAmount,INDEX(PaymentSchedule3[Ending
Balance],ROW()-ROW(PaymentSchedule3[[#Headers],[Beginning
Balance]])-1)),"")</f>
        <v>84614.85703934246</v>
      </c>
      <c r="E334" s="25">
        <f ca="1">IF(PaymentSchedule3[[#This Row],[Payment Number]]&lt;&gt;"",ScheduledPayment,"")</f>
        <v>2387.6169801966716</v>
      </c>
      <c r="F33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4" s="25">
        <f ca="1">IF(PaymentSchedule3[[#This Row],[Payment Number]]&lt;&gt;"",PaymentSchedule3[[#This Row],[Total
Payment]]-PaymentSchedule3[[#This Row],[Interest]],"")</f>
        <v>1876.4022189173111</v>
      </c>
      <c r="I334" s="25">
        <f ca="1">IF(PaymentSchedule3[[#This Row],[Payment Number]]&lt;&gt;"",PaymentSchedule3[[#This Row],[Beginning
Balance]]*(InterestRate/PaymentsPerYear),"")</f>
        <v>511.21476127936069</v>
      </c>
      <c r="J334" s="25">
        <f ca="1">IF(PaymentSchedule3[[#This Row],[Payment Number]]&lt;&gt;"",IF(PaymentSchedule3[[#This Row],[Scheduled Payment]]+PaymentSchedule3[[#This Row],[Extra
Payment]]&lt;=PaymentSchedule3[[#This Row],[Beginning
Balance]],PaymentSchedule3[[#This Row],[Beginning
Balance]]-PaymentSchedule3[[#This Row],[Principal]],0),"")</f>
        <v>82738.454820425148</v>
      </c>
      <c r="K334" s="25">
        <f ca="1">IF(PaymentSchedule3[[#This Row],[Payment Number]]&lt;&gt;"",SUM(INDEX(PaymentSchedule3[Interest],1,1):PaymentSchedule3[[#This Row],[Interest]]),"")</f>
        <v>499163.5054635565</v>
      </c>
    </row>
    <row r="335" spans="2:11" x14ac:dyDescent="0.3">
      <c r="B335" s="23">
        <f ca="1">IF(LoanIsGood,IF(ROW()-ROW(PaymentSchedule3[[#Headers],[Payment Number]])&gt;ScheduledNumberOfPayments,"",ROW()-ROW(PaymentSchedule3[[#Headers],[Payment Number]])),"")</f>
        <v>322</v>
      </c>
      <c r="C335" s="24">
        <f ca="1">IF(PaymentSchedule3[[#This Row],[Payment Number]]&lt;&gt;"",EOMONTH(LoanStartDate,ROW(PaymentSchedule3[[#This Row],[Payment Number]])-ROW(PaymentSchedule3[[#Headers],[Payment Number]])-2)+DAY(LoanStartDate),"")</f>
        <v>55223</v>
      </c>
      <c r="D335" s="25">
        <f ca="1">IF(PaymentSchedule3[[#This Row],[Payment Number]]&lt;&gt;"",IF(ROW()-ROW(PaymentSchedule3[[#Headers],[Beginning
Balance]])=1,LoanAmount,INDEX(PaymentSchedule3[Ending
Balance],ROW()-ROW(PaymentSchedule3[[#Headers],[Beginning
Balance]])-1)),"")</f>
        <v>82738.454820425148</v>
      </c>
      <c r="E335" s="25">
        <f ca="1">IF(PaymentSchedule3[[#This Row],[Payment Number]]&lt;&gt;"",ScheduledPayment,"")</f>
        <v>2387.6169801966716</v>
      </c>
      <c r="F33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5" s="25">
        <f ca="1">IF(PaymentSchedule3[[#This Row],[Payment Number]]&lt;&gt;"",PaymentSchedule3[[#This Row],[Total
Payment]]-PaymentSchedule3[[#This Row],[Interest]],"")</f>
        <v>1887.738815656603</v>
      </c>
      <c r="I335" s="25">
        <f ca="1">IF(PaymentSchedule3[[#This Row],[Payment Number]]&lt;&gt;"",PaymentSchedule3[[#This Row],[Beginning
Balance]]*(InterestRate/PaymentsPerYear),"")</f>
        <v>499.87816454006861</v>
      </c>
      <c r="J335" s="25">
        <f ca="1">IF(PaymentSchedule3[[#This Row],[Payment Number]]&lt;&gt;"",IF(PaymentSchedule3[[#This Row],[Scheduled Payment]]+PaymentSchedule3[[#This Row],[Extra
Payment]]&lt;=PaymentSchedule3[[#This Row],[Beginning
Balance]],PaymentSchedule3[[#This Row],[Beginning
Balance]]-PaymentSchedule3[[#This Row],[Principal]],0),"")</f>
        <v>80850.716004768547</v>
      </c>
      <c r="K335" s="25">
        <f ca="1">IF(PaymentSchedule3[[#This Row],[Payment Number]]&lt;&gt;"",SUM(INDEX(PaymentSchedule3[Interest],1,1):PaymentSchedule3[[#This Row],[Interest]]),"")</f>
        <v>499663.38362809655</v>
      </c>
    </row>
    <row r="336" spans="2:11" x14ac:dyDescent="0.3">
      <c r="B336" s="23">
        <f ca="1">IF(LoanIsGood,IF(ROW()-ROW(PaymentSchedule3[[#Headers],[Payment Number]])&gt;ScheduledNumberOfPayments,"",ROW()-ROW(PaymentSchedule3[[#Headers],[Payment Number]])),"")</f>
        <v>323</v>
      </c>
      <c r="C336" s="24">
        <f ca="1">IF(PaymentSchedule3[[#This Row],[Payment Number]]&lt;&gt;"",EOMONTH(LoanStartDate,ROW(PaymentSchedule3[[#This Row],[Payment Number]])-ROW(PaymentSchedule3[[#Headers],[Payment Number]])-2)+DAY(LoanStartDate),"")</f>
        <v>55254</v>
      </c>
      <c r="D336" s="25">
        <f ca="1">IF(PaymentSchedule3[[#This Row],[Payment Number]]&lt;&gt;"",IF(ROW()-ROW(PaymentSchedule3[[#Headers],[Beginning
Balance]])=1,LoanAmount,INDEX(PaymentSchedule3[Ending
Balance],ROW()-ROW(PaymentSchedule3[[#Headers],[Beginning
Balance]])-1)),"")</f>
        <v>80850.716004768547</v>
      </c>
      <c r="E336" s="25">
        <f ca="1">IF(PaymentSchedule3[[#This Row],[Payment Number]]&lt;&gt;"",ScheduledPayment,"")</f>
        <v>2387.6169801966716</v>
      </c>
      <c r="F33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6" s="25">
        <f ca="1">IF(PaymentSchedule3[[#This Row],[Payment Number]]&lt;&gt;"",PaymentSchedule3[[#This Row],[Total
Payment]]-PaymentSchedule3[[#This Row],[Interest]],"")</f>
        <v>1899.1439043345283</v>
      </c>
      <c r="I336" s="25">
        <f ca="1">IF(PaymentSchedule3[[#This Row],[Payment Number]]&lt;&gt;"",PaymentSchedule3[[#This Row],[Beginning
Balance]]*(InterestRate/PaymentsPerYear),"")</f>
        <v>488.47307586214328</v>
      </c>
      <c r="J336" s="25">
        <f ca="1">IF(PaymentSchedule3[[#This Row],[Payment Number]]&lt;&gt;"",IF(PaymentSchedule3[[#This Row],[Scheduled Payment]]+PaymentSchedule3[[#This Row],[Extra
Payment]]&lt;=PaymentSchedule3[[#This Row],[Beginning
Balance]],PaymentSchedule3[[#This Row],[Beginning
Balance]]-PaymentSchedule3[[#This Row],[Principal]],0),"")</f>
        <v>78951.572100434016</v>
      </c>
      <c r="K336" s="25">
        <f ca="1">IF(PaymentSchedule3[[#This Row],[Payment Number]]&lt;&gt;"",SUM(INDEX(PaymentSchedule3[Interest],1,1):PaymentSchedule3[[#This Row],[Interest]]),"")</f>
        <v>500151.85670395871</v>
      </c>
    </row>
    <row r="337" spans="2:11" x14ac:dyDescent="0.3">
      <c r="B337" s="23">
        <f ca="1">IF(LoanIsGood,IF(ROW()-ROW(PaymentSchedule3[[#Headers],[Payment Number]])&gt;ScheduledNumberOfPayments,"",ROW()-ROW(PaymentSchedule3[[#Headers],[Payment Number]])),"")</f>
        <v>324</v>
      </c>
      <c r="C337" s="24">
        <f ca="1">IF(PaymentSchedule3[[#This Row],[Payment Number]]&lt;&gt;"",EOMONTH(LoanStartDate,ROW(PaymentSchedule3[[#This Row],[Payment Number]])-ROW(PaymentSchedule3[[#Headers],[Payment Number]])-2)+DAY(LoanStartDate),"")</f>
        <v>55284</v>
      </c>
      <c r="D337" s="25">
        <f ca="1">IF(PaymentSchedule3[[#This Row],[Payment Number]]&lt;&gt;"",IF(ROW()-ROW(PaymentSchedule3[[#Headers],[Beginning
Balance]])=1,LoanAmount,INDEX(PaymentSchedule3[Ending
Balance],ROW()-ROW(PaymentSchedule3[[#Headers],[Beginning
Balance]])-1)),"")</f>
        <v>78951.572100434016</v>
      </c>
      <c r="E337" s="25">
        <f ca="1">IF(PaymentSchedule3[[#This Row],[Payment Number]]&lt;&gt;"",ScheduledPayment,"")</f>
        <v>2387.6169801966716</v>
      </c>
      <c r="F33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7" s="25">
        <f ca="1">IF(PaymentSchedule3[[#This Row],[Payment Number]]&lt;&gt;"",PaymentSchedule3[[#This Row],[Total
Payment]]-PaymentSchedule3[[#This Row],[Interest]],"")</f>
        <v>1910.6178987565495</v>
      </c>
      <c r="I337" s="25">
        <f ca="1">IF(PaymentSchedule3[[#This Row],[Payment Number]]&lt;&gt;"",PaymentSchedule3[[#This Row],[Beginning
Balance]]*(InterestRate/PaymentsPerYear),"")</f>
        <v>476.99908144012215</v>
      </c>
      <c r="J337" s="25">
        <f ca="1">IF(PaymentSchedule3[[#This Row],[Payment Number]]&lt;&gt;"",IF(PaymentSchedule3[[#This Row],[Scheduled Payment]]+PaymentSchedule3[[#This Row],[Extra
Payment]]&lt;=PaymentSchedule3[[#This Row],[Beginning
Balance]],PaymentSchedule3[[#This Row],[Beginning
Balance]]-PaymentSchedule3[[#This Row],[Principal]],0),"")</f>
        <v>77040.954201677465</v>
      </c>
      <c r="K337" s="25">
        <f ca="1">IF(PaymentSchedule3[[#This Row],[Payment Number]]&lt;&gt;"",SUM(INDEX(PaymentSchedule3[Interest],1,1):PaymentSchedule3[[#This Row],[Interest]]),"")</f>
        <v>500628.8557853988</v>
      </c>
    </row>
    <row r="338" spans="2:11" x14ac:dyDescent="0.3">
      <c r="B338" s="23">
        <f ca="1">IF(LoanIsGood,IF(ROW()-ROW(PaymentSchedule3[[#Headers],[Payment Number]])&gt;ScheduledNumberOfPayments,"",ROW()-ROW(PaymentSchedule3[[#Headers],[Payment Number]])),"")</f>
        <v>325</v>
      </c>
      <c r="C338" s="24">
        <f ca="1">IF(PaymentSchedule3[[#This Row],[Payment Number]]&lt;&gt;"",EOMONTH(LoanStartDate,ROW(PaymentSchedule3[[#This Row],[Payment Number]])-ROW(PaymentSchedule3[[#Headers],[Payment Number]])-2)+DAY(LoanStartDate),"")</f>
        <v>55315</v>
      </c>
      <c r="D338" s="25">
        <f ca="1">IF(PaymentSchedule3[[#This Row],[Payment Number]]&lt;&gt;"",IF(ROW()-ROW(PaymentSchedule3[[#Headers],[Beginning
Balance]])=1,LoanAmount,INDEX(PaymentSchedule3[Ending
Balance],ROW()-ROW(PaymentSchedule3[[#Headers],[Beginning
Balance]])-1)),"")</f>
        <v>77040.954201677465</v>
      </c>
      <c r="E338" s="25">
        <f ca="1">IF(PaymentSchedule3[[#This Row],[Payment Number]]&lt;&gt;"",ScheduledPayment,"")</f>
        <v>2387.6169801966716</v>
      </c>
      <c r="F33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8" s="25">
        <f ca="1">IF(PaymentSchedule3[[#This Row],[Payment Number]]&lt;&gt;"",PaymentSchedule3[[#This Row],[Total
Payment]]-PaymentSchedule3[[#This Row],[Interest]],"")</f>
        <v>1922.1612152282037</v>
      </c>
      <c r="I338" s="25">
        <f ca="1">IF(PaymentSchedule3[[#This Row],[Payment Number]]&lt;&gt;"",PaymentSchedule3[[#This Row],[Beginning
Balance]]*(InterestRate/PaymentsPerYear),"")</f>
        <v>465.45576496846803</v>
      </c>
      <c r="J338" s="25">
        <f ca="1">IF(PaymentSchedule3[[#This Row],[Payment Number]]&lt;&gt;"",IF(PaymentSchedule3[[#This Row],[Scheduled Payment]]+PaymentSchedule3[[#This Row],[Extra
Payment]]&lt;=PaymentSchedule3[[#This Row],[Beginning
Balance]],PaymentSchedule3[[#This Row],[Beginning
Balance]]-PaymentSchedule3[[#This Row],[Principal]],0),"")</f>
        <v>75118.792986449262</v>
      </c>
      <c r="K338" s="25">
        <f ca="1">IF(PaymentSchedule3[[#This Row],[Payment Number]]&lt;&gt;"",SUM(INDEX(PaymentSchedule3[Interest],1,1):PaymentSchedule3[[#This Row],[Interest]]),"")</f>
        <v>501094.31155036727</v>
      </c>
    </row>
    <row r="339" spans="2:11" x14ac:dyDescent="0.3">
      <c r="B339" s="23">
        <f ca="1">IF(LoanIsGood,IF(ROW()-ROW(PaymentSchedule3[[#Headers],[Payment Number]])&gt;ScheduledNumberOfPayments,"",ROW()-ROW(PaymentSchedule3[[#Headers],[Payment Number]])),"")</f>
        <v>326</v>
      </c>
      <c r="C339" s="24">
        <f ca="1">IF(PaymentSchedule3[[#This Row],[Payment Number]]&lt;&gt;"",EOMONTH(LoanStartDate,ROW(PaymentSchedule3[[#This Row],[Payment Number]])-ROW(PaymentSchedule3[[#Headers],[Payment Number]])-2)+DAY(LoanStartDate),"")</f>
        <v>55345</v>
      </c>
      <c r="D339" s="25">
        <f ca="1">IF(PaymentSchedule3[[#This Row],[Payment Number]]&lt;&gt;"",IF(ROW()-ROW(PaymentSchedule3[[#Headers],[Beginning
Balance]])=1,LoanAmount,INDEX(PaymentSchedule3[Ending
Balance],ROW()-ROW(PaymentSchedule3[[#Headers],[Beginning
Balance]])-1)),"")</f>
        <v>75118.792986449262</v>
      </c>
      <c r="E339" s="25">
        <f ca="1">IF(PaymentSchedule3[[#This Row],[Payment Number]]&lt;&gt;"",ScheduledPayment,"")</f>
        <v>2387.6169801966716</v>
      </c>
      <c r="F33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3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39" s="25">
        <f ca="1">IF(PaymentSchedule3[[#This Row],[Payment Number]]&lt;&gt;"",PaymentSchedule3[[#This Row],[Total
Payment]]-PaymentSchedule3[[#This Row],[Interest]],"")</f>
        <v>1933.7742725702074</v>
      </c>
      <c r="I339" s="25">
        <f ca="1">IF(PaymentSchedule3[[#This Row],[Payment Number]]&lt;&gt;"",PaymentSchedule3[[#This Row],[Beginning
Balance]]*(InterestRate/PaymentsPerYear),"")</f>
        <v>453.84270762646429</v>
      </c>
      <c r="J339" s="25">
        <f ca="1">IF(PaymentSchedule3[[#This Row],[Payment Number]]&lt;&gt;"",IF(PaymentSchedule3[[#This Row],[Scheduled Payment]]+PaymentSchedule3[[#This Row],[Extra
Payment]]&lt;=PaymentSchedule3[[#This Row],[Beginning
Balance]],PaymentSchedule3[[#This Row],[Beginning
Balance]]-PaymentSchedule3[[#This Row],[Principal]],0),"")</f>
        <v>73185.01871387905</v>
      </c>
      <c r="K339" s="25">
        <f ca="1">IF(PaymentSchedule3[[#This Row],[Payment Number]]&lt;&gt;"",SUM(INDEX(PaymentSchedule3[Interest],1,1):PaymentSchedule3[[#This Row],[Interest]]),"")</f>
        <v>501548.15425799374</v>
      </c>
    </row>
    <row r="340" spans="2:11" x14ac:dyDescent="0.3">
      <c r="B340" s="23">
        <f ca="1">IF(LoanIsGood,IF(ROW()-ROW(PaymentSchedule3[[#Headers],[Payment Number]])&gt;ScheduledNumberOfPayments,"",ROW()-ROW(PaymentSchedule3[[#Headers],[Payment Number]])),"")</f>
        <v>327</v>
      </c>
      <c r="C340" s="24">
        <f ca="1">IF(PaymentSchedule3[[#This Row],[Payment Number]]&lt;&gt;"",EOMONTH(LoanStartDate,ROW(PaymentSchedule3[[#This Row],[Payment Number]])-ROW(PaymentSchedule3[[#Headers],[Payment Number]])-2)+DAY(LoanStartDate),"")</f>
        <v>55376</v>
      </c>
      <c r="D340" s="25">
        <f ca="1">IF(PaymentSchedule3[[#This Row],[Payment Number]]&lt;&gt;"",IF(ROW()-ROW(PaymentSchedule3[[#Headers],[Beginning
Balance]])=1,LoanAmount,INDEX(PaymentSchedule3[Ending
Balance],ROW()-ROW(PaymentSchedule3[[#Headers],[Beginning
Balance]])-1)),"")</f>
        <v>73185.01871387905</v>
      </c>
      <c r="E340" s="25">
        <f ca="1">IF(PaymentSchedule3[[#This Row],[Payment Number]]&lt;&gt;"",ScheduledPayment,"")</f>
        <v>2387.6169801966716</v>
      </c>
      <c r="F34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0" s="25">
        <f ca="1">IF(PaymentSchedule3[[#This Row],[Payment Number]]&lt;&gt;"",PaymentSchedule3[[#This Row],[Total
Payment]]-PaymentSchedule3[[#This Row],[Interest]],"")</f>
        <v>1945.4574921336525</v>
      </c>
      <c r="I340" s="25">
        <f ca="1">IF(PaymentSchedule3[[#This Row],[Payment Number]]&lt;&gt;"",PaymentSchedule3[[#This Row],[Beginning
Balance]]*(InterestRate/PaymentsPerYear),"")</f>
        <v>442.15948806301924</v>
      </c>
      <c r="J340" s="25">
        <f ca="1">IF(PaymentSchedule3[[#This Row],[Payment Number]]&lt;&gt;"",IF(PaymentSchedule3[[#This Row],[Scheduled Payment]]+PaymentSchedule3[[#This Row],[Extra
Payment]]&lt;=PaymentSchedule3[[#This Row],[Beginning
Balance]],PaymentSchedule3[[#This Row],[Beginning
Balance]]-PaymentSchedule3[[#This Row],[Principal]],0),"")</f>
        <v>71239.561221745404</v>
      </c>
      <c r="K340" s="25">
        <f ca="1">IF(PaymentSchedule3[[#This Row],[Payment Number]]&lt;&gt;"",SUM(INDEX(PaymentSchedule3[Interest],1,1):PaymentSchedule3[[#This Row],[Interest]]),"")</f>
        <v>501990.31374605675</v>
      </c>
    </row>
    <row r="341" spans="2:11" x14ac:dyDescent="0.3">
      <c r="B341" s="23">
        <f ca="1">IF(LoanIsGood,IF(ROW()-ROW(PaymentSchedule3[[#Headers],[Payment Number]])&gt;ScheduledNumberOfPayments,"",ROW()-ROW(PaymentSchedule3[[#Headers],[Payment Number]])),"")</f>
        <v>328</v>
      </c>
      <c r="C341" s="24">
        <f ca="1">IF(PaymentSchedule3[[#This Row],[Payment Number]]&lt;&gt;"",EOMONTH(LoanStartDate,ROW(PaymentSchedule3[[#This Row],[Payment Number]])-ROW(PaymentSchedule3[[#Headers],[Payment Number]])-2)+DAY(LoanStartDate),"")</f>
        <v>55407</v>
      </c>
      <c r="D341" s="25">
        <f ca="1">IF(PaymentSchedule3[[#This Row],[Payment Number]]&lt;&gt;"",IF(ROW()-ROW(PaymentSchedule3[[#Headers],[Beginning
Balance]])=1,LoanAmount,INDEX(PaymentSchedule3[Ending
Balance],ROW()-ROW(PaymentSchedule3[[#Headers],[Beginning
Balance]])-1)),"")</f>
        <v>71239.561221745404</v>
      </c>
      <c r="E341" s="25">
        <f ca="1">IF(PaymentSchedule3[[#This Row],[Payment Number]]&lt;&gt;"",ScheduledPayment,"")</f>
        <v>2387.6169801966716</v>
      </c>
      <c r="F34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1" s="25">
        <f ca="1">IF(PaymentSchedule3[[#This Row],[Payment Number]]&lt;&gt;"",PaymentSchedule3[[#This Row],[Total
Payment]]-PaymentSchedule3[[#This Row],[Interest]],"")</f>
        <v>1957.2112978152932</v>
      </c>
      <c r="I341" s="25">
        <f ca="1">IF(PaymentSchedule3[[#This Row],[Payment Number]]&lt;&gt;"",PaymentSchedule3[[#This Row],[Beginning
Balance]]*(InterestRate/PaymentsPerYear),"")</f>
        <v>430.40568238137848</v>
      </c>
      <c r="J341" s="25">
        <f ca="1">IF(PaymentSchedule3[[#This Row],[Payment Number]]&lt;&gt;"",IF(PaymentSchedule3[[#This Row],[Scheduled Payment]]+PaymentSchedule3[[#This Row],[Extra
Payment]]&lt;=PaymentSchedule3[[#This Row],[Beginning
Balance]],PaymentSchedule3[[#This Row],[Beginning
Balance]]-PaymentSchedule3[[#This Row],[Principal]],0),"")</f>
        <v>69282.349923930116</v>
      </c>
      <c r="K341" s="25">
        <f ca="1">IF(PaymentSchedule3[[#This Row],[Payment Number]]&lt;&gt;"",SUM(INDEX(PaymentSchedule3[Interest],1,1):PaymentSchedule3[[#This Row],[Interest]]),"")</f>
        <v>502420.71942843811</v>
      </c>
    </row>
    <row r="342" spans="2:11" x14ac:dyDescent="0.3">
      <c r="B342" s="23">
        <f ca="1">IF(LoanIsGood,IF(ROW()-ROW(PaymentSchedule3[[#Headers],[Payment Number]])&gt;ScheduledNumberOfPayments,"",ROW()-ROW(PaymentSchedule3[[#Headers],[Payment Number]])),"")</f>
        <v>329</v>
      </c>
      <c r="C342" s="24">
        <f ca="1">IF(PaymentSchedule3[[#This Row],[Payment Number]]&lt;&gt;"",EOMONTH(LoanStartDate,ROW(PaymentSchedule3[[#This Row],[Payment Number]])-ROW(PaymentSchedule3[[#Headers],[Payment Number]])-2)+DAY(LoanStartDate),"")</f>
        <v>55437</v>
      </c>
      <c r="D342" s="25">
        <f ca="1">IF(PaymentSchedule3[[#This Row],[Payment Number]]&lt;&gt;"",IF(ROW()-ROW(PaymentSchedule3[[#Headers],[Beginning
Balance]])=1,LoanAmount,INDEX(PaymentSchedule3[Ending
Balance],ROW()-ROW(PaymentSchedule3[[#Headers],[Beginning
Balance]])-1)),"")</f>
        <v>69282.349923930116</v>
      </c>
      <c r="E342" s="25">
        <f ca="1">IF(PaymentSchedule3[[#This Row],[Payment Number]]&lt;&gt;"",ScheduledPayment,"")</f>
        <v>2387.6169801966716</v>
      </c>
      <c r="F34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2" s="25">
        <f ca="1">IF(PaymentSchedule3[[#This Row],[Payment Number]]&lt;&gt;"",PaymentSchedule3[[#This Row],[Total
Payment]]-PaymentSchedule3[[#This Row],[Interest]],"")</f>
        <v>1969.0361160729271</v>
      </c>
      <c r="I342" s="25">
        <f ca="1">IF(PaymentSchedule3[[#This Row],[Payment Number]]&lt;&gt;"",PaymentSchedule3[[#This Row],[Beginning
Balance]]*(InterestRate/PaymentsPerYear),"")</f>
        <v>418.58086412374445</v>
      </c>
      <c r="J342" s="25">
        <f ca="1">IF(PaymentSchedule3[[#This Row],[Payment Number]]&lt;&gt;"",IF(PaymentSchedule3[[#This Row],[Scheduled Payment]]+PaymentSchedule3[[#This Row],[Extra
Payment]]&lt;=PaymentSchedule3[[#This Row],[Beginning
Balance]],PaymentSchedule3[[#This Row],[Beginning
Balance]]-PaymentSchedule3[[#This Row],[Principal]],0),"")</f>
        <v>67313.313807857194</v>
      </c>
      <c r="K342" s="25">
        <f ca="1">IF(PaymentSchedule3[[#This Row],[Payment Number]]&lt;&gt;"",SUM(INDEX(PaymentSchedule3[Interest],1,1):PaymentSchedule3[[#This Row],[Interest]]),"")</f>
        <v>502839.30029256188</v>
      </c>
    </row>
    <row r="343" spans="2:11" x14ac:dyDescent="0.3">
      <c r="B343" s="23">
        <f ca="1">IF(LoanIsGood,IF(ROW()-ROW(PaymentSchedule3[[#Headers],[Payment Number]])&gt;ScheduledNumberOfPayments,"",ROW()-ROW(PaymentSchedule3[[#Headers],[Payment Number]])),"")</f>
        <v>330</v>
      </c>
      <c r="C343" s="24">
        <f ca="1">IF(PaymentSchedule3[[#This Row],[Payment Number]]&lt;&gt;"",EOMONTH(LoanStartDate,ROW(PaymentSchedule3[[#This Row],[Payment Number]])-ROW(PaymentSchedule3[[#Headers],[Payment Number]])-2)+DAY(LoanStartDate),"")</f>
        <v>55468</v>
      </c>
      <c r="D343" s="25">
        <f ca="1">IF(PaymentSchedule3[[#This Row],[Payment Number]]&lt;&gt;"",IF(ROW()-ROW(PaymentSchedule3[[#Headers],[Beginning
Balance]])=1,LoanAmount,INDEX(PaymentSchedule3[Ending
Balance],ROW()-ROW(PaymentSchedule3[[#Headers],[Beginning
Balance]])-1)),"")</f>
        <v>67313.313807857194</v>
      </c>
      <c r="E343" s="25">
        <f ca="1">IF(PaymentSchedule3[[#This Row],[Payment Number]]&lt;&gt;"",ScheduledPayment,"")</f>
        <v>2387.6169801966716</v>
      </c>
      <c r="F34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3" s="25">
        <f ca="1">IF(PaymentSchedule3[[#This Row],[Payment Number]]&lt;&gt;"",PaymentSchedule3[[#This Row],[Total
Payment]]-PaymentSchedule3[[#This Row],[Interest]],"")</f>
        <v>1980.9323759408678</v>
      </c>
      <c r="I343" s="25">
        <f ca="1">IF(PaymentSchedule3[[#This Row],[Payment Number]]&lt;&gt;"",PaymentSchedule3[[#This Row],[Beginning
Balance]]*(InterestRate/PaymentsPerYear),"")</f>
        <v>406.68460425580389</v>
      </c>
      <c r="J343" s="25">
        <f ca="1">IF(PaymentSchedule3[[#This Row],[Payment Number]]&lt;&gt;"",IF(PaymentSchedule3[[#This Row],[Scheduled Payment]]+PaymentSchedule3[[#This Row],[Extra
Payment]]&lt;=PaymentSchedule3[[#This Row],[Beginning
Balance]],PaymentSchedule3[[#This Row],[Beginning
Balance]]-PaymentSchedule3[[#This Row],[Principal]],0),"")</f>
        <v>65332.381431916328</v>
      </c>
      <c r="K343" s="25">
        <f ca="1">IF(PaymentSchedule3[[#This Row],[Payment Number]]&lt;&gt;"",SUM(INDEX(PaymentSchedule3[Interest],1,1):PaymentSchedule3[[#This Row],[Interest]]),"")</f>
        <v>503245.98489681771</v>
      </c>
    </row>
    <row r="344" spans="2:11" x14ac:dyDescent="0.3">
      <c r="B344" s="23">
        <f ca="1">IF(LoanIsGood,IF(ROW()-ROW(PaymentSchedule3[[#Headers],[Payment Number]])&gt;ScheduledNumberOfPayments,"",ROW()-ROW(PaymentSchedule3[[#Headers],[Payment Number]])),"")</f>
        <v>331</v>
      </c>
      <c r="C344" s="24">
        <f ca="1">IF(PaymentSchedule3[[#This Row],[Payment Number]]&lt;&gt;"",EOMONTH(LoanStartDate,ROW(PaymentSchedule3[[#This Row],[Payment Number]])-ROW(PaymentSchedule3[[#Headers],[Payment Number]])-2)+DAY(LoanStartDate),"")</f>
        <v>55498</v>
      </c>
      <c r="D344" s="25">
        <f ca="1">IF(PaymentSchedule3[[#This Row],[Payment Number]]&lt;&gt;"",IF(ROW()-ROW(PaymentSchedule3[[#Headers],[Beginning
Balance]])=1,LoanAmount,INDEX(PaymentSchedule3[Ending
Balance],ROW()-ROW(PaymentSchedule3[[#Headers],[Beginning
Balance]])-1)),"")</f>
        <v>65332.381431916328</v>
      </c>
      <c r="E344" s="25">
        <f ca="1">IF(PaymentSchedule3[[#This Row],[Payment Number]]&lt;&gt;"",ScheduledPayment,"")</f>
        <v>2387.6169801966716</v>
      </c>
      <c r="F34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4" s="25">
        <f ca="1">IF(PaymentSchedule3[[#This Row],[Payment Number]]&lt;&gt;"",PaymentSchedule3[[#This Row],[Total
Payment]]-PaymentSchedule3[[#This Row],[Interest]],"")</f>
        <v>1992.9005090455105</v>
      </c>
      <c r="I344" s="25">
        <f ca="1">IF(PaymentSchedule3[[#This Row],[Payment Number]]&lt;&gt;"",PaymentSchedule3[[#This Row],[Beginning
Balance]]*(InterestRate/PaymentsPerYear),"")</f>
        <v>394.71647115116116</v>
      </c>
      <c r="J344" s="25">
        <f ca="1">IF(PaymentSchedule3[[#This Row],[Payment Number]]&lt;&gt;"",IF(PaymentSchedule3[[#This Row],[Scheduled Payment]]+PaymentSchedule3[[#This Row],[Extra
Payment]]&lt;=PaymentSchedule3[[#This Row],[Beginning
Balance]],PaymentSchedule3[[#This Row],[Beginning
Balance]]-PaymentSchedule3[[#This Row],[Principal]],0),"")</f>
        <v>63339.480922870818</v>
      </c>
      <c r="K344" s="25">
        <f ca="1">IF(PaymentSchedule3[[#This Row],[Payment Number]]&lt;&gt;"",SUM(INDEX(PaymentSchedule3[Interest],1,1):PaymentSchedule3[[#This Row],[Interest]]),"")</f>
        <v>503640.70136796887</v>
      </c>
    </row>
    <row r="345" spans="2:11" x14ac:dyDescent="0.3">
      <c r="B345" s="23">
        <f ca="1">IF(LoanIsGood,IF(ROW()-ROW(PaymentSchedule3[[#Headers],[Payment Number]])&gt;ScheduledNumberOfPayments,"",ROW()-ROW(PaymentSchedule3[[#Headers],[Payment Number]])),"")</f>
        <v>332</v>
      </c>
      <c r="C345" s="24">
        <f ca="1">IF(PaymentSchedule3[[#This Row],[Payment Number]]&lt;&gt;"",EOMONTH(LoanStartDate,ROW(PaymentSchedule3[[#This Row],[Payment Number]])-ROW(PaymentSchedule3[[#Headers],[Payment Number]])-2)+DAY(LoanStartDate),"")</f>
        <v>55529</v>
      </c>
      <c r="D345" s="25">
        <f ca="1">IF(PaymentSchedule3[[#This Row],[Payment Number]]&lt;&gt;"",IF(ROW()-ROW(PaymentSchedule3[[#Headers],[Beginning
Balance]])=1,LoanAmount,INDEX(PaymentSchedule3[Ending
Balance],ROW()-ROW(PaymentSchedule3[[#Headers],[Beginning
Balance]])-1)),"")</f>
        <v>63339.480922870818</v>
      </c>
      <c r="E345" s="25">
        <f ca="1">IF(PaymentSchedule3[[#This Row],[Payment Number]]&lt;&gt;"",ScheduledPayment,"")</f>
        <v>2387.6169801966716</v>
      </c>
      <c r="F34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5" s="25">
        <f ca="1">IF(PaymentSchedule3[[#This Row],[Payment Number]]&lt;&gt;"",PaymentSchedule3[[#This Row],[Total
Payment]]-PaymentSchedule3[[#This Row],[Interest]],"")</f>
        <v>2004.9409496209937</v>
      </c>
      <c r="I345" s="25">
        <f ca="1">IF(PaymentSchedule3[[#This Row],[Payment Number]]&lt;&gt;"",PaymentSchedule3[[#This Row],[Beginning
Balance]]*(InterestRate/PaymentsPerYear),"")</f>
        <v>382.67603057567783</v>
      </c>
      <c r="J345" s="25">
        <f ca="1">IF(PaymentSchedule3[[#This Row],[Payment Number]]&lt;&gt;"",IF(PaymentSchedule3[[#This Row],[Scheduled Payment]]+PaymentSchedule3[[#This Row],[Extra
Payment]]&lt;=PaymentSchedule3[[#This Row],[Beginning
Balance]],PaymentSchedule3[[#This Row],[Beginning
Balance]]-PaymentSchedule3[[#This Row],[Principal]],0),"")</f>
        <v>61334.539973249826</v>
      </c>
      <c r="K345" s="25">
        <f ca="1">IF(PaymentSchedule3[[#This Row],[Payment Number]]&lt;&gt;"",SUM(INDEX(PaymentSchedule3[Interest],1,1):PaymentSchedule3[[#This Row],[Interest]]),"")</f>
        <v>504023.37739854457</v>
      </c>
    </row>
    <row r="346" spans="2:11" x14ac:dyDescent="0.3">
      <c r="B346" s="23">
        <f ca="1">IF(LoanIsGood,IF(ROW()-ROW(PaymentSchedule3[[#Headers],[Payment Number]])&gt;ScheduledNumberOfPayments,"",ROW()-ROW(PaymentSchedule3[[#Headers],[Payment Number]])),"")</f>
        <v>333</v>
      </c>
      <c r="C346" s="24">
        <f ca="1">IF(PaymentSchedule3[[#This Row],[Payment Number]]&lt;&gt;"",EOMONTH(LoanStartDate,ROW(PaymentSchedule3[[#This Row],[Payment Number]])-ROW(PaymentSchedule3[[#Headers],[Payment Number]])-2)+DAY(LoanStartDate),"")</f>
        <v>55560</v>
      </c>
      <c r="D346" s="25">
        <f ca="1">IF(PaymentSchedule3[[#This Row],[Payment Number]]&lt;&gt;"",IF(ROW()-ROW(PaymentSchedule3[[#Headers],[Beginning
Balance]])=1,LoanAmount,INDEX(PaymentSchedule3[Ending
Balance],ROW()-ROW(PaymentSchedule3[[#Headers],[Beginning
Balance]])-1)),"")</f>
        <v>61334.539973249826</v>
      </c>
      <c r="E346" s="25">
        <f ca="1">IF(PaymentSchedule3[[#This Row],[Payment Number]]&lt;&gt;"",ScheduledPayment,"")</f>
        <v>2387.6169801966716</v>
      </c>
      <c r="F34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6" s="25">
        <f ca="1">IF(PaymentSchedule3[[#This Row],[Payment Number]]&lt;&gt;"",PaymentSchedule3[[#This Row],[Total
Payment]]-PaymentSchedule3[[#This Row],[Interest]],"")</f>
        <v>2017.054134524954</v>
      </c>
      <c r="I346" s="25">
        <f ca="1">IF(PaymentSchedule3[[#This Row],[Payment Number]]&lt;&gt;"",PaymentSchedule3[[#This Row],[Beginning
Balance]]*(InterestRate/PaymentsPerYear),"")</f>
        <v>370.5628456717177</v>
      </c>
      <c r="J346" s="25">
        <f ca="1">IF(PaymentSchedule3[[#This Row],[Payment Number]]&lt;&gt;"",IF(PaymentSchedule3[[#This Row],[Scheduled Payment]]+PaymentSchedule3[[#This Row],[Extra
Payment]]&lt;=PaymentSchedule3[[#This Row],[Beginning
Balance]],PaymentSchedule3[[#This Row],[Beginning
Balance]]-PaymentSchedule3[[#This Row],[Principal]],0),"")</f>
        <v>59317.485838724875</v>
      </c>
      <c r="K346" s="25">
        <f ca="1">IF(PaymentSchedule3[[#This Row],[Payment Number]]&lt;&gt;"",SUM(INDEX(PaymentSchedule3[Interest],1,1):PaymentSchedule3[[#This Row],[Interest]]),"")</f>
        <v>504393.9402442163</v>
      </c>
    </row>
    <row r="347" spans="2:11" x14ac:dyDescent="0.3">
      <c r="B347" s="23">
        <f ca="1">IF(LoanIsGood,IF(ROW()-ROW(PaymentSchedule3[[#Headers],[Payment Number]])&gt;ScheduledNumberOfPayments,"",ROW()-ROW(PaymentSchedule3[[#Headers],[Payment Number]])),"")</f>
        <v>334</v>
      </c>
      <c r="C347" s="24">
        <f ca="1">IF(PaymentSchedule3[[#This Row],[Payment Number]]&lt;&gt;"",EOMONTH(LoanStartDate,ROW(PaymentSchedule3[[#This Row],[Payment Number]])-ROW(PaymentSchedule3[[#Headers],[Payment Number]])-2)+DAY(LoanStartDate),"")</f>
        <v>55589</v>
      </c>
      <c r="D347" s="25">
        <f ca="1">IF(PaymentSchedule3[[#This Row],[Payment Number]]&lt;&gt;"",IF(ROW()-ROW(PaymentSchedule3[[#Headers],[Beginning
Balance]])=1,LoanAmount,INDEX(PaymentSchedule3[Ending
Balance],ROW()-ROW(PaymentSchedule3[[#Headers],[Beginning
Balance]])-1)),"")</f>
        <v>59317.485838724875</v>
      </c>
      <c r="E347" s="25">
        <f ca="1">IF(PaymentSchedule3[[#This Row],[Payment Number]]&lt;&gt;"",ScheduledPayment,"")</f>
        <v>2387.6169801966716</v>
      </c>
      <c r="F34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7" s="25">
        <f ca="1">IF(PaymentSchedule3[[#This Row],[Payment Number]]&lt;&gt;"",PaymentSchedule3[[#This Row],[Total
Payment]]-PaymentSchedule3[[#This Row],[Interest]],"")</f>
        <v>2029.2405032543757</v>
      </c>
      <c r="I347" s="25">
        <f ca="1">IF(PaymentSchedule3[[#This Row],[Payment Number]]&lt;&gt;"",PaymentSchedule3[[#This Row],[Beginning
Balance]]*(InterestRate/PaymentsPerYear),"")</f>
        <v>358.37647694229611</v>
      </c>
      <c r="J347" s="25">
        <f ca="1">IF(PaymentSchedule3[[#This Row],[Payment Number]]&lt;&gt;"",IF(PaymentSchedule3[[#This Row],[Scheduled Payment]]+PaymentSchedule3[[#This Row],[Extra
Payment]]&lt;=PaymentSchedule3[[#This Row],[Beginning
Balance]],PaymentSchedule3[[#This Row],[Beginning
Balance]]-PaymentSchedule3[[#This Row],[Principal]],0),"")</f>
        <v>57288.245335470499</v>
      </c>
      <c r="K347" s="25">
        <f ca="1">IF(PaymentSchedule3[[#This Row],[Payment Number]]&lt;&gt;"",SUM(INDEX(PaymentSchedule3[Interest],1,1):PaymentSchedule3[[#This Row],[Interest]]),"")</f>
        <v>504752.31672115857</v>
      </c>
    </row>
    <row r="348" spans="2:11" x14ac:dyDescent="0.3">
      <c r="B348" s="23">
        <f ca="1">IF(LoanIsGood,IF(ROW()-ROW(PaymentSchedule3[[#Headers],[Payment Number]])&gt;ScheduledNumberOfPayments,"",ROW()-ROW(PaymentSchedule3[[#Headers],[Payment Number]])),"")</f>
        <v>335</v>
      </c>
      <c r="C348" s="24">
        <f ca="1">IF(PaymentSchedule3[[#This Row],[Payment Number]]&lt;&gt;"",EOMONTH(LoanStartDate,ROW(PaymentSchedule3[[#This Row],[Payment Number]])-ROW(PaymentSchedule3[[#Headers],[Payment Number]])-2)+DAY(LoanStartDate),"")</f>
        <v>55620</v>
      </c>
      <c r="D348" s="25">
        <f ca="1">IF(PaymentSchedule3[[#This Row],[Payment Number]]&lt;&gt;"",IF(ROW()-ROW(PaymentSchedule3[[#Headers],[Beginning
Balance]])=1,LoanAmount,INDEX(PaymentSchedule3[Ending
Balance],ROW()-ROW(PaymentSchedule3[[#Headers],[Beginning
Balance]])-1)),"")</f>
        <v>57288.245335470499</v>
      </c>
      <c r="E348" s="25">
        <f ca="1">IF(PaymentSchedule3[[#This Row],[Payment Number]]&lt;&gt;"",ScheduledPayment,"")</f>
        <v>2387.6169801966716</v>
      </c>
      <c r="F34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8" s="25">
        <f ca="1">IF(PaymentSchedule3[[#This Row],[Payment Number]]&lt;&gt;"",PaymentSchedule3[[#This Row],[Total
Payment]]-PaymentSchedule3[[#This Row],[Interest]],"")</f>
        <v>2041.5004979615373</v>
      </c>
      <c r="I348" s="25">
        <f ca="1">IF(PaymentSchedule3[[#This Row],[Payment Number]]&lt;&gt;"",PaymentSchedule3[[#This Row],[Beginning
Balance]]*(InterestRate/PaymentsPerYear),"")</f>
        <v>346.11648223513424</v>
      </c>
      <c r="J348" s="25">
        <f ca="1">IF(PaymentSchedule3[[#This Row],[Payment Number]]&lt;&gt;"",IF(PaymentSchedule3[[#This Row],[Scheduled Payment]]+PaymentSchedule3[[#This Row],[Extra
Payment]]&lt;=PaymentSchedule3[[#This Row],[Beginning
Balance]],PaymentSchedule3[[#This Row],[Beginning
Balance]]-PaymentSchedule3[[#This Row],[Principal]],0),"")</f>
        <v>55246.744837508959</v>
      </c>
      <c r="K348" s="25">
        <f ca="1">IF(PaymentSchedule3[[#This Row],[Payment Number]]&lt;&gt;"",SUM(INDEX(PaymentSchedule3[Interest],1,1):PaymentSchedule3[[#This Row],[Interest]]),"")</f>
        <v>505098.43320339371</v>
      </c>
    </row>
    <row r="349" spans="2:11" x14ac:dyDescent="0.3">
      <c r="B349" s="23">
        <f ca="1">IF(LoanIsGood,IF(ROW()-ROW(PaymentSchedule3[[#Headers],[Payment Number]])&gt;ScheduledNumberOfPayments,"",ROW()-ROW(PaymentSchedule3[[#Headers],[Payment Number]])),"")</f>
        <v>336</v>
      </c>
      <c r="C349" s="24">
        <f ca="1">IF(PaymentSchedule3[[#This Row],[Payment Number]]&lt;&gt;"",EOMONTH(LoanStartDate,ROW(PaymentSchedule3[[#This Row],[Payment Number]])-ROW(PaymentSchedule3[[#Headers],[Payment Number]])-2)+DAY(LoanStartDate),"")</f>
        <v>55650</v>
      </c>
      <c r="D349" s="25">
        <f ca="1">IF(PaymentSchedule3[[#This Row],[Payment Number]]&lt;&gt;"",IF(ROW()-ROW(PaymentSchedule3[[#Headers],[Beginning
Balance]])=1,LoanAmount,INDEX(PaymentSchedule3[Ending
Balance],ROW()-ROW(PaymentSchedule3[[#Headers],[Beginning
Balance]])-1)),"")</f>
        <v>55246.744837508959</v>
      </c>
      <c r="E349" s="25">
        <f ca="1">IF(PaymentSchedule3[[#This Row],[Payment Number]]&lt;&gt;"",ScheduledPayment,"")</f>
        <v>2387.6169801966716</v>
      </c>
      <c r="F34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4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49" s="25">
        <f ca="1">IF(PaymentSchedule3[[#This Row],[Payment Number]]&lt;&gt;"",PaymentSchedule3[[#This Row],[Total
Payment]]-PaymentSchedule3[[#This Row],[Interest]],"")</f>
        <v>2053.8345634700549</v>
      </c>
      <c r="I349" s="25">
        <f ca="1">IF(PaymentSchedule3[[#This Row],[Payment Number]]&lt;&gt;"",PaymentSchedule3[[#This Row],[Beginning
Balance]]*(InterestRate/PaymentsPerYear),"")</f>
        <v>333.78241672661665</v>
      </c>
      <c r="J349" s="25">
        <f ca="1">IF(PaymentSchedule3[[#This Row],[Payment Number]]&lt;&gt;"",IF(PaymentSchedule3[[#This Row],[Scheduled Payment]]+PaymentSchedule3[[#This Row],[Extra
Payment]]&lt;=PaymentSchedule3[[#This Row],[Beginning
Balance]],PaymentSchedule3[[#This Row],[Beginning
Balance]]-PaymentSchedule3[[#This Row],[Principal]],0),"")</f>
        <v>53192.910274038906</v>
      </c>
      <c r="K349" s="25">
        <f ca="1">IF(PaymentSchedule3[[#This Row],[Payment Number]]&lt;&gt;"",SUM(INDEX(PaymentSchedule3[Interest],1,1):PaymentSchedule3[[#This Row],[Interest]]),"")</f>
        <v>505432.21562012035</v>
      </c>
    </row>
    <row r="350" spans="2:11" x14ac:dyDescent="0.3">
      <c r="B350" s="23">
        <f ca="1">IF(LoanIsGood,IF(ROW()-ROW(PaymentSchedule3[[#Headers],[Payment Number]])&gt;ScheduledNumberOfPayments,"",ROW()-ROW(PaymentSchedule3[[#Headers],[Payment Number]])),"")</f>
        <v>337</v>
      </c>
      <c r="C350" s="24">
        <f ca="1">IF(PaymentSchedule3[[#This Row],[Payment Number]]&lt;&gt;"",EOMONTH(LoanStartDate,ROW(PaymentSchedule3[[#This Row],[Payment Number]])-ROW(PaymentSchedule3[[#Headers],[Payment Number]])-2)+DAY(LoanStartDate),"")</f>
        <v>55681</v>
      </c>
      <c r="D350" s="25">
        <f ca="1">IF(PaymentSchedule3[[#This Row],[Payment Number]]&lt;&gt;"",IF(ROW()-ROW(PaymentSchedule3[[#Headers],[Beginning
Balance]])=1,LoanAmount,INDEX(PaymentSchedule3[Ending
Balance],ROW()-ROW(PaymentSchedule3[[#Headers],[Beginning
Balance]])-1)),"")</f>
        <v>53192.910274038906</v>
      </c>
      <c r="E350" s="25">
        <f ca="1">IF(PaymentSchedule3[[#This Row],[Payment Number]]&lt;&gt;"",ScheduledPayment,"")</f>
        <v>2387.6169801966716</v>
      </c>
      <c r="F35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0" s="25">
        <f ca="1">IF(PaymentSchedule3[[#This Row],[Payment Number]]&lt;&gt;"",PaymentSchedule3[[#This Row],[Total
Payment]]-PaymentSchedule3[[#This Row],[Interest]],"")</f>
        <v>2066.2431472910198</v>
      </c>
      <c r="I350" s="25">
        <f ca="1">IF(PaymentSchedule3[[#This Row],[Payment Number]]&lt;&gt;"",PaymentSchedule3[[#This Row],[Beginning
Balance]]*(InterestRate/PaymentsPerYear),"")</f>
        <v>321.37383290565174</v>
      </c>
      <c r="J350" s="25">
        <f ca="1">IF(PaymentSchedule3[[#This Row],[Payment Number]]&lt;&gt;"",IF(PaymentSchedule3[[#This Row],[Scheduled Payment]]+PaymentSchedule3[[#This Row],[Extra
Payment]]&lt;=PaymentSchedule3[[#This Row],[Beginning
Balance]],PaymentSchedule3[[#This Row],[Beginning
Balance]]-PaymentSchedule3[[#This Row],[Principal]],0),"")</f>
        <v>51126.667126747889</v>
      </c>
      <c r="K350" s="25">
        <f ca="1">IF(PaymentSchedule3[[#This Row],[Payment Number]]&lt;&gt;"",SUM(INDEX(PaymentSchedule3[Interest],1,1):PaymentSchedule3[[#This Row],[Interest]]),"")</f>
        <v>505753.58945302601</v>
      </c>
    </row>
    <row r="351" spans="2:11" x14ac:dyDescent="0.3">
      <c r="B351" s="23">
        <f ca="1">IF(LoanIsGood,IF(ROW()-ROW(PaymentSchedule3[[#Headers],[Payment Number]])&gt;ScheduledNumberOfPayments,"",ROW()-ROW(PaymentSchedule3[[#Headers],[Payment Number]])),"")</f>
        <v>338</v>
      </c>
      <c r="C351" s="24">
        <f ca="1">IF(PaymentSchedule3[[#This Row],[Payment Number]]&lt;&gt;"",EOMONTH(LoanStartDate,ROW(PaymentSchedule3[[#This Row],[Payment Number]])-ROW(PaymentSchedule3[[#Headers],[Payment Number]])-2)+DAY(LoanStartDate),"")</f>
        <v>55711</v>
      </c>
      <c r="D351" s="25">
        <f ca="1">IF(PaymentSchedule3[[#This Row],[Payment Number]]&lt;&gt;"",IF(ROW()-ROW(PaymentSchedule3[[#Headers],[Beginning
Balance]])=1,LoanAmount,INDEX(PaymentSchedule3[Ending
Balance],ROW()-ROW(PaymentSchedule3[[#Headers],[Beginning
Balance]])-1)),"")</f>
        <v>51126.667126747889</v>
      </c>
      <c r="E351" s="25">
        <f ca="1">IF(PaymentSchedule3[[#This Row],[Payment Number]]&lt;&gt;"",ScheduledPayment,"")</f>
        <v>2387.6169801966716</v>
      </c>
      <c r="F35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1" s="25">
        <f ca="1">IF(PaymentSchedule3[[#This Row],[Payment Number]]&lt;&gt;"",PaymentSchedule3[[#This Row],[Total
Payment]]-PaymentSchedule3[[#This Row],[Interest]],"")</f>
        <v>2078.7266996392364</v>
      </c>
      <c r="I351" s="25">
        <f ca="1">IF(PaymentSchedule3[[#This Row],[Payment Number]]&lt;&gt;"",PaymentSchedule3[[#This Row],[Beginning
Balance]]*(InterestRate/PaymentsPerYear),"")</f>
        <v>308.89028055743518</v>
      </c>
      <c r="J351" s="25">
        <f ca="1">IF(PaymentSchedule3[[#This Row],[Payment Number]]&lt;&gt;"",IF(PaymentSchedule3[[#This Row],[Scheduled Payment]]+PaymentSchedule3[[#This Row],[Extra
Payment]]&lt;=PaymentSchedule3[[#This Row],[Beginning
Balance]],PaymentSchedule3[[#This Row],[Beginning
Balance]]-PaymentSchedule3[[#This Row],[Principal]],0),"")</f>
        <v>49047.940427108653</v>
      </c>
      <c r="K351" s="25">
        <f ca="1">IF(PaymentSchedule3[[#This Row],[Payment Number]]&lt;&gt;"",SUM(INDEX(PaymentSchedule3[Interest],1,1):PaymentSchedule3[[#This Row],[Interest]]),"")</f>
        <v>506062.47973358346</v>
      </c>
    </row>
    <row r="352" spans="2:11" x14ac:dyDescent="0.3">
      <c r="B352" s="23">
        <f ca="1">IF(LoanIsGood,IF(ROW()-ROW(PaymentSchedule3[[#Headers],[Payment Number]])&gt;ScheduledNumberOfPayments,"",ROW()-ROW(PaymentSchedule3[[#Headers],[Payment Number]])),"")</f>
        <v>339</v>
      </c>
      <c r="C352" s="24">
        <f ca="1">IF(PaymentSchedule3[[#This Row],[Payment Number]]&lt;&gt;"",EOMONTH(LoanStartDate,ROW(PaymentSchedule3[[#This Row],[Payment Number]])-ROW(PaymentSchedule3[[#Headers],[Payment Number]])-2)+DAY(LoanStartDate),"")</f>
        <v>55742</v>
      </c>
      <c r="D352" s="25">
        <f ca="1">IF(PaymentSchedule3[[#This Row],[Payment Number]]&lt;&gt;"",IF(ROW()-ROW(PaymentSchedule3[[#Headers],[Beginning
Balance]])=1,LoanAmount,INDEX(PaymentSchedule3[Ending
Balance],ROW()-ROW(PaymentSchedule3[[#Headers],[Beginning
Balance]])-1)),"")</f>
        <v>49047.940427108653</v>
      </c>
      <c r="E352" s="25">
        <f ca="1">IF(PaymentSchedule3[[#This Row],[Payment Number]]&lt;&gt;"",ScheduledPayment,"")</f>
        <v>2387.6169801966716</v>
      </c>
      <c r="F35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2" s="25">
        <f ca="1">IF(PaymentSchedule3[[#This Row],[Payment Number]]&lt;&gt;"",PaymentSchedule3[[#This Row],[Total
Payment]]-PaymentSchedule3[[#This Row],[Interest]],"")</f>
        <v>2091.2856734495567</v>
      </c>
      <c r="I352" s="25">
        <f ca="1">IF(PaymentSchedule3[[#This Row],[Payment Number]]&lt;&gt;"",PaymentSchedule3[[#This Row],[Beginning
Balance]]*(InterestRate/PaymentsPerYear),"")</f>
        <v>296.33130674711475</v>
      </c>
      <c r="J352" s="25">
        <f ca="1">IF(PaymentSchedule3[[#This Row],[Payment Number]]&lt;&gt;"",IF(PaymentSchedule3[[#This Row],[Scheduled Payment]]+PaymentSchedule3[[#This Row],[Extra
Payment]]&lt;=PaymentSchedule3[[#This Row],[Beginning
Balance]],PaymentSchedule3[[#This Row],[Beginning
Balance]]-PaymentSchedule3[[#This Row],[Principal]],0),"")</f>
        <v>46956.654753659095</v>
      </c>
      <c r="K352" s="25">
        <f ca="1">IF(PaymentSchedule3[[#This Row],[Payment Number]]&lt;&gt;"",SUM(INDEX(PaymentSchedule3[Interest],1,1):PaymentSchedule3[[#This Row],[Interest]]),"")</f>
        <v>506358.81104033056</v>
      </c>
    </row>
    <row r="353" spans="2:11" x14ac:dyDescent="0.3">
      <c r="B353" s="23">
        <f ca="1">IF(LoanIsGood,IF(ROW()-ROW(PaymentSchedule3[[#Headers],[Payment Number]])&gt;ScheduledNumberOfPayments,"",ROW()-ROW(PaymentSchedule3[[#Headers],[Payment Number]])),"")</f>
        <v>340</v>
      </c>
      <c r="C353" s="24">
        <f ca="1">IF(PaymentSchedule3[[#This Row],[Payment Number]]&lt;&gt;"",EOMONTH(LoanStartDate,ROW(PaymentSchedule3[[#This Row],[Payment Number]])-ROW(PaymentSchedule3[[#Headers],[Payment Number]])-2)+DAY(LoanStartDate),"")</f>
        <v>55773</v>
      </c>
      <c r="D353" s="25">
        <f ca="1">IF(PaymentSchedule3[[#This Row],[Payment Number]]&lt;&gt;"",IF(ROW()-ROW(PaymentSchedule3[[#Headers],[Beginning
Balance]])=1,LoanAmount,INDEX(PaymentSchedule3[Ending
Balance],ROW()-ROW(PaymentSchedule3[[#Headers],[Beginning
Balance]])-1)),"")</f>
        <v>46956.654753659095</v>
      </c>
      <c r="E353" s="25">
        <f ca="1">IF(PaymentSchedule3[[#This Row],[Payment Number]]&lt;&gt;"",ScheduledPayment,"")</f>
        <v>2387.6169801966716</v>
      </c>
      <c r="F35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3" s="25">
        <f ca="1">IF(PaymentSchedule3[[#This Row],[Payment Number]]&lt;&gt;"",PaymentSchedule3[[#This Row],[Total
Payment]]-PaymentSchedule3[[#This Row],[Interest]],"")</f>
        <v>2103.9205243933147</v>
      </c>
      <c r="I353" s="25">
        <f ca="1">IF(PaymentSchedule3[[#This Row],[Payment Number]]&lt;&gt;"",PaymentSchedule3[[#This Row],[Beginning
Balance]]*(InterestRate/PaymentsPerYear),"")</f>
        <v>283.69645580335703</v>
      </c>
      <c r="J353" s="25">
        <f ca="1">IF(PaymentSchedule3[[#This Row],[Payment Number]]&lt;&gt;"",IF(PaymentSchedule3[[#This Row],[Scheduled Payment]]+PaymentSchedule3[[#This Row],[Extra
Payment]]&lt;=PaymentSchedule3[[#This Row],[Beginning
Balance]],PaymentSchedule3[[#This Row],[Beginning
Balance]]-PaymentSchedule3[[#This Row],[Principal]],0),"")</f>
        <v>44852.734229265778</v>
      </c>
      <c r="K353" s="25">
        <f ca="1">IF(PaymentSchedule3[[#This Row],[Payment Number]]&lt;&gt;"",SUM(INDEX(PaymentSchedule3[Interest],1,1):PaymentSchedule3[[#This Row],[Interest]]),"")</f>
        <v>506642.50749613391</v>
      </c>
    </row>
    <row r="354" spans="2:11" x14ac:dyDescent="0.3">
      <c r="B354" s="23">
        <f ca="1">IF(LoanIsGood,IF(ROW()-ROW(PaymentSchedule3[[#Headers],[Payment Number]])&gt;ScheduledNumberOfPayments,"",ROW()-ROW(PaymentSchedule3[[#Headers],[Payment Number]])),"")</f>
        <v>341</v>
      </c>
      <c r="C354" s="24">
        <f ca="1">IF(PaymentSchedule3[[#This Row],[Payment Number]]&lt;&gt;"",EOMONTH(LoanStartDate,ROW(PaymentSchedule3[[#This Row],[Payment Number]])-ROW(PaymentSchedule3[[#Headers],[Payment Number]])-2)+DAY(LoanStartDate),"")</f>
        <v>55803</v>
      </c>
      <c r="D354" s="25">
        <f ca="1">IF(PaymentSchedule3[[#This Row],[Payment Number]]&lt;&gt;"",IF(ROW()-ROW(PaymentSchedule3[[#Headers],[Beginning
Balance]])=1,LoanAmount,INDEX(PaymentSchedule3[Ending
Balance],ROW()-ROW(PaymentSchedule3[[#Headers],[Beginning
Balance]])-1)),"")</f>
        <v>44852.734229265778</v>
      </c>
      <c r="E354" s="25">
        <f ca="1">IF(PaymentSchedule3[[#This Row],[Payment Number]]&lt;&gt;"",ScheduledPayment,"")</f>
        <v>2387.6169801966716</v>
      </c>
      <c r="F35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4" s="25">
        <f ca="1">IF(PaymentSchedule3[[#This Row],[Payment Number]]&lt;&gt;"",PaymentSchedule3[[#This Row],[Total
Payment]]-PaymentSchedule3[[#This Row],[Interest]],"")</f>
        <v>2116.6317108948574</v>
      </c>
      <c r="I354" s="25">
        <f ca="1">IF(PaymentSchedule3[[#This Row],[Payment Number]]&lt;&gt;"",PaymentSchedule3[[#This Row],[Beginning
Balance]]*(InterestRate/PaymentsPerYear),"")</f>
        <v>270.98526930181407</v>
      </c>
      <c r="J354" s="25">
        <f ca="1">IF(PaymentSchedule3[[#This Row],[Payment Number]]&lt;&gt;"",IF(PaymentSchedule3[[#This Row],[Scheduled Payment]]+PaymentSchedule3[[#This Row],[Extra
Payment]]&lt;=PaymentSchedule3[[#This Row],[Beginning
Balance]],PaymentSchedule3[[#This Row],[Beginning
Balance]]-PaymentSchedule3[[#This Row],[Principal]],0),"")</f>
        <v>42736.102518370921</v>
      </c>
      <c r="K354" s="25">
        <f ca="1">IF(PaymentSchedule3[[#This Row],[Payment Number]]&lt;&gt;"",SUM(INDEX(PaymentSchedule3[Interest],1,1):PaymentSchedule3[[#This Row],[Interest]]),"")</f>
        <v>506913.49276543572</v>
      </c>
    </row>
    <row r="355" spans="2:11" x14ac:dyDescent="0.3">
      <c r="B355" s="23">
        <f ca="1">IF(LoanIsGood,IF(ROW()-ROW(PaymentSchedule3[[#Headers],[Payment Number]])&gt;ScheduledNumberOfPayments,"",ROW()-ROW(PaymentSchedule3[[#Headers],[Payment Number]])),"")</f>
        <v>342</v>
      </c>
      <c r="C355" s="24">
        <f ca="1">IF(PaymentSchedule3[[#This Row],[Payment Number]]&lt;&gt;"",EOMONTH(LoanStartDate,ROW(PaymentSchedule3[[#This Row],[Payment Number]])-ROW(PaymentSchedule3[[#Headers],[Payment Number]])-2)+DAY(LoanStartDate),"")</f>
        <v>55834</v>
      </c>
      <c r="D355" s="25">
        <f ca="1">IF(PaymentSchedule3[[#This Row],[Payment Number]]&lt;&gt;"",IF(ROW()-ROW(PaymentSchedule3[[#Headers],[Beginning
Balance]])=1,LoanAmount,INDEX(PaymentSchedule3[Ending
Balance],ROW()-ROW(PaymentSchedule3[[#Headers],[Beginning
Balance]])-1)),"")</f>
        <v>42736.102518370921</v>
      </c>
      <c r="E355" s="25">
        <f ca="1">IF(PaymentSchedule3[[#This Row],[Payment Number]]&lt;&gt;"",ScheduledPayment,"")</f>
        <v>2387.6169801966716</v>
      </c>
      <c r="F35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5" s="25">
        <f ca="1">IF(PaymentSchedule3[[#This Row],[Payment Number]]&lt;&gt;"",PaymentSchedule3[[#This Row],[Total
Payment]]-PaymentSchedule3[[#This Row],[Interest]],"")</f>
        <v>2129.4196941481805</v>
      </c>
      <c r="I355" s="25">
        <f ca="1">IF(PaymentSchedule3[[#This Row],[Payment Number]]&lt;&gt;"",PaymentSchedule3[[#This Row],[Beginning
Balance]]*(InterestRate/PaymentsPerYear),"")</f>
        <v>258.19728604849098</v>
      </c>
      <c r="J355" s="25">
        <f ca="1">IF(PaymentSchedule3[[#This Row],[Payment Number]]&lt;&gt;"",IF(PaymentSchedule3[[#This Row],[Scheduled Payment]]+PaymentSchedule3[[#This Row],[Extra
Payment]]&lt;=PaymentSchedule3[[#This Row],[Beginning
Balance]],PaymentSchedule3[[#This Row],[Beginning
Balance]]-PaymentSchedule3[[#This Row],[Principal]],0),"")</f>
        <v>40606.682824222742</v>
      </c>
      <c r="K355" s="25">
        <f ca="1">IF(PaymentSchedule3[[#This Row],[Payment Number]]&lt;&gt;"",SUM(INDEX(PaymentSchedule3[Interest],1,1):PaymentSchedule3[[#This Row],[Interest]]),"")</f>
        <v>507171.69005148421</v>
      </c>
    </row>
    <row r="356" spans="2:11" x14ac:dyDescent="0.3">
      <c r="B356" s="23">
        <f ca="1">IF(LoanIsGood,IF(ROW()-ROW(PaymentSchedule3[[#Headers],[Payment Number]])&gt;ScheduledNumberOfPayments,"",ROW()-ROW(PaymentSchedule3[[#Headers],[Payment Number]])),"")</f>
        <v>343</v>
      </c>
      <c r="C356" s="24">
        <f ca="1">IF(PaymentSchedule3[[#This Row],[Payment Number]]&lt;&gt;"",EOMONTH(LoanStartDate,ROW(PaymentSchedule3[[#This Row],[Payment Number]])-ROW(PaymentSchedule3[[#Headers],[Payment Number]])-2)+DAY(LoanStartDate),"")</f>
        <v>55864</v>
      </c>
      <c r="D356" s="25">
        <f ca="1">IF(PaymentSchedule3[[#This Row],[Payment Number]]&lt;&gt;"",IF(ROW()-ROW(PaymentSchedule3[[#Headers],[Beginning
Balance]])=1,LoanAmount,INDEX(PaymentSchedule3[Ending
Balance],ROW()-ROW(PaymentSchedule3[[#Headers],[Beginning
Balance]])-1)),"")</f>
        <v>40606.682824222742</v>
      </c>
      <c r="E356" s="25">
        <f ca="1">IF(PaymentSchedule3[[#This Row],[Payment Number]]&lt;&gt;"",ScheduledPayment,"")</f>
        <v>2387.6169801966716</v>
      </c>
      <c r="F35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6" s="25">
        <f ca="1">IF(PaymentSchedule3[[#This Row],[Payment Number]]&lt;&gt;"",PaymentSchedule3[[#This Row],[Total
Payment]]-PaymentSchedule3[[#This Row],[Interest]],"")</f>
        <v>2142.2849381336591</v>
      </c>
      <c r="I356" s="25">
        <f ca="1">IF(PaymentSchedule3[[#This Row],[Payment Number]]&lt;&gt;"",PaymentSchedule3[[#This Row],[Beginning
Balance]]*(InterestRate/PaymentsPerYear),"")</f>
        <v>245.33204206301238</v>
      </c>
      <c r="J356" s="25">
        <f ca="1">IF(PaymentSchedule3[[#This Row],[Payment Number]]&lt;&gt;"",IF(PaymentSchedule3[[#This Row],[Scheduled Payment]]+PaymentSchedule3[[#This Row],[Extra
Payment]]&lt;=PaymentSchedule3[[#This Row],[Beginning
Balance]],PaymentSchedule3[[#This Row],[Beginning
Balance]]-PaymentSchedule3[[#This Row],[Principal]],0),"")</f>
        <v>38464.397886089086</v>
      </c>
      <c r="K356" s="25">
        <f ca="1">IF(PaymentSchedule3[[#This Row],[Payment Number]]&lt;&gt;"",SUM(INDEX(PaymentSchedule3[Interest],1,1):PaymentSchedule3[[#This Row],[Interest]]),"")</f>
        <v>507417.02209354722</v>
      </c>
    </row>
    <row r="357" spans="2:11" x14ac:dyDescent="0.3">
      <c r="B357" s="23">
        <f ca="1">IF(LoanIsGood,IF(ROW()-ROW(PaymentSchedule3[[#Headers],[Payment Number]])&gt;ScheduledNumberOfPayments,"",ROW()-ROW(PaymentSchedule3[[#Headers],[Payment Number]])),"")</f>
        <v>344</v>
      </c>
      <c r="C357" s="24">
        <f ca="1">IF(PaymentSchedule3[[#This Row],[Payment Number]]&lt;&gt;"",EOMONTH(LoanStartDate,ROW(PaymentSchedule3[[#This Row],[Payment Number]])-ROW(PaymentSchedule3[[#Headers],[Payment Number]])-2)+DAY(LoanStartDate),"")</f>
        <v>55895</v>
      </c>
      <c r="D357" s="25">
        <f ca="1">IF(PaymentSchedule3[[#This Row],[Payment Number]]&lt;&gt;"",IF(ROW()-ROW(PaymentSchedule3[[#Headers],[Beginning
Balance]])=1,LoanAmount,INDEX(PaymentSchedule3[Ending
Balance],ROW()-ROW(PaymentSchedule3[[#Headers],[Beginning
Balance]])-1)),"")</f>
        <v>38464.397886089086</v>
      </c>
      <c r="E357" s="25">
        <f ca="1">IF(PaymentSchedule3[[#This Row],[Payment Number]]&lt;&gt;"",ScheduledPayment,"")</f>
        <v>2387.6169801966716</v>
      </c>
      <c r="F35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7" s="25">
        <f ca="1">IF(PaymentSchedule3[[#This Row],[Payment Number]]&lt;&gt;"",PaymentSchedule3[[#This Row],[Total
Payment]]-PaymentSchedule3[[#This Row],[Interest]],"")</f>
        <v>2155.2279096348834</v>
      </c>
      <c r="I357" s="25">
        <f ca="1">IF(PaymentSchedule3[[#This Row],[Payment Number]]&lt;&gt;"",PaymentSchedule3[[#This Row],[Beginning
Balance]]*(InterestRate/PaymentsPerYear),"")</f>
        <v>232.38907056178823</v>
      </c>
      <c r="J357" s="25">
        <f ca="1">IF(PaymentSchedule3[[#This Row],[Payment Number]]&lt;&gt;"",IF(PaymentSchedule3[[#This Row],[Scheduled Payment]]+PaymentSchedule3[[#This Row],[Extra
Payment]]&lt;=PaymentSchedule3[[#This Row],[Beginning
Balance]],PaymentSchedule3[[#This Row],[Beginning
Balance]]-PaymentSchedule3[[#This Row],[Principal]],0),"")</f>
        <v>36309.169976454199</v>
      </c>
      <c r="K357" s="25">
        <f ca="1">IF(PaymentSchedule3[[#This Row],[Payment Number]]&lt;&gt;"",SUM(INDEX(PaymentSchedule3[Interest],1,1):PaymentSchedule3[[#This Row],[Interest]]),"")</f>
        <v>507649.41116410901</v>
      </c>
    </row>
    <row r="358" spans="2:11" x14ac:dyDescent="0.3">
      <c r="B358" s="23">
        <f ca="1">IF(LoanIsGood,IF(ROW()-ROW(PaymentSchedule3[[#Headers],[Payment Number]])&gt;ScheduledNumberOfPayments,"",ROW()-ROW(PaymentSchedule3[[#Headers],[Payment Number]])),"")</f>
        <v>345</v>
      </c>
      <c r="C358" s="24">
        <f ca="1">IF(PaymentSchedule3[[#This Row],[Payment Number]]&lt;&gt;"",EOMONTH(LoanStartDate,ROW(PaymentSchedule3[[#This Row],[Payment Number]])-ROW(PaymentSchedule3[[#Headers],[Payment Number]])-2)+DAY(LoanStartDate),"")</f>
        <v>55926</v>
      </c>
      <c r="D358" s="25">
        <f ca="1">IF(PaymentSchedule3[[#This Row],[Payment Number]]&lt;&gt;"",IF(ROW()-ROW(PaymentSchedule3[[#Headers],[Beginning
Balance]])=1,LoanAmount,INDEX(PaymentSchedule3[Ending
Balance],ROW()-ROW(PaymentSchedule3[[#Headers],[Beginning
Balance]])-1)),"")</f>
        <v>36309.169976454199</v>
      </c>
      <c r="E358" s="25">
        <f ca="1">IF(PaymentSchedule3[[#This Row],[Payment Number]]&lt;&gt;"",ScheduledPayment,"")</f>
        <v>2387.6169801966716</v>
      </c>
      <c r="F35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8" s="25">
        <f ca="1">IF(PaymentSchedule3[[#This Row],[Payment Number]]&lt;&gt;"",PaymentSchedule3[[#This Row],[Total
Payment]]-PaymentSchedule3[[#This Row],[Interest]],"")</f>
        <v>2168.2490782555942</v>
      </c>
      <c r="I358" s="25">
        <f ca="1">IF(PaymentSchedule3[[#This Row],[Payment Number]]&lt;&gt;"",PaymentSchedule3[[#This Row],[Beginning
Balance]]*(InterestRate/PaymentsPerYear),"")</f>
        <v>219.36790194107743</v>
      </c>
      <c r="J358" s="25">
        <f ca="1">IF(PaymentSchedule3[[#This Row],[Payment Number]]&lt;&gt;"",IF(PaymentSchedule3[[#This Row],[Scheduled Payment]]+PaymentSchedule3[[#This Row],[Extra
Payment]]&lt;=PaymentSchedule3[[#This Row],[Beginning
Balance]],PaymentSchedule3[[#This Row],[Beginning
Balance]]-PaymentSchedule3[[#This Row],[Principal]],0),"")</f>
        <v>34140.920898198601</v>
      </c>
      <c r="K358" s="25">
        <f ca="1">IF(PaymentSchedule3[[#This Row],[Payment Number]]&lt;&gt;"",SUM(INDEX(PaymentSchedule3[Interest],1,1):PaymentSchedule3[[#This Row],[Interest]]),"")</f>
        <v>507868.77906605008</v>
      </c>
    </row>
    <row r="359" spans="2:11" x14ac:dyDescent="0.3">
      <c r="B359" s="23">
        <f ca="1">IF(LoanIsGood,IF(ROW()-ROW(PaymentSchedule3[[#Headers],[Payment Number]])&gt;ScheduledNumberOfPayments,"",ROW()-ROW(PaymentSchedule3[[#Headers],[Payment Number]])),"")</f>
        <v>346</v>
      </c>
      <c r="C359" s="24">
        <f ca="1">IF(PaymentSchedule3[[#This Row],[Payment Number]]&lt;&gt;"",EOMONTH(LoanStartDate,ROW(PaymentSchedule3[[#This Row],[Payment Number]])-ROW(PaymentSchedule3[[#Headers],[Payment Number]])-2)+DAY(LoanStartDate),"")</f>
        <v>55954</v>
      </c>
      <c r="D359" s="25">
        <f ca="1">IF(PaymentSchedule3[[#This Row],[Payment Number]]&lt;&gt;"",IF(ROW()-ROW(PaymentSchedule3[[#Headers],[Beginning
Balance]])=1,LoanAmount,INDEX(PaymentSchedule3[Ending
Balance],ROW()-ROW(PaymentSchedule3[[#Headers],[Beginning
Balance]])-1)),"")</f>
        <v>34140.920898198601</v>
      </c>
      <c r="E359" s="25">
        <f ca="1">IF(PaymentSchedule3[[#This Row],[Payment Number]]&lt;&gt;"",ScheduledPayment,"")</f>
        <v>2387.6169801966716</v>
      </c>
      <c r="F35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5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59" s="25">
        <f ca="1">IF(PaymentSchedule3[[#This Row],[Payment Number]]&lt;&gt;"",PaymentSchedule3[[#This Row],[Total
Payment]]-PaymentSchedule3[[#This Row],[Interest]],"")</f>
        <v>2181.348916436722</v>
      </c>
      <c r="I359" s="25">
        <f ca="1">IF(PaymentSchedule3[[#This Row],[Payment Number]]&lt;&gt;"",PaymentSchedule3[[#This Row],[Beginning
Balance]]*(InterestRate/PaymentsPerYear),"")</f>
        <v>206.26806375994988</v>
      </c>
      <c r="J359" s="25">
        <f ca="1">IF(PaymentSchedule3[[#This Row],[Payment Number]]&lt;&gt;"",IF(PaymentSchedule3[[#This Row],[Scheduled Payment]]+PaymentSchedule3[[#This Row],[Extra
Payment]]&lt;=PaymentSchedule3[[#This Row],[Beginning
Balance]],PaymentSchedule3[[#This Row],[Beginning
Balance]]-PaymentSchedule3[[#This Row],[Principal]],0),"")</f>
        <v>31959.571981761881</v>
      </c>
      <c r="K359" s="25">
        <f ca="1">IF(PaymentSchedule3[[#This Row],[Payment Number]]&lt;&gt;"",SUM(INDEX(PaymentSchedule3[Interest],1,1):PaymentSchedule3[[#This Row],[Interest]]),"")</f>
        <v>508075.04712981003</v>
      </c>
    </row>
    <row r="360" spans="2:11" x14ac:dyDescent="0.3">
      <c r="B360" s="23">
        <f ca="1">IF(LoanIsGood,IF(ROW()-ROW(PaymentSchedule3[[#Headers],[Payment Number]])&gt;ScheduledNumberOfPayments,"",ROW()-ROW(PaymentSchedule3[[#Headers],[Payment Number]])),"")</f>
        <v>347</v>
      </c>
      <c r="C360" s="24">
        <f ca="1">IF(PaymentSchedule3[[#This Row],[Payment Number]]&lt;&gt;"",EOMONTH(LoanStartDate,ROW(PaymentSchedule3[[#This Row],[Payment Number]])-ROW(PaymentSchedule3[[#Headers],[Payment Number]])-2)+DAY(LoanStartDate),"")</f>
        <v>55985</v>
      </c>
      <c r="D360" s="25">
        <f ca="1">IF(PaymentSchedule3[[#This Row],[Payment Number]]&lt;&gt;"",IF(ROW()-ROW(PaymentSchedule3[[#Headers],[Beginning
Balance]])=1,LoanAmount,INDEX(PaymentSchedule3[Ending
Balance],ROW()-ROW(PaymentSchedule3[[#Headers],[Beginning
Balance]])-1)),"")</f>
        <v>31959.571981761881</v>
      </c>
      <c r="E360" s="25">
        <f ca="1">IF(PaymentSchedule3[[#This Row],[Payment Number]]&lt;&gt;"",ScheduledPayment,"")</f>
        <v>2387.6169801966716</v>
      </c>
      <c r="F36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0" s="25">
        <f ca="1">IF(PaymentSchedule3[[#This Row],[Payment Number]]&lt;&gt;"",PaymentSchedule3[[#This Row],[Total
Payment]]-PaymentSchedule3[[#This Row],[Interest]],"")</f>
        <v>2194.5278994735268</v>
      </c>
      <c r="I360" s="25">
        <f ca="1">IF(PaymentSchedule3[[#This Row],[Payment Number]]&lt;&gt;"",PaymentSchedule3[[#This Row],[Beginning
Balance]]*(InterestRate/PaymentsPerYear),"")</f>
        <v>193.08908072314469</v>
      </c>
      <c r="J360" s="25">
        <f ca="1">IF(PaymentSchedule3[[#This Row],[Payment Number]]&lt;&gt;"",IF(PaymentSchedule3[[#This Row],[Scheduled Payment]]+PaymentSchedule3[[#This Row],[Extra
Payment]]&lt;=PaymentSchedule3[[#This Row],[Beginning
Balance]],PaymentSchedule3[[#This Row],[Beginning
Balance]]-PaymentSchedule3[[#This Row],[Principal]],0),"")</f>
        <v>29765.044082288354</v>
      </c>
      <c r="K360" s="25">
        <f ca="1">IF(PaymentSchedule3[[#This Row],[Payment Number]]&lt;&gt;"",SUM(INDEX(PaymentSchedule3[Interest],1,1):PaymentSchedule3[[#This Row],[Interest]]),"")</f>
        <v>508268.13621053315</v>
      </c>
    </row>
    <row r="361" spans="2:11" x14ac:dyDescent="0.3">
      <c r="B361" s="23">
        <f ca="1">IF(LoanIsGood,IF(ROW()-ROW(PaymentSchedule3[[#Headers],[Payment Number]])&gt;ScheduledNumberOfPayments,"",ROW()-ROW(PaymentSchedule3[[#Headers],[Payment Number]])),"")</f>
        <v>348</v>
      </c>
      <c r="C361" s="24">
        <f ca="1">IF(PaymentSchedule3[[#This Row],[Payment Number]]&lt;&gt;"",EOMONTH(LoanStartDate,ROW(PaymentSchedule3[[#This Row],[Payment Number]])-ROW(PaymentSchedule3[[#Headers],[Payment Number]])-2)+DAY(LoanStartDate),"")</f>
        <v>56015</v>
      </c>
      <c r="D361" s="25">
        <f ca="1">IF(PaymentSchedule3[[#This Row],[Payment Number]]&lt;&gt;"",IF(ROW()-ROW(PaymentSchedule3[[#Headers],[Beginning
Balance]])=1,LoanAmount,INDEX(PaymentSchedule3[Ending
Balance],ROW()-ROW(PaymentSchedule3[[#Headers],[Beginning
Balance]])-1)),"")</f>
        <v>29765.044082288354</v>
      </c>
      <c r="E361" s="25">
        <f ca="1">IF(PaymentSchedule3[[#This Row],[Payment Number]]&lt;&gt;"",ScheduledPayment,"")</f>
        <v>2387.6169801966716</v>
      </c>
      <c r="F36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1" s="25">
        <f ca="1">IF(PaymentSchedule3[[#This Row],[Payment Number]]&lt;&gt;"",PaymentSchedule3[[#This Row],[Total
Payment]]-PaymentSchedule3[[#This Row],[Interest]],"")</f>
        <v>2207.7865055328461</v>
      </c>
      <c r="I361" s="25">
        <f ca="1">IF(PaymentSchedule3[[#This Row],[Payment Number]]&lt;&gt;"",PaymentSchedule3[[#This Row],[Beginning
Balance]]*(InterestRate/PaymentsPerYear),"")</f>
        <v>179.83047466382547</v>
      </c>
      <c r="J361" s="25">
        <f ca="1">IF(PaymentSchedule3[[#This Row],[Payment Number]]&lt;&gt;"",IF(PaymentSchedule3[[#This Row],[Scheduled Payment]]+PaymentSchedule3[[#This Row],[Extra
Payment]]&lt;=PaymentSchedule3[[#This Row],[Beginning
Balance]],PaymentSchedule3[[#This Row],[Beginning
Balance]]-PaymentSchedule3[[#This Row],[Principal]],0),"")</f>
        <v>27557.257576755506</v>
      </c>
      <c r="K361" s="25">
        <f ca="1">IF(PaymentSchedule3[[#This Row],[Payment Number]]&lt;&gt;"",SUM(INDEX(PaymentSchedule3[Interest],1,1):PaymentSchedule3[[#This Row],[Interest]]),"")</f>
        <v>508447.96668519697</v>
      </c>
    </row>
    <row r="362" spans="2:11" x14ac:dyDescent="0.3">
      <c r="B362" s="23">
        <f ca="1">IF(LoanIsGood,IF(ROW()-ROW(PaymentSchedule3[[#Headers],[Payment Number]])&gt;ScheduledNumberOfPayments,"",ROW()-ROW(PaymentSchedule3[[#Headers],[Payment Number]])),"")</f>
        <v>349</v>
      </c>
      <c r="C362" s="24">
        <f ca="1">IF(PaymentSchedule3[[#This Row],[Payment Number]]&lt;&gt;"",EOMONTH(LoanStartDate,ROW(PaymentSchedule3[[#This Row],[Payment Number]])-ROW(PaymentSchedule3[[#Headers],[Payment Number]])-2)+DAY(LoanStartDate),"")</f>
        <v>56046</v>
      </c>
      <c r="D362" s="25">
        <f ca="1">IF(PaymentSchedule3[[#This Row],[Payment Number]]&lt;&gt;"",IF(ROW()-ROW(PaymentSchedule3[[#Headers],[Beginning
Balance]])=1,LoanAmount,INDEX(PaymentSchedule3[Ending
Balance],ROW()-ROW(PaymentSchedule3[[#Headers],[Beginning
Balance]])-1)),"")</f>
        <v>27557.257576755506</v>
      </c>
      <c r="E362" s="25">
        <f ca="1">IF(PaymentSchedule3[[#This Row],[Payment Number]]&lt;&gt;"",ScheduledPayment,"")</f>
        <v>2387.6169801966716</v>
      </c>
      <c r="F36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2" s="25">
        <f ca="1">IF(PaymentSchedule3[[#This Row],[Payment Number]]&lt;&gt;"",PaymentSchedule3[[#This Row],[Total
Payment]]-PaymentSchedule3[[#This Row],[Interest]],"")</f>
        <v>2221.1252156704404</v>
      </c>
      <c r="I362" s="25">
        <f ca="1">IF(PaymentSchedule3[[#This Row],[Payment Number]]&lt;&gt;"",PaymentSchedule3[[#This Row],[Beginning
Balance]]*(InterestRate/PaymentsPerYear),"")</f>
        <v>166.49176452623118</v>
      </c>
      <c r="J362" s="25">
        <f ca="1">IF(PaymentSchedule3[[#This Row],[Payment Number]]&lt;&gt;"",IF(PaymentSchedule3[[#This Row],[Scheduled Payment]]+PaymentSchedule3[[#This Row],[Extra
Payment]]&lt;=PaymentSchedule3[[#This Row],[Beginning
Balance]],PaymentSchedule3[[#This Row],[Beginning
Balance]]-PaymentSchedule3[[#This Row],[Principal]],0),"")</f>
        <v>25336.132361085067</v>
      </c>
      <c r="K362" s="25">
        <f ca="1">IF(PaymentSchedule3[[#This Row],[Payment Number]]&lt;&gt;"",SUM(INDEX(PaymentSchedule3[Interest],1,1):PaymentSchedule3[[#This Row],[Interest]]),"")</f>
        <v>508614.4584497232</v>
      </c>
    </row>
    <row r="363" spans="2:11" x14ac:dyDescent="0.3">
      <c r="B363" s="23">
        <f ca="1">IF(LoanIsGood,IF(ROW()-ROW(PaymentSchedule3[[#Headers],[Payment Number]])&gt;ScheduledNumberOfPayments,"",ROW()-ROW(PaymentSchedule3[[#Headers],[Payment Number]])),"")</f>
        <v>350</v>
      </c>
      <c r="C363" s="24">
        <f ca="1">IF(PaymentSchedule3[[#This Row],[Payment Number]]&lt;&gt;"",EOMONTH(LoanStartDate,ROW(PaymentSchedule3[[#This Row],[Payment Number]])-ROW(PaymentSchedule3[[#Headers],[Payment Number]])-2)+DAY(LoanStartDate),"")</f>
        <v>56076</v>
      </c>
      <c r="D363" s="25">
        <f ca="1">IF(PaymentSchedule3[[#This Row],[Payment Number]]&lt;&gt;"",IF(ROW()-ROW(PaymentSchedule3[[#Headers],[Beginning
Balance]])=1,LoanAmount,INDEX(PaymentSchedule3[Ending
Balance],ROW()-ROW(PaymentSchedule3[[#Headers],[Beginning
Balance]])-1)),"")</f>
        <v>25336.132361085067</v>
      </c>
      <c r="E363" s="25">
        <f ca="1">IF(PaymentSchedule3[[#This Row],[Payment Number]]&lt;&gt;"",ScheduledPayment,"")</f>
        <v>2387.6169801966716</v>
      </c>
      <c r="F36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3" s="25">
        <f ca="1">IF(PaymentSchedule3[[#This Row],[Payment Number]]&lt;&gt;"",PaymentSchedule3[[#This Row],[Total
Payment]]-PaymentSchedule3[[#This Row],[Interest]],"")</f>
        <v>2234.5445138484492</v>
      </c>
      <c r="I363" s="25">
        <f ca="1">IF(PaymentSchedule3[[#This Row],[Payment Number]]&lt;&gt;"",PaymentSchedule3[[#This Row],[Beginning
Balance]]*(InterestRate/PaymentsPerYear),"")</f>
        <v>153.07246634822226</v>
      </c>
      <c r="J363" s="25">
        <f ca="1">IF(PaymentSchedule3[[#This Row],[Payment Number]]&lt;&gt;"",IF(PaymentSchedule3[[#This Row],[Scheduled Payment]]+PaymentSchedule3[[#This Row],[Extra
Payment]]&lt;=PaymentSchedule3[[#This Row],[Beginning
Balance]],PaymentSchedule3[[#This Row],[Beginning
Balance]]-PaymentSchedule3[[#This Row],[Principal]],0),"")</f>
        <v>23101.587847236617</v>
      </c>
      <c r="K363" s="25">
        <f ca="1">IF(PaymentSchedule3[[#This Row],[Payment Number]]&lt;&gt;"",SUM(INDEX(PaymentSchedule3[Interest],1,1):PaymentSchedule3[[#This Row],[Interest]]),"")</f>
        <v>508767.53091607144</v>
      </c>
    </row>
    <row r="364" spans="2:11" x14ac:dyDescent="0.3">
      <c r="B364" s="23">
        <f ca="1">IF(LoanIsGood,IF(ROW()-ROW(PaymentSchedule3[[#Headers],[Payment Number]])&gt;ScheduledNumberOfPayments,"",ROW()-ROW(PaymentSchedule3[[#Headers],[Payment Number]])),"")</f>
        <v>351</v>
      </c>
      <c r="C364" s="24">
        <f ca="1">IF(PaymentSchedule3[[#This Row],[Payment Number]]&lt;&gt;"",EOMONTH(LoanStartDate,ROW(PaymentSchedule3[[#This Row],[Payment Number]])-ROW(PaymentSchedule3[[#Headers],[Payment Number]])-2)+DAY(LoanStartDate),"")</f>
        <v>56107</v>
      </c>
      <c r="D364" s="25">
        <f ca="1">IF(PaymentSchedule3[[#This Row],[Payment Number]]&lt;&gt;"",IF(ROW()-ROW(PaymentSchedule3[[#Headers],[Beginning
Balance]])=1,LoanAmount,INDEX(PaymentSchedule3[Ending
Balance],ROW()-ROW(PaymentSchedule3[[#Headers],[Beginning
Balance]])-1)),"")</f>
        <v>23101.587847236617</v>
      </c>
      <c r="E364" s="25">
        <f ca="1">IF(PaymentSchedule3[[#This Row],[Payment Number]]&lt;&gt;"",ScheduledPayment,"")</f>
        <v>2387.6169801966716</v>
      </c>
      <c r="F364"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4"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4" s="25">
        <f ca="1">IF(PaymentSchedule3[[#This Row],[Payment Number]]&lt;&gt;"",PaymentSchedule3[[#This Row],[Total
Payment]]-PaymentSchedule3[[#This Row],[Interest]],"")</f>
        <v>2248.0448869529505</v>
      </c>
      <c r="I364" s="25">
        <f ca="1">IF(PaymentSchedule3[[#This Row],[Payment Number]]&lt;&gt;"",PaymentSchedule3[[#This Row],[Beginning
Balance]]*(InterestRate/PaymentsPerYear),"")</f>
        <v>139.57209324372121</v>
      </c>
      <c r="J364" s="25">
        <f ca="1">IF(PaymentSchedule3[[#This Row],[Payment Number]]&lt;&gt;"",IF(PaymentSchedule3[[#This Row],[Scheduled Payment]]+PaymentSchedule3[[#This Row],[Extra
Payment]]&lt;=PaymentSchedule3[[#This Row],[Beginning
Balance]],PaymentSchedule3[[#This Row],[Beginning
Balance]]-PaymentSchedule3[[#This Row],[Principal]],0),"")</f>
        <v>20853.542960283667</v>
      </c>
      <c r="K364" s="25">
        <f ca="1">IF(PaymentSchedule3[[#This Row],[Payment Number]]&lt;&gt;"",SUM(INDEX(PaymentSchedule3[Interest],1,1):PaymentSchedule3[[#This Row],[Interest]]),"")</f>
        <v>508907.10300931515</v>
      </c>
    </row>
    <row r="365" spans="2:11" x14ac:dyDescent="0.3">
      <c r="B365" s="23">
        <f ca="1">IF(LoanIsGood,IF(ROW()-ROW(PaymentSchedule3[[#Headers],[Payment Number]])&gt;ScheduledNumberOfPayments,"",ROW()-ROW(PaymentSchedule3[[#Headers],[Payment Number]])),"")</f>
        <v>352</v>
      </c>
      <c r="C365" s="24">
        <f ca="1">IF(PaymentSchedule3[[#This Row],[Payment Number]]&lt;&gt;"",EOMONTH(LoanStartDate,ROW(PaymentSchedule3[[#This Row],[Payment Number]])-ROW(PaymentSchedule3[[#Headers],[Payment Number]])-2)+DAY(LoanStartDate),"")</f>
        <v>56138</v>
      </c>
      <c r="D365" s="25">
        <f ca="1">IF(PaymentSchedule3[[#This Row],[Payment Number]]&lt;&gt;"",IF(ROW()-ROW(PaymentSchedule3[[#Headers],[Beginning
Balance]])=1,LoanAmount,INDEX(PaymentSchedule3[Ending
Balance],ROW()-ROW(PaymentSchedule3[[#Headers],[Beginning
Balance]])-1)),"")</f>
        <v>20853.542960283667</v>
      </c>
      <c r="E365" s="25">
        <f ca="1">IF(PaymentSchedule3[[#This Row],[Payment Number]]&lt;&gt;"",ScheduledPayment,"")</f>
        <v>2387.6169801966716</v>
      </c>
      <c r="F365"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5"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5" s="25">
        <f ca="1">IF(PaymentSchedule3[[#This Row],[Payment Number]]&lt;&gt;"",PaymentSchedule3[[#This Row],[Total
Payment]]-PaymentSchedule3[[#This Row],[Interest]],"")</f>
        <v>2261.6268248116244</v>
      </c>
      <c r="I365" s="25">
        <f ca="1">IF(PaymentSchedule3[[#This Row],[Payment Number]]&lt;&gt;"",PaymentSchedule3[[#This Row],[Beginning
Balance]]*(InterestRate/PaymentsPerYear),"")</f>
        <v>125.99015538504715</v>
      </c>
      <c r="J365" s="25">
        <f ca="1">IF(PaymentSchedule3[[#This Row],[Payment Number]]&lt;&gt;"",IF(PaymentSchedule3[[#This Row],[Scheduled Payment]]+PaymentSchedule3[[#This Row],[Extra
Payment]]&lt;=PaymentSchedule3[[#This Row],[Beginning
Balance]],PaymentSchedule3[[#This Row],[Beginning
Balance]]-PaymentSchedule3[[#This Row],[Principal]],0),"")</f>
        <v>18591.916135472042</v>
      </c>
      <c r="K365" s="25">
        <f ca="1">IF(PaymentSchedule3[[#This Row],[Payment Number]]&lt;&gt;"",SUM(INDEX(PaymentSchedule3[Interest],1,1):PaymentSchedule3[[#This Row],[Interest]]),"")</f>
        <v>509033.0931647002</v>
      </c>
    </row>
    <row r="366" spans="2:11" x14ac:dyDescent="0.3">
      <c r="B366" s="23">
        <f ca="1">IF(LoanIsGood,IF(ROW()-ROW(PaymentSchedule3[[#Headers],[Payment Number]])&gt;ScheduledNumberOfPayments,"",ROW()-ROW(PaymentSchedule3[[#Headers],[Payment Number]])),"")</f>
        <v>353</v>
      </c>
      <c r="C366" s="24">
        <f ca="1">IF(PaymentSchedule3[[#This Row],[Payment Number]]&lt;&gt;"",EOMONTH(LoanStartDate,ROW(PaymentSchedule3[[#This Row],[Payment Number]])-ROW(PaymentSchedule3[[#Headers],[Payment Number]])-2)+DAY(LoanStartDate),"")</f>
        <v>56168</v>
      </c>
      <c r="D366" s="25">
        <f ca="1">IF(PaymentSchedule3[[#This Row],[Payment Number]]&lt;&gt;"",IF(ROW()-ROW(PaymentSchedule3[[#Headers],[Beginning
Balance]])=1,LoanAmount,INDEX(PaymentSchedule3[Ending
Balance],ROW()-ROW(PaymentSchedule3[[#Headers],[Beginning
Balance]])-1)),"")</f>
        <v>18591.916135472042</v>
      </c>
      <c r="E366" s="25">
        <f ca="1">IF(PaymentSchedule3[[#This Row],[Payment Number]]&lt;&gt;"",ScheduledPayment,"")</f>
        <v>2387.6169801966716</v>
      </c>
      <c r="F366"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6"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6" s="25">
        <f ca="1">IF(PaymentSchedule3[[#This Row],[Payment Number]]&lt;&gt;"",PaymentSchedule3[[#This Row],[Total
Payment]]-PaymentSchedule3[[#This Row],[Interest]],"")</f>
        <v>2275.2908202115282</v>
      </c>
      <c r="I366" s="25">
        <f ca="1">IF(PaymentSchedule3[[#This Row],[Payment Number]]&lt;&gt;"",PaymentSchedule3[[#This Row],[Beginning
Balance]]*(InterestRate/PaymentsPerYear),"")</f>
        <v>112.32615998514359</v>
      </c>
      <c r="J366" s="25">
        <f ca="1">IF(PaymentSchedule3[[#This Row],[Payment Number]]&lt;&gt;"",IF(PaymentSchedule3[[#This Row],[Scheduled Payment]]+PaymentSchedule3[[#This Row],[Extra
Payment]]&lt;=PaymentSchedule3[[#This Row],[Beginning
Balance]],PaymentSchedule3[[#This Row],[Beginning
Balance]]-PaymentSchedule3[[#This Row],[Principal]],0),"")</f>
        <v>16316.625315260513</v>
      </c>
      <c r="K366" s="25">
        <f ca="1">IF(PaymentSchedule3[[#This Row],[Payment Number]]&lt;&gt;"",SUM(INDEX(PaymentSchedule3[Interest],1,1):PaymentSchedule3[[#This Row],[Interest]]),"")</f>
        <v>509145.41932468535</v>
      </c>
    </row>
    <row r="367" spans="2:11" x14ac:dyDescent="0.3">
      <c r="B367" s="23">
        <f ca="1">IF(LoanIsGood,IF(ROW()-ROW(PaymentSchedule3[[#Headers],[Payment Number]])&gt;ScheduledNumberOfPayments,"",ROW()-ROW(PaymentSchedule3[[#Headers],[Payment Number]])),"")</f>
        <v>354</v>
      </c>
      <c r="C367" s="24">
        <f ca="1">IF(PaymentSchedule3[[#This Row],[Payment Number]]&lt;&gt;"",EOMONTH(LoanStartDate,ROW(PaymentSchedule3[[#This Row],[Payment Number]])-ROW(PaymentSchedule3[[#Headers],[Payment Number]])-2)+DAY(LoanStartDate),"")</f>
        <v>56199</v>
      </c>
      <c r="D367" s="25">
        <f ca="1">IF(PaymentSchedule3[[#This Row],[Payment Number]]&lt;&gt;"",IF(ROW()-ROW(PaymentSchedule3[[#Headers],[Beginning
Balance]])=1,LoanAmount,INDEX(PaymentSchedule3[Ending
Balance],ROW()-ROW(PaymentSchedule3[[#Headers],[Beginning
Balance]])-1)),"")</f>
        <v>16316.625315260513</v>
      </c>
      <c r="E367" s="25">
        <f ca="1">IF(PaymentSchedule3[[#This Row],[Payment Number]]&lt;&gt;"",ScheduledPayment,"")</f>
        <v>2387.6169801966716</v>
      </c>
      <c r="F367"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7"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7" s="25">
        <f ca="1">IF(PaymentSchedule3[[#This Row],[Payment Number]]&lt;&gt;"",PaymentSchedule3[[#This Row],[Total
Payment]]-PaymentSchedule3[[#This Row],[Interest]],"")</f>
        <v>2289.0373689169728</v>
      </c>
      <c r="I367" s="25">
        <f ca="1">IF(PaymentSchedule3[[#This Row],[Payment Number]]&lt;&gt;"",PaymentSchedule3[[#This Row],[Beginning
Balance]]*(InterestRate/PaymentsPerYear),"")</f>
        <v>98.579611279698938</v>
      </c>
      <c r="J367" s="25">
        <f ca="1">IF(PaymentSchedule3[[#This Row],[Payment Number]]&lt;&gt;"",IF(PaymentSchedule3[[#This Row],[Scheduled Payment]]+PaymentSchedule3[[#This Row],[Extra
Payment]]&lt;=PaymentSchedule3[[#This Row],[Beginning
Balance]],PaymentSchedule3[[#This Row],[Beginning
Balance]]-PaymentSchedule3[[#This Row],[Principal]],0),"")</f>
        <v>14027.587946343541</v>
      </c>
      <c r="K367" s="25">
        <f ca="1">IF(PaymentSchedule3[[#This Row],[Payment Number]]&lt;&gt;"",SUM(INDEX(PaymentSchedule3[Interest],1,1):PaymentSchedule3[[#This Row],[Interest]]),"")</f>
        <v>509243.99893596506</v>
      </c>
    </row>
    <row r="368" spans="2:11" x14ac:dyDescent="0.3">
      <c r="B368" s="23">
        <f ca="1">IF(LoanIsGood,IF(ROW()-ROW(PaymentSchedule3[[#Headers],[Payment Number]])&gt;ScheduledNumberOfPayments,"",ROW()-ROW(PaymentSchedule3[[#Headers],[Payment Number]])),"")</f>
        <v>355</v>
      </c>
      <c r="C368" s="24">
        <f ca="1">IF(PaymentSchedule3[[#This Row],[Payment Number]]&lt;&gt;"",EOMONTH(LoanStartDate,ROW(PaymentSchedule3[[#This Row],[Payment Number]])-ROW(PaymentSchedule3[[#Headers],[Payment Number]])-2)+DAY(LoanStartDate),"")</f>
        <v>56229</v>
      </c>
      <c r="D368" s="25">
        <f ca="1">IF(PaymentSchedule3[[#This Row],[Payment Number]]&lt;&gt;"",IF(ROW()-ROW(PaymentSchedule3[[#Headers],[Beginning
Balance]])=1,LoanAmount,INDEX(PaymentSchedule3[Ending
Balance],ROW()-ROW(PaymentSchedule3[[#Headers],[Beginning
Balance]])-1)),"")</f>
        <v>14027.587946343541</v>
      </c>
      <c r="E368" s="25">
        <f ca="1">IF(PaymentSchedule3[[#This Row],[Payment Number]]&lt;&gt;"",ScheduledPayment,"")</f>
        <v>2387.6169801966716</v>
      </c>
      <c r="F368"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8"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8" s="25">
        <f ca="1">IF(PaymentSchedule3[[#This Row],[Payment Number]]&lt;&gt;"",PaymentSchedule3[[#This Row],[Total
Payment]]-PaymentSchedule3[[#This Row],[Interest]],"")</f>
        <v>2302.8669696875127</v>
      </c>
      <c r="I368" s="25">
        <f ca="1">IF(PaymentSchedule3[[#This Row],[Payment Number]]&lt;&gt;"",PaymentSchedule3[[#This Row],[Beginning
Balance]]*(InterestRate/PaymentsPerYear),"")</f>
        <v>84.750010509158898</v>
      </c>
      <c r="J368" s="25">
        <f ca="1">IF(PaymentSchedule3[[#This Row],[Payment Number]]&lt;&gt;"",IF(PaymentSchedule3[[#This Row],[Scheduled Payment]]+PaymentSchedule3[[#This Row],[Extra
Payment]]&lt;=PaymentSchedule3[[#This Row],[Beginning
Balance]],PaymentSchedule3[[#This Row],[Beginning
Balance]]-PaymentSchedule3[[#This Row],[Principal]],0),"")</f>
        <v>11724.720976656028</v>
      </c>
      <c r="K368" s="25">
        <f ca="1">IF(PaymentSchedule3[[#This Row],[Payment Number]]&lt;&gt;"",SUM(INDEX(PaymentSchedule3[Interest],1,1):PaymentSchedule3[[#This Row],[Interest]]),"")</f>
        <v>509328.74894647422</v>
      </c>
    </row>
    <row r="369" spans="2:11" x14ac:dyDescent="0.3">
      <c r="B369" s="23">
        <f ca="1">IF(LoanIsGood,IF(ROW()-ROW(PaymentSchedule3[[#Headers],[Payment Number]])&gt;ScheduledNumberOfPayments,"",ROW()-ROW(PaymentSchedule3[[#Headers],[Payment Number]])),"")</f>
        <v>356</v>
      </c>
      <c r="C369" s="24">
        <f ca="1">IF(PaymentSchedule3[[#This Row],[Payment Number]]&lt;&gt;"",EOMONTH(LoanStartDate,ROW(PaymentSchedule3[[#This Row],[Payment Number]])-ROW(PaymentSchedule3[[#Headers],[Payment Number]])-2)+DAY(LoanStartDate),"")</f>
        <v>56260</v>
      </c>
      <c r="D369" s="25">
        <f ca="1">IF(PaymentSchedule3[[#This Row],[Payment Number]]&lt;&gt;"",IF(ROW()-ROW(PaymentSchedule3[[#Headers],[Beginning
Balance]])=1,LoanAmount,INDEX(PaymentSchedule3[Ending
Balance],ROW()-ROW(PaymentSchedule3[[#Headers],[Beginning
Balance]])-1)),"")</f>
        <v>11724.720976656028</v>
      </c>
      <c r="E369" s="25">
        <f ca="1">IF(PaymentSchedule3[[#This Row],[Payment Number]]&lt;&gt;"",ScheduledPayment,"")</f>
        <v>2387.6169801966716</v>
      </c>
      <c r="F369"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69"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69" s="25">
        <f ca="1">IF(PaymentSchedule3[[#This Row],[Payment Number]]&lt;&gt;"",PaymentSchedule3[[#This Row],[Total
Payment]]-PaymentSchedule3[[#This Row],[Interest]],"")</f>
        <v>2316.7801242960413</v>
      </c>
      <c r="I369" s="25">
        <f ca="1">IF(PaymentSchedule3[[#This Row],[Payment Number]]&lt;&gt;"",PaymentSchedule3[[#This Row],[Beginning
Balance]]*(InterestRate/PaymentsPerYear),"")</f>
        <v>70.836855900630169</v>
      </c>
      <c r="J369" s="25">
        <f ca="1">IF(PaymentSchedule3[[#This Row],[Payment Number]]&lt;&gt;"",IF(PaymentSchedule3[[#This Row],[Scheduled Payment]]+PaymentSchedule3[[#This Row],[Extra
Payment]]&lt;=PaymentSchedule3[[#This Row],[Beginning
Balance]],PaymentSchedule3[[#This Row],[Beginning
Balance]]-PaymentSchedule3[[#This Row],[Principal]],0),"")</f>
        <v>9407.9408523599868</v>
      </c>
      <c r="K369" s="25">
        <f ca="1">IF(PaymentSchedule3[[#This Row],[Payment Number]]&lt;&gt;"",SUM(INDEX(PaymentSchedule3[Interest],1,1):PaymentSchedule3[[#This Row],[Interest]]),"")</f>
        <v>509399.58580237487</v>
      </c>
    </row>
    <row r="370" spans="2:11" x14ac:dyDescent="0.3">
      <c r="B370" s="23">
        <f ca="1">IF(LoanIsGood,IF(ROW()-ROW(PaymentSchedule3[[#Headers],[Payment Number]])&gt;ScheduledNumberOfPayments,"",ROW()-ROW(PaymentSchedule3[[#Headers],[Payment Number]])),"")</f>
        <v>357</v>
      </c>
      <c r="C370" s="24">
        <f ca="1">IF(PaymentSchedule3[[#This Row],[Payment Number]]&lt;&gt;"",EOMONTH(LoanStartDate,ROW(PaymentSchedule3[[#This Row],[Payment Number]])-ROW(PaymentSchedule3[[#Headers],[Payment Number]])-2)+DAY(LoanStartDate),"")</f>
        <v>56291</v>
      </c>
      <c r="D370" s="25">
        <f ca="1">IF(PaymentSchedule3[[#This Row],[Payment Number]]&lt;&gt;"",IF(ROW()-ROW(PaymentSchedule3[[#Headers],[Beginning
Balance]])=1,LoanAmount,INDEX(PaymentSchedule3[Ending
Balance],ROW()-ROW(PaymentSchedule3[[#Headers],[Beginning
Balance]])-1)),"")</f>
        <v>9407.9408523599868</v>
      </c>
      <c r="E370" s="25">
        <f ca="1">IF(PaymentSchedule3[[#This Row],[Payment Number]]&lt;&gt;"",ScheduledPayment,"")</f>
        <v>2387.6169801966716</v>
      </c>
      <c r="F370"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0"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70" s="25">
        <f ca="1">IF(PaymentSchedule3[[#This Row],[Payment Number]]&lt;&gt;"",PaymentSchedule3[[#This Row],[Total
Payment]]-PaymentSchedule3[[#This Row],[Interest]],"")</f>
        <v>2330.7773375469969</v>
      </c>
      <c r="I370" s="25">
        <f ca="1">IF(PaymentSchedule3[[#This Row],[Payment Number]]&lt;&gt;"",PaymentSchedule3[[#This Row],[Beginning
Balance]]*(InterestRate/PaymentsPerYear),"")</f>
        <v>56.839642649674921</v>
      </c>
      <c r="J370" s="25">
        <f ca="1">IF(PaymentSchedule3[[#This Row],[Payment Number]]&lt;&gt;"",IF(PaymentSchedule3[[#This Row],[Scheduled Payment]]+PaymentSchedule3[[#This Row],[Extra
Payment]]&lt;=PaymentSchedule3[[#This Row],[Beginning
Balance]],PaymentSchedule3[[#This Row],[Beginning
Balance]]-PaymentSchedule3[[#This Row],[Principal]],0),"")</f>
        <v>7077.1635148129899</v>
      </c>
      <c r="K370" s="25">
        <f ca="1">IF(PaymentSchedule3[[#This Row],[Payment Number]]&lt;&gt;"",SUM(INDEX(PaymentSchedule3[Interest],1,1):PaymentSchedule3[[#This Row],[Interest]]),"")</f>
        <v>509456.42544502456</v>
      </c>
    </row>
    <row r="371" spans="2:11" x14ac:dyDescent="0.3">
      <c r="B371" s="23">
        <f ca="1">IF(LoanIsGood,IF(ROW()-ROW(PaymentSchedule3[[#Headers],[Payment Number]])&gt;ScheduledNumberOfPayments,"",ROW()-ROW(PaymentSchedule3[[#Headers],[Payment Number]])),"")</f>
        <v>358</v>
      </c>
      <c r="C371" s="24">
        <f ca="1">IF(PaymentSchedule3[[#This Row],[Payment Number]]&lt;&gt;"",EOMONTH(LoanStartDate,ROW(PaymentSchedule3[[#This Row],[Payment Number]])-ROW(PaymentSchedule3[[#Headers],[Payment Number]])-2)+DAY(LoanStartDate),"")</f>
        <v>56319</v>
      </c>
      <c r="D371" s="25">
        <f ca="1">IF(PaymentSchedule3[[#This Row],[Payment Number]]&lt;&gt;"",IF(ROW()-ROW(PaymentSchedule3[[#Headers],[Beginning
Balance]])=1,LoanAmount,INDEX(PaymentSchedule3[Ending
Balance],ROW()-ROW(PaymentSchedule3[[#Headers],[Beginning
Balance]])-1)),"")</f>
        <v>7077.1635148129899</v>
      </c>
      <c r="E371" s="25">
        <f ca="1">IF(PaymentSchedule3[[#This Row],[Payment Number]]&lt;&gt;"",ScheduledPayment,"")</f>
        <v>2387.6169801966716</v>
      </c>
      <c r="F371"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1"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71" s="25">
        <f ca="1">IF(PaymentSchedule3[[#This Row],[Payment Number]]&lt;&gt;"",PaymentSchedule3[[#This Row],[Total
Payment]]-PaymentSchedule3[[#This Row],[Interest]],"")</f>
        <v>2344.8591172946767</v>
      </c>
      <c r="I371" s="25">
        <f ca="1">IF(PaymentSchedule3[[#This Row],[Payment Number]]&lt;&gt;"",PaymentSchedule3[[#This Row],[Beginning
Balance]]*(InterestRate/PaymentsPerYear),"")</f>
        <v>42.757862901995146</v>
      </c>
      <c r="J371" s="25">
        <f ca="1">IF(PaymentSchedule3[[#This Row],[Payment Number]]&lt;&gt;"",IF(PaymentSchedule3[[#This Row],[Scheduled Payment]]+PaymentSchedule3[[#This Row],[Extra
Payment]]&lt;=PaymentSchedule3[[#This Row],[Beginning
Balance]],PaymentSchedule3[[#This Row],[Beginning
Balance]]-PaymentSchedule3[[#This Row],[Principal]],0),"")</f>
        <v>4732.3043975183136</v>
      </c>
      <c r="K371" s="25">
        <f ca="1">IF(PaymentSchedule3[[#This Row],[Payment Number]]&lt;&gt;"",SUM(INDEX(PaymentSchedule3[Interest],1,1):PaymentSchedule3[[#This Row],[Interest]]),"")</f>
        <v>509499.18330792658</v>
      </c>
    </row>
    <row r="372" spans="2:11" x14ac:dyDescent="0.3">
      <c r="B372" s="23">
        <f ca="1">IF(LoanIsGood,IF(ROW()-ROW(PaymentSchedule3[[#Headers],[Payment Number]])&gt;ScheduledNumberOfPayments,"",ROW()-ROW(PaymentSchedule3[[#Headers],[Payment Number]])),"")</f>
        <v>359</v>
      </c>
      <c r="C372" s="24">
        <f ca="1">IF(PaymentSchedule3[[#This Row],[Payment Number]]&lt;&gt;"",EOMONTH(LoanStartDate,ROW(PaymentSchedule3[[#This Row],[Payment Number]])-ROW(PaymentSchedule3[[#Headers],[Payment Number]])-2)+DAY(LoanStartDate),"")</f>
        <v>56350</v>
      </c>
      <c r="D372" s="25">
        <f ca="1">IF(PaymentSchedule3[[#This Row],[Payment Number]]&lt;&gt;"",IF(ROW()-ROW(PaymentSchedule3[[#Headers],[Beginning
Balance]])=1,LoanAmount,INDEX(PaymentSchedule3[Ending
Balance],ROW()-ROW(PaymentSchedule3[[#Headers],[Beginning
Balance]])-1)),"")</f>
        <v>4732.3043975183136</v>
      </c>
      <c r="E372" s="25">
        <f ca="1">IF(PaymentSchedule3[[#This Row],[Payment Number]]&lt;&gt;"",ScheduledPayment,"")</f>
        <v>2387.6169801966716</v>
      </c>
      <c r="F372"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2"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2387.6169801966716</v>
      </c>
      <c r="H372" s="25">
        <f ca="1">IF(PaymentSchedule3[[#This Row],[Payment Number]]&lt;&gt;"",PaymentSchedule3[[#This Row],[Total
Payment]]-PaymentSchedule3[[#This Row],[Interest]],"")</f>
        <v>2359.0259744616651</v>
      </c>
      <c r="I372" s="25">
        <f ca="1">IF(PaymentSchedule3[[#This Row],[Payment Number]]&lt;&gt;"",PaymentSchedule3[[#This Row],[Beginning
Balance]]*(InterestRate/PaymentsPerYear),"")</f>
        <v>28.591005735006476</v>
      </c>
      <c r="J372" s="25">
        <f ca="1">IF(PaymentSchedule3[[#This Row],[Payment Number]]&lt;&gt;"",IF(PaymentSchedule3[[#This Row],[Scheduled Payment]]+PaymentSchedule3[[#This Row],[Extra
Payment]]&lt;=PaymentSchedule3[[#This Row],[Beginning
Balance]],PaymentSchedule3[[#This Row],[Beginning
Balance]]-PaymentSchedule3[[#This Row],[Principal]],0),"")</f>
        <v>2373.2784230566485</v>
      </c>
      <c r="K372" s="25">
        <f ca="1">IF(PaymentSchedule3[[#This Row],[Payment Number]]&lt;&gt;"",SUM(INDEX(PaymentSchedule3[Interest],1,1):PaymentSchedule3[[#This Row],[Interest]]),"")</f>
        <v>509527.77431366156</v>
      </c>
    </row>
    <row r="373" spans="2:11" x14ac:dyDescent="0.3">
      <c r="B373" s="23">
        <f ca="1">IF(LoanIsGood,IF(ROW()-ROW(PaymentSchedule3[[#Headers],[Payment Number]])&gt;ScheduledNumberOfPayments,"",ROW()-ROW(PaymentSchedule3[[#Headers],[Payment Number]])),"")</f>
        <v>360</v>
      </c>
      <c r="C373" s="24">
        <f ca="1">IF(PaymentSchedule3[[#This Row],[Payment Number]]&lt;&gt;"",EOMONTH(LoanStartDate,ROW(PaymentSchedule3[[#This Row],[Payment Number]])-ROW(PaymentSchedule3[[#Headers],[Payment Number]])-2)+DAY(LoanStartDate),"")</f>
        <v>56380</v>
      </c>
      <c r="D373" s="25">
        <f ca="1">IF(PaymentSchedule3[[#This Row],[Payment Number]]&lt;&gt;"",IF(ROW()-ROW(PaymentSchedule3[[#Headers],[Beginning
Balance]])=1,LoanAmount,INDEX(PaymentSchedule3[Ending
Balance],ROW()-ROW(PaymentSchedule3[[#Headers],[Beginning
Balance]])-1)),"")</f>
        <v>2373.2784230566485</v>
      </c>
      <c r="E373" s="25">
        <f ca="1">IF(PaymentSchedule3[[#This Row],[Payment Number]]&lt;&gt;"",ScheduledPayment,"")</f>
        <v>2387.6169801966716</v>
      </c>
      <c r="F373" s="25">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0</v>
      </c>
      <c r="G373" s="25">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2373.2784230566485</v>
      </c>
      <c r="H373" s="25">
        <f ca="1">IF(PaymentSchedule3[[#This Row],[Payment Number]]&lt;&gt;"",PaymentSchedule3[[#This Row],[Total
Payment]]-PaymentSchedule3[[#This Row],[Interest]],"")</f>
        <v>2358.939865917348</v>
      </c>
      <c r="I373" s="25">
        <f ca="1">IF(PaymentSchedule3[[#This Row],[Payment Number]]&lt;&gt;"",PaymentSchedule3[[#This Row],[Beginning
Balance]]*(InterestRate/PaymentsPerYear),"")</f>
        <v>14.338557139300585</v>
      </c>
      <c r="J373" s="25">
        <f ca="1">IF(PaymentSchedule3[[#This Row],[Payment Number]]&lt;&gt;"",IF(PaymentSchedule3[[#This Row],[Scheduled Payment]]+PaymentSchedule3[[#This Row],[Extra
Payment]]&lt;=PaymentSchedule3[[#This Row],[Beginning
Balance]],PaymentSchedule3[[#This Row],[Beginning
Balance]]-PaymentSchedule3[[#This Row],[Principal]],0),"")</f>
        <v>0</v>
      </c>
      <c r="K373" s="25">
        <f ca="1">IF(PaymentSchedule3[[#This Row],[Payment Number]]&lt;&gt;"",SUM(INDEX(PaymentSchedule3[Interest],1,1):PaymentSchedule3[[#This Row],[Interest]]),"")</f>
        <v>509542.11287080083</v>
      </c>
    </row>
    <row r="374" spans="2:11" x14ac:dyDescent="0.3">
      <c r="B374" s="23" t="str">
        <f ca="1">IF(LoanIsGood,IF(ROW()-ROW(PaymentSchedule3[[#Headers],[Payment Number]])&gt;ScheduledNumberOfPayments,"",ROW()-ROW(PaymentSchedule3[[#Headers],[Payment Number]])),"")</f>
        <v/>
      </c>
      <c r="C374" s="24" t="str">
        <f ca="1">IF(PaymentSchedule3[[#This Row],[Payment Number]]&lt;&gt;"",EOMONTH(LoanStartDate,ROW(PaymentSchedule3[[#This Row],[Payment Number]])-ROW(PaymentSchedule3[[#Headers],[Payment Number]])-2)+DAY(LoanStartDate),"")</f>
        <v/>
      </c>
      <c r="D374" s="25" t="str">
        <f ca="1">IF(PaymentSchedule3[[#This Row],[Payment Number]]&lt;&gt;"",IF(ROW()-ROW(PaymentSchedule3[[#Headers],[Beginning
Balance]])=1,LoanAmount,INDEX(PaymentSchedule3[Ending
Balance],ROW()-ROW(PaymentSchedule3[[#Headers],[Beginning
Balance]])-1)),"")</f>
        <v/>
      </c>
      <c r="E374" s="25" t="str">
        <f ca="1">IF(PaymentSchedule3[[#This Row],[Payment Number]]&lt;&gt;"",ScheduledPayment,"")</f>
        <v/>
      </c>
      <c r="F374" s="25" t="str">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374" s="25" t="str">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374" s="25" t="str">
        <f ca="1">IF(PaymentSchedule3[[#This Row],[Payment Number]]&lt;&gt;"",PaymentSchedule3[[#This Row],[Total
Payment]]-PaymentSchedule3[[#This Row],[Interest]],"")</f>
        <v/>
      </c>
      <c r="I374" s="25" t="str">
        <f ca="1">IF(PaymentSchedule3[[#This Row],[Payment Number]]&lt;&gt;"",PaymentSchedule3[[#This Row],[Beginning
Balance]]*(InterestRate/PaymentsPerYear),"")</f>
        <v/>
      </c>
      <c r="J374" s="25" t="str">
        <f ca="1">IF(PaymentSchedule3[[#This Row],[Payment Number]]&lt;&gt;"",IF(PaymentSchedule3[[#This Row],[Scheduled Payment]]+PaymentSchedule3[[#This Row],[Extra
Payment]]&lt;=PaymentSchedule3[[#This Row],[Beginning
Balance]],PaymentSchedule3[[#This Row],[Beginning
Balance]]-PaymentSchedule3[[#This Row],[Principal]],0),"")</f>
        <v/>
      </c>
      <c r="K374" s="25" t="str">
        <f ca="1">IF(PaymentSchedule3[[#This Row],[Payment Number]]&lt;&gt;"",SUM(INDEX(PaymentSchedule3[Interest],1,1):PaymentSchedule3[[#This Row],[Interest]]),"")</f>
        <v/>
      </c>
    </row>
    <row r="375" spans="2:11" x14ac:dyDescent="0.3">
      <c r="B375" s="23" t="str">
        <f ca="1">IF(LoanIsGood,IF(ROW()-ROW(PaymentSchedule3[[#Headers],[Payment Number]])&gt;ScheduledNumberOfPayments,"",ROW()-ROW(PaymentSchedule3[[#Headers],[Payment Number]])),"")</f>
        <v/>
      </c>
      <c r="C375" s="24" t="str">
        <f ca="1">IF(PaymentSchedule3[[#This Row],[Payment Number]]&lt;&gt;"",EOMONTH(LoanStartDate,ROW(PaymentSchedule3[[#This Row],[Payment Number]])-ROW(PaymentSchedule3[[#Headers],[Payment Number]])-2)+DAY(LoanStartDate),"")</f>
        <v/>
      </c>
      <c r="D375" s="25" t="str">
        <f ca="1">IF(PaymentSchedule3[[#This Row],[Payment Number]]&lt;&gt;"",IF(ROW()-ROW(PaymentSchedule3[[#Headers],[Beginning
Balance]])=1,LoanAmount,INDEX(PaymentSchedule3[Ending
Balance],ROW()-ROW(PaymentSchedule3[[#Headers],[Beginning
Balance]])-1)),"")</f>
        <v/>
      </c>
      <c r="E375" s="25" t="str">
        <f ca="1">IF(PaymentSchedule3[[#This Row],[Payment Number]]&lt;&gt;"",ScheduledPayment,"")</f>
        <v/>
      </c>
      <c r="F375" s="25" t="str">
        <f ca="1">IF(PaymentSchedule3[[#This Row],[Payment Number]]&lt;&gt;"",IF(PaymentSchedule3[[#This Row],[Scheduled Payment]]+ExtraPayments&lt;PaymentSchedule3[[#This Row],[Beginning
Balance]],ExtraPayments,IF(PaymentSchedule3[[#This Row],[Beginning
Balance]]-PaymentSchedule3[[#This Row],[Scheduled Payment]]&gt;0,PaymentSchedule3[[#This Row],[Beginning
Balance]]-PaymentSchedule3[[#This Row],[Scheduled Payment]],0)),"")</f>
        <v/>
      </c>
      <c r="G375" s="25" t="str">
        <f ca="1">IF(PaymentSchedule3[[#This Row],[Payment Number]]&lt;&gt;"",IF(PaymentSchedule3[[#This Row],[Scheduled Payment]]+PaymentSchedule3[[#This Row],[Extra
Payment]]&lt;=PaymentSchedule3[[#This Row],[Beginning
Balance]],PaymentSchedule3[[#This Row],[Scheduled Payment]]+PaymentSchedule3[[#This Row],[Extra
Payment]],PaymentSchedule3[[#This Row],[Beginning
Balance]]),"")</f>
        <v/>
      </c>
      <c r="H375" s="25" t="str">
        <f ca="1">IF(PaymentSchedule3[[#This Row],[Payment Number]]&lt;&gt;"",PaymentSchedule3[[#This Row],[Total
Payment]]-PaymentSchedule3[[#This Row],[Interest]],"")</f>
        <v/>
      </c>
      <c r="I375" s="25" t="str">
        <f ca="1">IF(PaymentSchedule3[[#This Row],[Payment Number]]&lt;&gt;"",PaymentSchedule3[[#This Row],[Beginning
Balance]]*(InterestRate/PaymentsPerYear),"")</f>
        <v/>
      </c>
      <c r="J375" s="25" t="str">
        <f ca="1">IF(PaymentSchedule3[[#This Row],[Payment Number]]&lt;&gt;"",IF(PaymentSchedule3[[#This Row],[Scheduled Payment]]+PaymentSchedule3[[#This Row],[Extra
Payment]]&lt;=PaymentSchedule3[[#This Row],[Beginning
Balance]],PaymentSchedule3[[#This Row],[Beginning
Balance]]-PaymentSchedule3[[#This Row],[Principal]],0),"")</f>
        <v/>
      </c>
      <c r="K375" s="25" t="str">
        <f ca="1">IF(PaymentSchedule3[[#This Row],[Payment Number]]&lt;&gt;"",SUM(INDEX(PaymentSchedule3[Interest],1,1):PaymentSchedule3[[#This Row],[Interest]]),"")</f>
        <v/>
      </c>
    </row>
  </sheetData>
  <sheetProtection algorithmName="SHA-512" hashValue="K3NLXuEtmUa+bQRaN0IOSlTWC78uWy7dcl4vTE3arPBsQyFwTTiXJgL0/AbIWyNuaTCORH2zLI1Yw9TxTaxvzg==" saltValue="lMNiajRyWYfbFZ0HuOohIQ==" spinCount="100000" sheet="1" objects="1" scenarios="1"/>
  <mergeCells count="20">
    <mergeCell ref="B9:C9"/>
    <mergeCell ref="B11:D11"/>
    <mergeCell ref="G9:H9"/>
    <mergeCell ref="I9:K9"/>
    <mergeCell ref="I10:K10"/>
    <mergeCell ref="G11:H11"/>
    <mergeCell ref="I11:K11"/>
    <mergeCell ref="B7:D7"/>
    <mergeCell ref="G7:H7"/>
    <mergeCell ref="I7:K7"/>
    <mergeCell ref="G8:H8"/>
    <mergeCell ref="I8:K8"/>
    <mergeCell ref="B8:D8"/>
    <mergeCell ref="G5:H5"/>
    <mergeCell ref="I5:K5"/>
    <mergeCell ref="G6:H6"/>
    <mergeCell ref="I6:K6"/>
    <mergeCell ref="C2:K2"/>
    <mergeCell ref="B5:D5"/>
    <mergeCell ref="B6:D6"/>
  </mergeCells>
  <conditionalFormatting sqref="B14:K375">
    <cfRule type="expression" dxfId="12" priority="1">
      <formula>($B14="")+(($D14=0)*($F14=0))</formula>
    </cfRule>
  </conditionalFormatting>
  <dataValidations count="25">
    <dataValidation allowBlank="1" showInputMessage="1" showErrorMessage="1" prompt="Loan Summary fields from I5 to I9 are automatically adjusted based on the values entered in cells E5 to E9. Enter the Lender's name in I11._x000a__x000a_Description of each value can be found in column I." sqref="G4" xr:uid="{E66544D4-4148-4B97-A686-62F3E8BA6D42}"/>
    <dataValidation allowBlank="1" showInputMessage="1" showErrorMessage="1" prompt="Enter loan values in cells E5 to E9, and the extra payment in cell E11. Description of each loan value is in column E. Payment Schedule table starting in cell G4 will automatically update." sqref="B4" xr:uid="{2FD12715-0647-4D3F-BB88-EB7F855973B1}"/>
    <dataValidation allowBlank="1" showInputMessage="1" showErrorMessage="1" prompt="This workbook produces a loan amortization schedule that calculates total interest and total payments &amp; includes the option for extra payments._x000a__x000a_Go to cell C2 for additional information about this template._x000a_" sqref="A1" xr:uid="{57860951-A0B7-4EFC-AB61-94C0CE82DCA7}"/>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C2:K2" xr:uid="{3A360FA2-AC80-4D4C-A182-5949DE831937}"/>
    <dataValidation allowBlank="1" showInputMessage="1" showErrorMessage="1" prompt="Enter Loan Amount in this cell" sqref="E5" xr:uid="{A8FD2C6B-0619-4385-9C1B-BB9E89167B95}"/>
    <dataValidation allowBlank="1" showInputMessage="1" showErrorMessage="1" prompt="Enter interest rate to be paid annually in this cell" sqref="E6" xr:uid="{D4A44E56-2418-495E-9BCA-5BCFE5E96E74}"/>
    <dataValidation allowBlank="1" showInputMessage="1" showErrorMessage="1" prompt="Enter loan period in years in this cell" sqref="E7" xr:uid="{0397BDA9-9E78-4890-A6B2-28C2D9B7E9A3}"/>
    <dataValidation allowBlank="1" showInputMessage="1" showErrorMessage="1" prompt="Enter the number of payments to be made in a year in this cell" sqref="E8" xr:uid="{6080DD76-3A8E-4C1B-8CE2-553DA61F4240}"/>
    <dataValidation allowBlank="1" showInputMessage="1" showErrorMessage="1" prompt="Enter the start date of loan in this cell" sqref="E9" xr:uid="{FC353A50-0E99-4F96-BF86-15FD00A62E5B}"/>
    <dataValidation allowBlank="1" showInputMessage="1" showErrorMessage="1" prompt="Enter the amount of extra payment in this cell" sqref="E11" xr:uid="{E7BD987D-D7CA-4DBA-99CC-298791804D75}"/>
    <dataValidation allowBlank="1" showInputMessage="1" showErrorMessage="1" prompt="Automatically calculated total interest" sqref="I9" xr:uid="{B6A179D9-4B93-4C7C-810A-F12B7FC8EE4B}"/>
    <dataValidation allowBlank="1" showInputMessage="1" showErrorMessage="1" prompt="Automatically updated scheduled payment amount" sqref="I5" xr:uid="{F2DD4887-845B-455E-BAEB-57AC02B59F2F}"/>
    <dataValidation allowBlank="1" showInputMessage="1" showErrorMessage="1" prompt="Automatically updated scheduled number of payments" sqref="I6" xr:uid="{9388C63A-AFBA-4C17-AB2F-0D309F8CB992}"/>
    <dataValidation allowBlank="1" showInputMessage="1" showErrorMessage="1" prompt="Automatically updated actual number of payments" sqref="I7" xr:uid="{600C4CB5-0E5A-4CEE-BC4A-375DABB3F52A}"/>
    <dataValidation allowBlank="1" showInputMessage="1" showErrorMessage="1" prompt="Automatically updated total early payments" sqref="I8" xr:uid="{3883319A-5381-4298-8BB5-27FAE8093B26}"/>
    <dataValidation allowBlank="1" showInputMessage="1" showErrorMessage="1" prompt="Payment number is automatically updated in this column" sqref="B13" xr:uid="{7CD0DAF3-B8F5-4728-9D9A-857ACB918E70}"/>
    <dataValidation allowBlank="1" showInputMessage="1" showErrorMessage="1" prompt="Payment date is automatically updated in this column" sqref="C13" xr:uid="{325B9C27-C801-4377-A9FF-2E51A0980179}"/>
    <dataValidation allowBlank="1" showInputMessage="1" showErrorMessage="1" prompt="Beginning balance is automatically updated in this column" sqref="D13" xr:uid="{2E0465BF-3149-4770-AEF5-578C39256318}"/>
    <dataValidation allowBlank="1" showInputMessage="1" showErrorMessage="1" prompt="Scheduled payment is automatically updated in this column" sqref="E13" xr:uid="{AC827F85-C60C-4034-B766-81C176B18CAB}"/>
    <dataValidation allowBlank="1" showInputMessage="1" showErrorMessage="1" prompt="Extra payment is automatically updated in this column" sqref="F13" xr:uid="{9319C4EA-8B01-41B2-8CEC-4840852D26BD}"/>
    <dataValidation allowBlank="1" showInputMessage="1" showErrorMessage="1" prompt="Total payment is automatically updated in this column" sqref="G13" xr:uid="{879F7196-49CB-4D6D-AF3E-A97252EA5D0E}"/>
    <dataValidation allowBlank="1" showInputMessage="1" showErrorMessage="1" prompt="Principal is automatically updated in this column" sqref="H13" xr:uid="{06FC0B54-F6BE-4962-88AF-58C6CF8BFA28}"/>
    <dataValidation allowBlank="1" showInputMessage="1" showErrorMessage="1" prompt="Interest is automatically updated in this column" sqref="I13" xr:uid="{46B3C13B-2AD3-488F-B3D3-CDE3BD29EE21}"/>
    <dataValidation allowBlank="1" showInputMessage="1" showErrorMessage="1" prompt="Ending balance is automatically updated in this column" sqref="J13" xr:uid="{9E9FE9EC-8AAF-4F4C-8DD9-0DD4E618C907}"/>
    <dataValidation allowBlank="1" showInputMessage="1" showErrorMessage="1" prompt="Cumulative interest is automatically updated in this column" sqref="K13" xr:uid="{39FCF65A-8BF2-4A41-956A-9264E8590921}"/>
  </dataValidations>
  <printOptions horizontalCentered="1"/>
  <pageMargins left="0.4" right="0.4" top="0.4" bottom="0.5" header="0.3" footer="0.3"/>
  <pageSetup scale="79" fitToHeight="0"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23</vt:i4>
      </vt:variant>
    </vt:vector>
  </HeadingPairs>
  <TitlesOfParts>
    <vt:vector size="26" baseType="lpstr">
      <vt:lpstr>Dashboard</vt:lpstr>
      <vt:lpstr>Data</vt:lpstr>
      <vt:lpstr>Loan Schedule</vt:lpstr>
      <vt:lpstr>AppreciationRate</vt:lpstr>
      <vt:lpstr>'Loan Schedule'!ColumnTitle1</vt:lpstr>
      <vt:lpstr>DownPaymentDollars</vt:lpstr>
      <vt:lpstr>DownPercent</vt:lpstr>
      <vt:lpstr>'Loan Schedule'!End_Bal</vt:lpstr>
      <vt:lpstr>'Loan Schedule'!ExtraPayments</vt:lpstr>
      <vt:lpstr>InitLoanAmt</vt:lpstr>
      <vt:lpstr>'Loan Schedule'!InterestRate</vt:lpstr>
      <vt:lpstr>'Loan Schedule'!LenderName</vt:lpstr>
      <vt:lpstr>'Loan Schedule'!LoanAmount</vt:lpstr>
      <vt:lpstr>'Loan Schedule'!LoanPeriod</vt:lpstr>
      <vt:lpstr>'Loan Schedule'!LoanStartDate</vt:lpstr>
      <vt:lpstr>LoanTerm</vt:lpstr>
      <vt:lpstr>NoteRate</vt:lpstr>
      <vt:lpstr>'Loan Schedule'!PaymentsPerYear</vt:lpstr>
      <vt:lpstr>'Loan Schedule'!Print_Titles</vt:lpstr>
      <vt:lpstr>'Loan Schedule'!RowTitleRegion1..E9</vt:lpstr>
      <vt:lpstr>'Loan Schedule'!RowTitleRegion2..I7</vt:lpstr>
      <vt:lpstr>'Loan Schedule'!RowTitleRegion3..E9</vt:lpstr>
      <vt:lpstr>'Loan Schedule'!RowTitleRegion4..H9</vt:lpstr>
      <vt:lpstr>SalePrice</vt:lpstr>
      <vt:lpstr>'Loan Schedule'!ScheduledNumberOfPayments</vt:lpstr>
      <vt:lpstr>'Loan Schedule'!ScheduledPayment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Mullen</dc:creator>
  <cp:lastModifiedBy>Dan Mullen</cp:lastModifiedBy>
  <cp:lastPrinted>2024-04-25T15:58:03Z</cp:lastPrinted>
  <dcterms:created xsi:type="dcterms:W3CDTF">2023-06-16T12:21:54Z</dcterms:created>
  <dcterms:modified xsi:type="dcterms:W3CDTF">2024-06-11T15:28:25Z</dcterms:modified>
</cp:coreProperties>
</file>