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d.docs.live.net/d6948eb64de24e66/Documents/Dan's Spreadsheets/Investment Pro-Forma/"/>
    </mc:Choice>
  </mc:AlternateContent>
  <xr:revisionPtr revIDLastSave="278" documentId="8_{A165ECDF-BA14-42FB-8214-2456B7FB1484}" xr6:coauthVersionLast="47" xr6:coauthVersionMax="47" xr10:uidLastSave="{E2580694-35CB-409B-A2DF-DCDDC7D60091}"/>
  <bookViews>
    <workbookView xWindow="-120" yWindow="-120" windowWidth="29040" windowHeight="15720" tabRatio="740" xr2:uid="{556E2C5A-3850-48DD-8F2B-CE1145443CFA}"/>
  </bookViews>
  <sheets>
    <sheet name="Client Dashboard" sheetId="16" r:id="rId1"/>
    <sheet name="Cover" sheetId="19" state="hidden" r:id="rId2"/>
    <sheet name="Total Investment Value" sheetId="23" state="hidden" r:id="rId3"/>
    <sheet name="Income &amp; Expenses" sheetId="24" state="hidden" r:id="rId4"/>
    <sheet name="Table" sheetId="26" r:id="rId5"/>
    <sheet name="Advanced" sheetId="31" r:id="rId6"/>
    <sheet name="Advanced Table" sheetId="6" r:id="rId7"/>
    <sheet name="Rev &amp; NOE" sheetId="35" r:id="rId8"/>
    <sheet name="Rev, Combined Exp, &amp; NOE" sheetId="33" r:id="rId9"/>
    <sheet name="Rev &amp; Combined Exp" sheetId="34" r:id="rId10"/>
    <sheet name="Loan &amp; Taxes" sheetId="25" state="hidden" r:id="rId11"/>
    <sheet name="Notes for Update" sheetId="32" state="hidden" r:id="rId12"/>
    <sheet name="Descriptions &amp; Disclosures" sheetId="27" state="hidden" r:id="rId13"/>
    <sheet name="Version Notes" sheetId="29" state="hidden" r:id="rId14"/>
    <sheet name="Annual Increase in Wealth" sheetId="13" state="hidden" r:id="rId15"/>
    <sheet name="1st Bank Loan Eligibility" sheetId="5" state="hidden" r:id="rId16"/>
  </sheets>
  <definedNames>
    <definedName name="Additional_Acquisition_Costs">'Client Dashboard'!$C$16</definedName>
    <definedName name="Additional_Equity">'Client Dashboard'!$C$12</definedName>
    <definedName name="Annual_Appreciation_Percentage">'Client Dashboard'!$C$41</definedName>
    <definedName name="Annual_Inflation_Percentage">'Client Dashboard'!$C$42</definedName>
    <definedName name="Annual_Insurance">'Client Dashboard'!$C$29</definedName>
    <definedName name="Annual_Maintenance_Reserves_Budget">'Advanced Table'!$O$17</definedName>
    <definedName name="Annual_Maintenance_Reserves_Budget_Percentage">'Client Dashboard'!$C$32</definedName>
    <definedName name="Annual_Property_Tax">'Client Dashboard'!$C$28</definedName>
    <definedName name="Annual_Rent_Increase_Percentage">'Client Dashboard'!$C$43</definedName>
    <definedName name="APR">'Advanced Table'!$L$13</definedName>
    <definedName name="Average_Tenant_Turnover_Months">Advanced!$D$18</definedName>
    <definedName name="Cap_Rate">'Advanced Table'!$S$21</definedName>
    <definedName name="Cash_on_Cash_Return">'Advanced Table'!$S$22</definedName>
    <definedName name="Closing_Costs_Fees">'Client Dashboard'!$C$13</definedName>
    <definedName name="Closing_Costs_Points">'Client Dashboard'!$C$14</definedName>
    <definedName name="Closing_Costs_Total">'Client Dashboard'!$C$15</definedName>
    <definedName name="Comparison_Rate_of_Return">'Client Dashboard'!$C$45</definedName>
    <definedName name="Cost_of_Sale_Percentage">Advanced!$D$9</definedName>
    <definedName name="Down_Payment_Dollars">'Client Dashboard'!$C$10</definedName>
    <definedName name="Down_Payment_Percentage">'Client Dashboard'!$C$9</definedName>
    <definedName name="Hypothetical_Payment">'Advanced Table'!$AB$12</definedName>
    <definedName name="Improvement_Costs">'Client Dashboard'!$C$11</definedName>
    <definedName name="Initial_Equity">'Advanced Table'!$D$20</definedName>
    <definedName name="Initial_Loan_Amount">'Advanced Table'!$D$19</definedName>
    <definedName name="Lease_Up_Fee_Dollars">Advanced!$D$17</definedName>
    <definedName name="Lease_Up_Fee_Percentage">Advanced!$D$16</definedName>
    <definedName name="Loan_Rate">'Client Dashboard'!$C$23</definedName>
    <definedName name="Loan_Term">'Client Dashboard'!$C$26</definedName>
    <definedName name="Loan_Type">'Client Dashboard'!$C$25</definedName>
    <definedName name="Management_Fee_Y_or_N">'Client Dashboard'!$C$35</definedName>
    <definedName name="Monthly_Expenses_Excluding_Principal_and_Interest">'Advanced Table'!$O$14</definedName>
    <definedName name="Monthly_HOA">'Client Dashboard'!$C$30</definedName>
    <definedName name="Monthly_Management_Fee_Dollars">Advanced!$D$15</definedName>
    <definedName name="Monthly_Management_Fee_Percentage">Advanced!$D$14</definedName>
    <definedName name="Monthly_Rent">'Client Dashboard'!$C$20</definedName>
    <definedName name="Monthly_Utilities">'Client Dashboard'!$C$31</definedName>
    <definedName name="Net_Income_Toward_Loan">'Client Dashboard'!$C$22</definedName>
    <definedName name="NOI">'Advanced Table'!$S$20</definedName>
    <definedName name="Other_Fixed_Monthly_Cost">'Client Dashboard'!$C$33</definedName>
    <definedName name="Other_Monthly_Cost_Months">'Client Dashboard'!$C$34</definedName>
    <definedName name="PI_Payment">'Advanced Table'!$O$12</definedName>
    <definedName name="Rent_Occupancy">'Client Dashboard'!$C$21</definedName>
    <definedName name="Sale_Price">'Client Dashboard'!$C$8</definedName>
    <definedName name="tax_rate">'Client Dashboard'!$C$44</definedName>
    <definedName name="Time_Value_of_Money_Percentage">Advanced!$D$11</definedName>
    <definedName name="Total_Initial_Investment">'Client Dashboard'!$C$17</definedName>
    <definedName name="Total_Monthly_Mgmt_Fee">'Advanced Table'!$O$13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6" i="16" l="1"/>
  <c r="O13" i="6"/>
  <c r="O17" i="6"/>
  <c r="F28" i="6" s="1"/>
  <c r="F29" i="6" s="1"/>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H63" i="6"/>
  <c r="H62" i="6"/>
  <c r="H61" i="6"/>
  <c r="H60" i="6"/>
  <c r="H59" i="6"/>
  <c r="H58" i="6"/>
  <c r="H57" i="6"/>
  <c r="H56" i="6"/>
  <c r="H55" i="6"/>
  <c r="H54" i="6"/>
  <c r="H53" i="6"/>
  <c r="H52" i="6"/>
  <c r="H51" i="6"/>
  <c r="C10" i="16"/>
  <c r="D19" i="6" s="1"/>
  <c r="P27" i="6" s="1"/>
  <c r="AB28" i="6" s="1"/>
  <c r="I51" i="6"/>
  <c r="H50" i="6"/>
  <c r="I50" i="6"/>
  <c r="H49" i="6"/>
  <c r="I49" i="6"/>
  <c r="H48" i="6"/>
  <c r="I48" i="6"/>
  <c r="H47" i="6"/>
  <c r="I47" i="6"/>
  <c r="H46" i="6"/>
  <c r="I46" i="6"/>
  <c r="H45" i="6"/>
  <c r="I45" i="6"/>
  <c r="H44" i="6"/>
  <c r="I44" i="6"/>
  <c r="H43" i="6"/>
  <c r="I43" i="6"/>
  <c r="H42" i="6"/>
  <c r="I42" i="6"/>
  <c r="H41" i="6"/>
  <c r="I41" i="6"/>
  <c r="H40" i="6"/>
  <c r="I40" i="6"/>
  <c r="H39" i="6"/>
  <c r="I39" i="6"/>
  <c r="J39" i="6"/>
  <c r="H38" i="6"/>
  <c r="I38" i="6"/>
  <c r="J38" i="6"/>
  <c r="H37" i="6"/>
  <c r="I37" i="6"/>
  <c r="J37" i="6"/>
  <c r="H36" i="6"/>
  <c r="I36" i="6"/>
  <c r="J36" i="6"/>
  <c r="H35" i="6"/>
  <c r="I35" i="6"/>
  <c r="J35" i="6"/>
  <c r="H34" i="6"/>
  <c r="I34" i="6"/>
  <c r="J34" i="6"/>
  <c r="H33" i="6"/>
  <c r="I33" i="6"/>
  <c r="J33" i="6"/>
  <c r="H32" i="6"/>
  <c r="I32" i="6"/>
  <c r="J32" i="6"/>
  <c r="H31" i="6"/>
  <c r="I31" i="6"/>
  <c r="J31" i="6"/>
  <c r="H30" i="6"/>
  <c r="I30" i="6"/>
  <c r="J30" i="6"/>
  <c r="H29" i="6"/>
  <c r="I29" i="6"/>
  <c r="J29" i="6"/>
  <c r="H28" i="6"/>
  <c r="I28" i="6"/>
  <c r="J28" i="6"/>
  <c r="H27" i="6"/>
  <c r="I27" i="6"/>
  <c r="J27" i="6"/>
  <c r="D27" i="6"/>
  <c r="C8" i="26" s="1"/>
  <c r="B23" i="31"/>
  <c r="B22" i="31"/>
  <c r="B21" i="31"/>
  <c r="V15" i="16"/>
  <c r="V14" i="16"/>
  <c r="O7" i="26"/>
  <c r="N7" i="26"/>
  <c r="C27" i="6"/>
  <c r="C28" i="6" s="1"/>
  <c r="C29" i="6" s="1"/>
  <c r="C30" i="6" s="1"/>
  <c r="C31" i="6" s="1"/>
  <c r="C32" i="6" s="1"/>
  <c r="C33" i="6" s="1"/>
  <c r="S28" i="6" a="1"/>
  <c r="S28" i="6" s="1"/>
  <c r="S29" i="6" a="1"/>
  <c r="S29" i="6" s="1"/>
  <c r="S30" i="6" a="1"/>
  <c r="S30" i="6" s="1"/>
  <c r="S31" i="6" a="1"/>
  <c r="S31" i="6" s="1"/>
  <c r="S32" i="6" a="1"/>
  <c r="S32" i="6" s="1"/>
  <c r="S33" i="6" a="1"/>
  <c r="S33" i="6" s="1"/>
  <c r="S34" i="6" a="1"/>
  <c r="S34" i="6" s="1"/>
  <c r="S35" i="6" a="1"/>
  <c r="S35" i="6" s="1"/>
  <c r="S36" i="6" a="1"/>
  <c r="S36" i="6" s="1"/>
  <c r="S37" i="6" a="1"/>
  <c r="S37" i="6" s="1"/>
  <c r="S38" i="6" a="1"/>
  <c r="S38" i="6" s="1"/>
  <c r="S40" i="6" a="1"/>
  <c r="S40" i="6" s="1"/>
  <c r="S41" i="6" a="1"/>
  <c r="S41" i="6" s="1"/>
  <c r="S42" i="6" a="1"/>
  <c r="S42" i="6" s="1"/>
  <c r="S43" i="6" a="1"/>
  <c r="S43" i="6" s="1"/>
  <c r="S44" i="6" a="1"/>
  <c r="S44" i="6" s="1"/>
  <c r="S45" i="6" a="1"/>
  <c r="S45" i="6" s="1"/>
  <c r="S46" i="6" a="1"/>
  <c r="S46" i="6" s="1"/>
  <c r="S47" i="6" a="1"/>
  <c r="S47" i="6" s="1"/>
  <c r="S48" i="6" a="1"/>
  <c r="S48" i="6" s="1"/>
  <c r="S49" i="6" a="1"/>
  <c r="S49" i="6" s="1"/>
  <c r="S50" i="6" a="1"/>
  <c r="S50" i="6" s="1"/>
  <c r="S52" i="6" a="1"/>
  <c r="S52" i="6" s="1"/>
  <c r="S53" i="6" a="1"/>
  <c r="S53" i="6" s="1"/>
  <c r="S54" i="6" a="1"/>
  <c r="S54" i="6" s="1"/>
  <c r="S55" i="6" a="1"/>
  <c r="S55" i="6" s="1"/>
  <c r="S56" i="6" a="1"/>
  <c r="S56" i="6" s="1"/>
  <c r="S57" i="6" a="1"/>
  <c r="S57" i="6" s="1"/>
  <c r="S58" i="6" a="1"/>
  <c r="S58" i="6" s="1"/>
  <c r="S59" i="6" a="1"/>
  <c r="S59" i="6" s="1"/>
  <c r="S60" i="6" a="1"/>
  <c r="S60" i="6" s="1"/>
  <c r="S61" i="6" a="1"/>
  <c r="S61" i="6" s="1"/>
  <c r="S62" i="6" a="1"/>
  <c r="S62" i="6" s="1"/>
  <c r="S64" i="6" a="1"/>
  <c r="S64" i="6" s="1"/>
  <c r="S65" i="6" a="1"/>
  <c r="S65" i="6" s="1"/>
  <c r="S66" i="6" a="1"/>
  <c r="S66" i="6" s="1"/>
  <c r="S67" i="6" a="1"/>
  <c r="S67" i="6" s="1"/>
  <c r="S68" i="6" a="1"/>
  <c r="S68" i="6" s="1"/>
  <c r="S69" i="6" a="1"/>
  <c r="S69" i="6" s="1"/>
  <c r="S70" i="6" a="1"/>
  <c r="S70" i="6" s="1"/>
  <c r="S71" i="6" a="1"/>
  <c r="S71" i="6" s="1"/>
  <c r="S72" i="6" a="1"/>
  <c r="S72" i="6" s="1"/>
  <c r="S73" i="6" a="1"/>
  <c r="S73" i="6" s="1"/>
  <c r="S74" i="6" a="1"/>
  <c r="S74" i="6" s="1"/>
  <c r="S76" i="6" a="1"/>
  <c r="S76" i="6" s="1"/>
  <c r="S77" i="6" a="1"/>
  <c r="S77" i="6" s="1"/>
  <c r="S78" i="6" a="1"/>
  <c r="S78" i="6" s="1"/>
  <c r="S79" i="6" a="1"/>
  <c r="S79" i="6" s="1"/>
  <c r="S80" i="6" a="1"/>
  <c r="S80" i="6" s="1"/>
  <c r="S81" i="6" a="1"/>
  <c r="S81" i="6" s="1"/>
  <c r="S82" i="6" a="1"/>
  <c r="S82" i="6" s="1"/>
  <c r="S83" i="6" a="1"/>
  <c r="S83" i="6" s="1"/>
  <c r="S84" i="6" a="1"/>
  <c r="S84" i="6" s="1"/>
  <c r="S85" i="6" a="1"/>
  <c r="S85" i="6" s="1"/>
  <c r="S86" i="6" a="1"/>
  <c r="S86" i="6" s="1"/>
  <c r="S88" i="6" a="1"/>
  <c r="S88" i="6" s="1"/>
  <c r="S89" i="6" a="1"/>
  <c r="S89" i="6" s="1"/>
  <c r="S90" i="6" a="1"/>
  <c r="S90" i="6" s="1"/>
  <c r="S91" i="6" a="1"/>
  <c r="S91" i="6" s="1"/>
  <c r="S92" i="6" a="1"/>
  <c r="S92" i="6" s="1"/>
  <c r="S93" i="6" a="1"/>
  <c r="S93" i="6" s="1"/>
  <c r="S94" i="6" a="1"/>
  <c r="S94" i="6" s="1"/>
  <c r="S95" i="6" a="1"/>
  <c r="S95" i="6" s="1"/>
  <c r="S96" i="6" a="1"/>
  <c r="S96" i="6" s="1"/>
  <c r="S97" i="6" a="1"/>
  <c r="S97" i="6" s="1"/>
  <c r="S98" i="6" a="1"/>
  <c r="S98" i="6" s="1"/>
  <c r="S100" i="6" a="1"/>
  <c r="S100" i="6" s="1"/>
  <c r="S101" i="6" a="1"/>
  <c r="S101" i="6" s="1"/>
  <c r="S102" i="6" a="1"/>
  <c r="S102" i="6" s="1"/>
  <c r="S103" i="6" a="1"/>
  <c r="S103" i="6" s="1"/>
  <c r="S104" i="6" a="1"/>
  <c r="S104" i="6" s="1"/>
  <c r="S105" i="6" a="1"/>
  <c r="S105" i="6" s="1"/>
  <c r="S106" i="6" a="1"/>
  <c r="S106" i="6" s="1"/>
  <c r="S107" i="6" a="1"/>
  <c r="S107" i="6" s="1"/>
  <c r="S108" i="6" a="1"/>
  <c r="S108" i="6" s="1"/>
  <c r="S109" i="6" a="1"/>
  <c r="S109" i="6" s="1"/>
  <c r="S110" i="6" a="1"/>
  <c r="S110" i="6" s="1"/>
  <c r="S112" i="6" a="1"/>
  <c r="S112" i="6" s="1"/>
  <c r="S113" i="6" a="1"/>
  <c r="S113" i="6" s="1"/>
  <c r="S114" i="6" a="1"/>
  <c r="S114" i="6" s="1"/>
  <c r="S115" i="6" a="1"/>
  <c r="S115" i="6" s="1"/>
  <c r="S116" i="6" a="1"/>
  <c r="S116" i="6" s="1"/>
  <c r="S117" i="6" a="1"/>
  <c r="S117" i="6" s="1"/>
  <c r="S118" i="6" a="1"/>
  <c r="S118" i="6" s="1"/>
  <c r="S119" i="6" a="1"/>
  <c r="S119" i="6" s="1"/>
  <c r="S120" i="6" a="1"/>
  <c r="S120" i="6" s="1"/>
  <c r="S121" i="6" a="1"/>
  <c r="S121" i="6" s="1"/>
  <c r="S122" i="6" a="1"/>
  <c r="S122" i="6" s="1"/>
  <c r="S124" i="6" a="1"/>
  <c r="S124" i="6" s="1"/>
  <c r="S125" i="6" a="1"/>
  <c r="S125" i="6" s="1"/>
  <c r="S126" i="6" a="1"/>
  <c r="S126" i="6" s="1"/>
  <c r="S127" i="6" a="1"/>
  <c r="S127" i="6" s="1"/>
  <c r="S128" i="6" a="1"/>
  <c r="S128" i="6" s="1"/>
  <c r="S129" i="6" a="1"/>
  <c r="S129" i="6" s="1"/>
  <c r="S130" i="6" a="1"/>
  <c r="S130" i="6" s="1"/>
  <c r="S131" i="6" a="1"/>
  <c r="S131" i="6" s="1"/>
  <c r="S132" i="6" a="1"/>
  <c r="S132" i="6" s="1"/>
  <c r="S133" i="6" a="1"/>
  <c r="S133" i="6" s="1"/>
  <c r="S134" i="6" a="1"/>
  <c r="S134" i="6" s="1"/>
  <c r="S136" i="6" a="1"/>
  <c r="S136" i="6" s="1"/>
  <c r="S137" i="6" a="1"/>
  <c r="S137" i="6" s="1"/>
  <c r="S138" i="6" a="1"/>
  <c r="S138" i="6" s="1"/>
  <c r="S139" i="6" a="1"/>
  <c r="S139" i="6" s="1"/>
  <c r="S140" i="6" a="1"/>
  <c r="S140" i="6" s="1"/>
  <c r="S141" i="6" a="1"/>
  <c r="S141" i="6" s="1"/>
  <c r="S142" i="6" a="1"/>
  <c r="S142" i="6" s="1"/>
  <c r="S143" i="6" a="1"/>
  <c r="S143" i="6" s="1"/>
  <c r="S144" i="6" a="1"/>
  <c r="S144" i="6" s="1"/>
  <c r="S145" i="6" a="1"/>
  <c r="S145" i="6" s="1"/>
  <c r="S146" i="6" a="1"/>
  <c r="S146" i="6" s="1"/>
  <c r="S148" i="6" a="1"/>
  <c r="S148" i="6" s="1"/>
  <c r="S149" i="6" a="1"/>
  <c r="S149" i="6" s="1"/>
  <c r="S150" i="6" a="1"/>
  <c r="S150" i="6" s="1"/>
  <c r="S151" i="6" a="1"/>
  <c r="S151" i="6" s="1"/>
  <c r="S152" i="6" a="1"/>
  <c r="S152" i="6" s="1"/>
  <c r="S153" i="6" a="1"/>
  <c r="S153" i="6" s="1"/>
  <c r="S154" i="6" a="1"/>
  <c r="S154" i="6" s="1"/>
  <c r="S155" i="6" a="1"/>
  <c r="S155" i="6" s="1"/>
  <c r="S156" i="6" a="1"/>
  <c r="S156" i="6" s="1"/>
  <c r="S157" i="6" a="1"/>
  <c r="S157" i="6" s="1"/>
  <c r="S158" i="6" a="1"/>
  <c r="S158" i="6" s="1"/>
  <c r="S160" i="6" a="1"/>
  <c r="S160" i="6" s="1"/>
  <c r="S161" i="6" a="1"/>
  <c r="S161" i="6" s="1"/>
  <c r="S162" i="6" a="1"/>
  <c r="S162" i="6" s="1"/>
  <c r="S163" i="6" a="1"/>
  <c r="S163" i="6" s="1"/>
  <c r="S164" i="6" a="1"/>
  <c r="S164" i="6" s="1"/>
  <c r="S165" i="6" a="1"/>
  <c r="S165" i="6" s="1"/>
  <c r="S166" i="6" a="1"/>
  <c r="S166" i="6" s="1"/>
  <c r="S167" i="6" a="1"/>
  <c r="S167" i="6" s="1"/>
  <c r="S168" i="6" a="1"/>
  <c r="S168" i="6" s="1"/>
  <c r="S169" i="6" a="1"/>
  <c r="S169" i="6" s="1"/>
  <c r="S170" i="6" a="1"/>
  <c r="S170" i="6" s="1"/>
  <c r="S172" i="6" a="1"/>
  <c r="S172" i="6" s="1"/>
  <c r="S173" i="6" a="1"/>
  <c r="S173" i="6" s="1"/>
  <c r="S174" i="6" a="1"/>
  <c r="S174" i="6" s="1"/>
  <c r="S175" i="6" a="1"/>
  <c r="S175" i="6" s="1"/>
  <c r="S176" i="6" a="1"/>
  <c r="S176" i="6" s="1"/>
  <c r="S177" i="6" a="1"/>
  <c r="S177" i="6" s="1"/>
  <c r="S178" i="6" a="1"/>
  <c r="S178" i="6" s="1"/>
  <c r="S179" i="6" a="1"/>
  <c r="S179" i="6" s="1"/>
  <c r="S180" i="6" a="1"/>
  <c r="S180" i="6" s="1"/>
  <c r="S181" i="6" a="1"/>
  <c r="S181" i="6" s="1"/>
  <c r="S182" i="6" a="1"/>
  <c r="S182" i="6" s="1"/>
  <c r="S184" i="6" a="1"/>
  <c r="S184" i="6" s="1"/>
  <c r="S185" i="6" a="1"/>
  <c r="S185" i="6" s="1"/>
  <c r="S186" i="6" a="1"/>
  <c r="S186" i="6" s="1"/>
  <c r="S187" i="6" a="1"/>
  <c r="S187" i="6" s="1"/>
  <c r="S188" i="6" a="1"/>
  <c r="S188" i="6" s="1"/>
  <c r="S189" i="6" a="1"/>
  <c r="S189" i="6" s="1"/>
  <c r="S190" i="6" a="1"/>
  <c r="S190" i="6" s="1"/>
  <c r="S191" i="6" a="1"/>
  <c r="S191" i="6" s="1"/>
  <c r="S192" i="6" a="1"/>
  <c r="S192" i="6" s="1"/>
  <c r="S193" i="6" a="1"/>
  <c r="S193" i="6" s="1"/>
  <c r="S194" i="6" a="1"/>
  <c r="S194" i="6" s="1"/>
  <c r="S196" i="6" a="1"/>
  <c r="S196" i="6" s="1"/>
  <c r="S197" i="6" a="1"/>
  <c r="S197" i="6" s="1"/>
  <c r="S198" i="6" a="1"/>
  <c r="S198" i="6" s="1"/>
  <c r="S199" i="6" a="1"/>
  <c r="S199" i="6" s="1"/>
  <c r="S200" i="6" a="1"/>
  <c r="S200" i="6" s="1"/>
  <c r="S201" i="6" a="1"/>
  <c r="S201" i="6" s="1"/>
  <c r="S202" i="6" a="1"/>
  <c r="S202" i="6" s="1"/>
  <c r="S203" i="6" a="1"/>
  <c r="S203" i="6" s="1"/>
  <c r="S204" i="6" a="1"/>
  <c r="S204" i="6" s="1"/>
  <c r="S205" i="6" a="1"/>
  <c r="S205" i="6" s="1"/>
  <c r="S206" i="6" a="1"/>
  <c r="S206" i="6" s="1"/>
  <c r="S208" i="6" a="1"/>
  <c r="S208" i="6" s="1"/>
  <c r="S209" i="6" a="1"/>
  <c r="S209" i="6" s="1"/>
  <c r="S210" i="6" a="1"/>
  <c r="S210" i="6" s="1"/>
  <c r="S211" i="6" a="1"/>
  <c r="S211" i="6" s="1"/>
  <c r="S212" i="6" a="1"/>
  <c r="S212" i="6" s="1"/>
  <c r="S213" i="6" a="1"/>
  <c r="S213" i="6" s="1"/>
  <c r="S214" i="6" a="1"/>
  <c r="S214" i="6" s="1"/>
  <c r="S215" i="6" a="1"/>
  <c r="S215" i="6" s="1"/>
  <c r="S216" i="6" a="1"/>
  <c r="S216" i="6" s="1"/>
  <c r="S217" i="6" a="1"/>
  <c r="S217" i="6" s="1"/>
  <c r="S218" i="6" a="1"/>
  <c r="S218" i="6" s="1"/>
  <c r="S220" i="6" a="1"/>
  <c r="S220" i="6" s="1"/>
  <c r="S221" i="6" a="1"/>
  <c r="S221" i="6" s="1"/>
  <c r="S222" i="6" a="1"/>
  <c r="S222" i="6" s="1"/>
  <c r="S223" i="6" a="1"/>
  <c r="S223" i="6" s="1"/>
  <c r="S224" i="6" a="1"/>
  <c r="S224" i="6" s="1"/>
  <c r="S225" i="6" a="1"/>
  <c r="S225" i="6" s="1"/>
  <c r="S226" i="6" a="1"/>
  <c r="S226" i="6" s="1"/>
  <c r="S227" i="6" a="1"/>
  <c r="S227" i="6" s="1"/>
  <c r="S228" i="6" a="1"/>
  <c r="S228" i="6" s="1"/>
  <c r="S229" i="6" a="1"/>
  <c r="S229" i="6" s="1"/>
  <c r="S230" i="6" a="1"/>
  <c r="S230" i="6" s="1"/>
  <c r="S232" i="6" a="1"/>
  <c r="S232" i="6" s="1"/>
  <c r="S233" i="6" a="1"/>
  <c r="S233" i="6" s="1"/>
  <c r="S234" i="6" a="1"/>
  <c r="S234" i="6" s="1"/>
  <c r="S235" i="6" a="1"/>
  <c r="S235" i="6" s="1"/>
  <c r="S236" i="6" a="1"/>
  <c r="S236" i="6" s="1"/>
  <c r="S237" i="6" a="1"/>
  <c r="S237" i="6" s="1"/>
  <c r="S238" i="6" a="1"/>
  <c r="S238" i="6" s="1"/>
  <c r="S239" i="6" a="1"/>
  <c r="S239" i="6" s="1"/>
  <c r="S240" i="6" a="1"/>
  <c r="S240" i="6" s="1"/>
  <c r="S241" i="6" a="1"/>
  <c r="S241" i="6" s="1"/>
  <c r="S242" i="6" a="1"/>
  <c r="S242" i="6" s="1"/>
  <c r="S244" i="6" a="1"/>
  <c r="S244" i="6" s="1"/>
  <c r="S245" i="6" a="1"/>
  <c r="S245" i="6" s="1"/>
  <c r="S246" i="6" a="1"/>
  <c r="S246" i="6" s="1"/>
  <c r="S247" i="6" a="1"/>
  <c r="S247" i="6" s="1"/>
  <c r="S248" i="6" a="1"/>
  <c r="S248" i="6" s="1"/>
  <c r="S249" i="6" a="1"/>
  <c r="S249" i="6" s="1"/>
  <c r="S250" i="6" a="1"/>
  <c r="S250" i="6" s="1"/>
  <c r="S251" i="6" a="1"/>
  <c r="S251" i="6" s="1"/>
  <c r="S252" i="6" a="1"/>
  <c r="S252" i="6" s="1"/>
  <c r="S253" i="6" a="1"/>
  <c r="S253" i="6" s="1"/>
  <c r="S254" i="6" a="1"/>
  <c r="S254" i="6" s="1"/>
  <c r="S256" i="6" a="1"/>
  <c r="S256" i="6" s="1"/>
  <c r="S257" i="6" a="1"/>
  <c r="S257" i="6" s="1"/>
  <c r="S258" i="6" a="1"/>
  <c r="S258" i="6" s="1"/>
  <c r="S259" i="6" a="1"/>
  <c r="S259" i="6" s="1"/>
  <c r="S260" i="6" a="1"/>
  <c r="S260" i="6" s="1"/>
  <c r="S261" i="6" a="1"/>
  <c r="S261" i="6" s="1"/>
  <c r="S262" i="6" a="1"/>
  <c r="S262" i="6" s="1"/>
  <c r="S263" i="6" a="1"/>
  <c r="S263" i="6" s="1"/>
  <c r="S264" i="6" a="1"/>
  <c r="S264" i="6" s="1"/>
  <c r="S265" i="6" a="1"/>
  <c r="S265" i="6" s="1"/>
  <c r="S266" i="6" a="1"/>
  <c r="S266" i="6" s="1"/>
  <c r="S268" i="6" a="1"/>
  <c r="S268" i="6" s="1"/>
  <c r="S269" i="6" a="1"/>
  <c r="S269" i="6" s="1"/>
  <c r="S270" i="6" a="1"/>
  <c r="S270" i="6" s="1"/>
  <c r="S271" i="6" a="1"/>
  <c r="S271" i="6" s="1"/>
  <c r="S272" i="6" a="1"/>
  <c r="S272" i="6" s="1"/>
  <c r="S273" i="6" a="1"/>
  <c r="S273" i="6" s="1"/>
  <c r="S274" i="6" a="1"/>
  <c r="S274" i="6" s="1"/>
  <c r="S275" i="6" a="1"/>
  <c r="S275" i="6" s="1"/>
  <c r="S276" i="6" a="1"/>
  <c r="S276" i="6" s="1"/>
  <c r="S277" i="6" a="1"/>
  <c r="S277" i="6" s="1"/>
  <c r="S278" i="6" a="1"/>
  <c r="S278" i="6" s="1"/>
  <c r="S280" i="6" a="1"/>
  <c r="S280" i="6" s="1"/>
  <c r="S281" i="6" a="1"/>
  <c r="S281" i="6" s="1"/>
  <c r="S282" i="6" a="1"/>
  <c r="S282" i="6" s="1"/>
  <c r="S283" i="6" a="1"/>
  <c r="S283" i="6" s="1"/>
  <c r="S284" i="6" a="1"/>
  <c r="S284" i="6" s="1"/>
  <c r="S285" i="6" a="1"/>
  <c r="S285" i="6" s="1"/>
  <c r="S286" i="6" a="1"/>
  <c r="S286" i="6" s="1"/>
  <c r="S287" i="6" a="1"/>
  <c r="S287" i="6" s="1"/>
  <c r="S288" i="6" a="1"/>
  <c r="S288" i="6" s="1"/>
  <c r="S289" i="6" a="1"/>
  <c r="S289" i="6" s="1"/>
  <c r="S290" i="6" a="1"/>
  <c r="S290" i="6" s="1"/>
  <c r="S292" i="6" a="1"/>
  <c r="S292" i="6" s="1"/>
  <c r="S293" i="6" a="1"/>
  <c r="S293" i="6" s="1"/>
  <c r="S294" i="6" a="1"/>
  <c r="S294" i="6" s="1"/>
  <c r="S295" i="6" a="1"/>
  <c r="S295" i="6" s="1"/>
  <c r="S296" i="6" a="1"/>
  <c r="S296" i="6" s="1"/>
  <c r="S297" i="6" a="1"/>
  <c r="S297" i="6" s="1"/>
  <c r="S298" i="6" a="1"/>
  <c r="S298" i="6" s="1"/>
  <c r="S299" i="6" a="1"/>
  <c r="S299" i="6" s="1"/>
  <c r="S300" i="6" a="1"/>
  <c r="S300" i="6" s="1"/>
  <c r="S301" i="6" a="1"/>
  <c r="S301" i="6" s="1"/>
  <c r="S302" i="6" a="1"/>
  <c r="S302" i="6" s="1"/>
  <c r="S304" i="6" a="1"/>
  <c r="S304" i="6" s="1"/>
  <c r="S305" i="6" a="1"/>
  <c r="S305" i="6" s="1"/>
  <c r="S306" i="6" a="1"/>
  <c r="S306" i="6" s="1"/>
  <c r="S307" i="6" a="1"/>
  <c r="S307" i="6" s="1"/>
  <c r="S308" i="6" a="1"/>
  <c r="S308" i="6" s="1"/>
  <c r="S309" i="6" a="1"/>
  <c r="S309" i="6" s="1"/>
  <c r="S310" i="6" a="1"/>
  <c r="S310" i="6" s="1"/>
  <c r="S311" i="6" a="1"/>
  <c r="S311" i="6" s="1"/>
  <c r="S312" i="6" a="1"/>
  <c r="S312" i="6" s="1"/>
  <c r="S313" i="6" a="1"/>
  <c r="S313" i="6" s="1"/>
  <c r="S314" i="6" a="1"/>
  <c r="S314" i="6" s="1"/>
  <c r="S316" i="6" a="1"/>
  <c r="S316" i="6" s="1"/>
  <c r="S317" i="6" a="1"/>
  <c r="S317" i="6" s="1"/>
  <c r="S318" i="6" a="1"/>
  <c r="S318" i="6" s="1"/>
  <c r="S319" i="6" a="1"/>
  <c r="S319" i="6" s="1"/>
  <c r="S320" i="6" a="1"/>
  <c r="S320" i="6" s="1"/>
  <c r="S321" i="6" a="1"/>
  <c r="S321" i="6" s="1"/>
  <c r="S322" i="6" a="1"/>
  <c r="S322" i="6" s="1"/>
  <c r="S323" i="6" a="1"/>
  <c r="S323" i="6" s="1"/>
  <c r="S324" i="6" a="1"/>
  <c r="S324" i="6" s="1"/>
  <c r="S325" i="6" a="1"/>
  <c r="S325" i="6" s="1"/>
  <c r="S326" i="6" a="1"/>
  <c r="S326" i="6" s="1"/>
  <c r="S328" i="6" a="1"/>
  <c r="S328" i="6" s="1"/>
  <c r="S329" i="6" a="1"/>
  <c r="S329" i="6" s="1"/>
  <c r="S330" i="6" a="1"/>
  <c r="S330" i="6" s="1"/>
  <c r="S331" i="6" a="1"/>
  <c r="S331" i="6" s="1"/>
  <c r="S332" i="6" a="1"/>
  <c r="S332" i="6" s="1"/>
  <c r="S333" i="6" a="1"/>
  <c r="S333" i="6" s="1"/>
  <c r="S334" i="6" a="1"/>
  <c r="S334" i="6" s="1"/>
  <c r="S335" i="6" a="1"/>
  <c r="S335" i="6" s="1"/>
  <c r="S336" i="6" a="1"/>
  <c r="S336" i="6" s="1"/>
  <c r="S337" i="6" a="1"/>
  <c r="S337" i="6" s="1"/>
  <c r="S338" i="6" a="1"/>
  <c r="S338" i="6" s="1"/>
  <c r="S340" i="6" a="1"/>
  <c r="S340" i="6" s="1"/>
  <c r="S341" i="6" a="1"/>
  <c r="S341" i="6" s="1"/>
  <c r="S342" i="6" a="1"/>
  <c r="S342" i="6" s="1"/>
  <c r="S343" i="6" a="1"/>
  <c r="S343" i="6" s="1"/>
  <c r="S344" i="6" a="1"/>
  <c r="S344" i="6" s="1"/>
  <c r="S345" i="6" a="1"/>
  <c r="S345" i="6" s="1"/>
  <c r="S346" i="6" a="1"/>
  <c r="S346" i="6" s="1"/>
  <c r="S347" i="6" a="1"/>
  <c r="S347" i="6" s="1"/>
  <c r="S348" i="6" a="1"/>
  <c r="S348" i="6" s="1"/>
  <c r="S349" i="6" a="1"/>
  <c r="S349" i="6" s="1"/>
  <c r="S350" i="6" a="1"/>
  <c r="S350" i="6" s="1"/>
  <c r="S352" i="6" a="1"/>
  <c r="S352" i="6" s="1"/>
  <c r="S353" i="6" a="1"/>
  <c r="S353" i="6" s="1"/>
  <c r="S354" i="6" a="1"/>
  <c r="S354" i="6" s="1"/>
  <c r="S355" i="6" a="1"/>
  <c r="S355" i="6" s="1"/>
  <c r="S356" i="6" a="1"/>
  <c r="S356" i="6" s="1"/>
  <c r="S357" i="6" a="1"/>
  <c r="S357" i="6" s="1"/>
  <c r="S358" i="6" a="1"/>
  <c r="S358" i="6" s="1"/>
  <c r="S359" i="6" a="1"/>
  <c r="S359" i="6" s="1"/>
  <c r="S360" i="6" a="1"/>
  <c r="S360" i="6" s="1"/>
  <c r="S361" i="6" a="1"/>
  <c r="S361" i="6" s="1"/>
  <c r="S362" i="6" a="1"/>
  <c r="S362" i="6" s="1"/>
  <c r="S364" i="6" a="1"/>
  <c r="S364" i="6" s="1"/>
  <c r="S365" i="6" a="1"/>
  <c r="S365" i="6" s="1"/>
  <c r="S366" i="6" a="1"/>
  <c r="S366" i="6" s="1"/>
  <c r="S367" i="6" a="1"/>
  <c r="S367" i="6" s="1"/>
  <c r="S368" i="6" a="1"/>
  <c r="S368" i="6" s="1"/>
  <c r="S369" i="6" a="1"/>
  <c r="S369" i="6" s="1"/>
  <c r="S370" i="6" a="1"/>
  <c r="S370" i="6" s="1"/>
  <c r="S371" i="6" a="1"/>
  <c r="S371" i="6" s="1"/>
  <c r="S372" i="6" a="1"/>
  <c r="S372" i="6" s="1"/>
  <c r="S373" i="6" a="1"/>
  <c r="S373" i="6" s="1"/>
  <c r="S374" i="6" a="1"/>
  <c r="S374" i="6" s="1"/>
  <c r="S376" i="6" a="1"/>
  <c r="S376" i="6" s="1"/>
  <c r="S377" i="6" a="1"/>
  <c r="S377" i="6" s="1"/>
  <c r="S378" i="6" a="1"/>
  <c r="S378" i="6" s="1"/>
  <c r="S379" i="6" a="1"/>
  <c r="S379" i="6" s="1"/>
  <c r="S380" i="6" a="1"/>
  <c r="S380" i="6" s="1"/>
  <c r="S381" i="6" a="1"/>
  <c r="S381" i="6" s="1"/>
  <c r="S382" i="6" a="1"/>
  <c r="S382" i="6" s="1"/>
  <c r="S383" i="6" a="1"/>
  <c r="S383" i="6" s="1"/>
  <c r="S384" i="6" a="1"/>
  <c r="S384" i="6" s="1"/>
  <c r="S385" i="6" a="1"/>
  <c r="S385" i="6" s="1"/>
  <c r="S386" i="6" a="1"/>
  <c r="S386" i="6" s="1"/>
  <c r="AB387" i="6"/>
  <c r="S38" i="26" s="1"/>
  <c r="O8" i="26"/>
  <c r="X38" i="6"/>
  <c r="X37" i="6"/>
  <c r="X36" i="6"/>
  <c r="X35" i="6"/>
  <c r="X34" i="6"/>
  <c r="X33" i="6"/>
  <c r="X32" i="6"/>
  <c r="X31" i="6"/>
  <c r="X30" i="6"/>
  <c r="X29" i="6"/>
  <c r="X28" i="6"/>
  <c r="S388" i="6" a="1"/>
  <c r="S388" i="6" s="1"/>
  <c r="S389" i="6" a="1"/>
  <c r="S389" i="6" s="1"/>
  <c r="S390" i="6" a="1"/>
  <c r="S390" i="6" s="1"/>
  <c r="S391" i="6" a="1"/>
  <c r="S391" i="6" s="1"/>
  <c r="S392" i="6" a="1"/>
  <c r="S392" i="6" s="1"/>
  <c r="S393" i="6" a="1"/>
  <c r="S393" i="6" s="1"/>
  <c r="S394" i="6" a="1"/>
  <c r="S394" i="6" s="1"/>
  <c r="S395" i="6" a="1"/>
  <c r="S395" i="6" s="1"/>
  <c r="S396" i="6" a="1"/>
  <c r="S396" i="6" s="1"/>
  <c r="S397" i="6" a="1"/>
  <c r="S397" i="6" s="1"/>
  <c r="S398" i="6" a="1"/>
  <c r="S398" i="6" s="1"/>
  <c r="AB388" i="6"/>
  <c r="AB389" i="6"/>
  <c r="AB390" i="6"/>
  <c r="AB391" i="6"/>
  <c r="AB392" i="6"/>
  <c r="AB393" i="6"/>
  <c r="AB394" i="6"/>
  <c r="AB395" i="6"/>
  <c r="AB396" i="6"/>
  <c r="AB397" i="6"/>
  <c r="AB398" i="6"/>
  <c r="AB399" i="6"/>
  <c r="S400" i="6" a="1"/>
  <c r="S400" i="6" s="1"/>
  <c r="S401" i="6" a="1"/>
  <c r="S401" i="6" s="1"/>
  <c r="S402" i="6" a="1"/>
  <c r="S402" i="6" s="1"/>
  <c r="S403" i="6" a="1"/>
  <c r="S403" i="6" s="1"/>
  <c r="S404" i="6" a="1"/>
  <c r="S404" i="6" s="1"/>
  <c r="S405" i="6" a="1"/>
  <c r="S405" i="6" s="1"/>
  <c r="S406" i="6" a="1"/>
  <c r="S406" i="6" s="1"/>
  <c r="S407" i="6" a="1"/>
  <c r="S407" i="6" s="1"/>
  <c r="S408" i="6" a="1"/>
  <c r="S408" i="6" s="1"/>
  <c r="S409" i="6" a="1"/>
  <c r="S409" i="6" s="1"/>
  <c r="S410" i="6" a="1"/>
  <c r="S410" i="6" s="1"/>
  <c r="AB400" i="6"/>
  <c r="AB401" i="6"/>
  <c r="AB402" i="6"/>
  <c r="AB403" i="6"/>
  <c r="AB404" i="6"/>
  <c r="AB405" i="6"/>
  <c r="AB406" i="6"/>
  <c r="AB407" i="6"/>
  <c r="AB408" i="6"/>
  <c r="AB409" i="6"/>
  <c r="AB410" i="6"/>
  <c r="AB411" i="6"/>
  <c r="S412" i="6" a="1"/>
  <c r="S412" i="6" s="1"/>
  <c r="S413" i="6" a="1"/>
  <c r="S413" i="6" s="1"/>
  <c r="S414" i="6" a="1"/>
  <c r="S414" i="6" s="1"/>
  <c r="S415" i="6" a="1"/>
  <c r="S415" i="6" s="1"/>
  <c r="S416" i="6" a="1"/>
  <c r="S416" i="6" s="1"/>
  <c r="S417" i="6" a="1"/>
  <c r="S417" i="6" s="1"/>
  <c r="S418" i="6" a="1"/>
  <c r="S418" i="6" s="1"/>
  <c r="S419" i="6" a="1"/>
  <c r="S419" i="6" s="1"/>
  <c r="S420" i="6" a="1"/>
  <c r="S420" i="6" s="1"/>
  <c r="S421" i="6" a="1"/>
  <c r="S421" i="6" s="1"/>
  <c r="S422" i="6" a="1"/>
  <c r="S422" i="6" s="1"/>
  <c r="AB412" i="6"/>
  <c r="AB413" i="6"/>
  <c r="AB414" i="6"/>
  <c r="AB415" i="6"/>
  <c r="AB416" i="6"/>
  <c r="AB417" i="6"/>
  <c r="AB418" i="6"/>
  <c r="AB419" i="6"/>
  <c r="AB420" i="6"/>
  <c r="AB421" i="6"/>
  <c r="AB422" i="6"/>
  <c r="AB423" i="6"/>
  <c r="S424" i="6" a="1"/>
  <c r="S424" i="6" s="1"/>
  <c r="S425" i="6" a="1"/>
  <c r="S425" i="6" s="1"/>
  <c r="S426" i="6" a="1"/>
  <c r="S426" i="6" s="1"/>
  <c r="S427" i="6" a="1"/>
  <c r="S427" i="6" s="1"/>
  <c r="S428" i="6" a="1"/>
  <c r="S428" i="6" s="1"/>
  <c r="S429" i="6" a="1"/>
  <c r="S429" i="6" s="1"/>
  <c r="S430" i="6" a="1"/>
  <c r="S430" i="6" s="1"/>
  <c r="S431" i="6" a="1"/>
  <c r="S431" i="6" s="1"/>
  <c r="S432" i="6" a="1"/>
  <c r="S432" i="6" s="1"/>
  <c r="S433" i="6" a="1"/>
  <c r="S433" i="6" s="1"/>
  <c r="S434" i="6" a="1"/>
  <c r="S434" i="6" s="1"/>
  <c r="AB424" i="6"/>
  <c r="AB425" i="6"/>
  <c r="AB426" i="6"/>
  <c r="AB427" i="6"/>
  <c r="AB428" i="6"/>
  <c r="AB429" i="6"/>
  <c r="AB430" i="6"/>
  <c r="AB431" i="6"/>
  <c r="AB432" i="6"/>
  <c r="AB433" i="6"/>
  <c r="AB434" i="6"/>
  <c r="AB435" i="6"/>
  <c r="S436" i="6" a="1"/>
  <c r="S436" i="6" s="1"/>
  <c r="S437" i="6" a="1"/>
  <c r="S437" i="6" s="1"/>
  <c r="S438" i="6" a="1"/>
  <c r="S438" i="6" s="1"/>
  <c r="S439" i="6" a="1"/>
  <c r="S439" i="6" s="1"/>
  <c r="S440" i="6" a="1"/>
  <c r="S440" i="6" s="1"/>
  <c r="S441" i="6" a="1"/>
  <c r="S441" i="6" s="1"/>
  <c r="S442" i="6" a="1"/>
  <c r="S442" i="6" s="1"/>
  <c r="S443" i="6" a="1"/>
  <c r="S443" i="6" s="1"/>
  <c r="S444" i="6" a="1"/>
  <c r="S444" i="6" s="1"/>
  <c r="S445" i="6" a="1"/>
  <c r="S445" i="6" s="1"/>
  <c r="S446" i="6" a="1"/>
  <c r="S446" i="6" s="1"/>
  <c r="AB436" i="6"/>
  <c r="AB437" i="6"/>
  <c r="AB438" i="6"/>
  <c r="AB439" i="6"/>
  <c r="AB440" i="6"/>
  <c r="AB441" i="6"/>
  <c r="AB442" i="6"/>
  <c r="AB443" i="6"/>
  <c r="AB444" i="6"/>
  <c r="AB445" i="6"/>
  <c r="AB446" i="6"/>
  <c r="AB447" i="6"/>
  <c r="S448" i="6" a="1"/>
  <c r="S448" i="6" s="1"/>
  <c r="S449" i="6" a="1"/>
  <c r="S449" i="6" s="1"/>
  <c r="S450" i="6" a="1"/>
  <c r="S450" i="6" s="1"/>
  <c r="S451" i="6" a="1"/>
  <c r="S451" i="6" s="1"/>
  <c r="S452" i="6" a="1"/>
  <c r="S452" i="6" s="1"/>
  <c r="S453" i="6" a="1"/>
  <c r="S453" i="6" s="1"/>
  <c r="S454" i="6" a="1"/>
  <c r="S454" i="6" s="1"/>
  <c r="S455" i="6" a="1"/>
  <c r="S455" i="6" s="1"/>
  <c r="S456" i="6" a="1"/>
  <c r="S456" i="6" s="1"/>
  <c r="S457" i="6" a="1"/>
  <c r="S457" i="6" s="1"/>
  <c r="S458" i="6" a="1"/>
  <c r="S458" i="6" s="1"/>
  <c r="AB448" i="6"/>
  <c r="AB449" i="6"/>
  <c r="AB450" i="6"/>
  <c r="AB451" i="6"/>
  <c r="AB452" i="6"/>
  <c r="AB453" i="6"/>
  <c r="AB454" i="6"/>
  <c r="AB455" i="6"/>
  <c r="AB456" i="6"/>
  <c r="AB457" i="6"/>
  <c r="AB458" i="6"/>
  <c r="AB459" i="6"/>
  <c r="S460" i="6" a="1"/>
  <c r="S460" i="6" s="1"/>
  <c r="S461" i="6" a="1"/>
  <c r="S461" i="6" s="1"/>
  <c r="S462" i="6" a="1"/>
  <c r="S462" i="6" s="1"/>
  <c r="S463" i="6" a="1"/>
  <c r="S463" i="6" s="1"/>
  <c r="S464" i="6" a="1"/>
  <c r="S464" i="6" s="1"/>
  <c r="S465" i="6" a="1"/>
  <c r="S465" i="6" s="1"/>
  <c r="S466" i="6" a="1"/>
  <c r="S466" i="6" s="1"/>
  <c r="S467" i="6" a="1"/>
  <c r="S467" i="6" s="1"/>
  <c r="S468" i="6" a="1"/>
  <c r="S468" i="6" s="1"/>
  <c r="S469" i="6" a="1"/>
  <c r="S469" i="6" s="1"/>
  <c r="S470" i="6" a="1"/>
  <c r="S470" i="6" s="1"/>
  <c r="AB460" i="6"/>
  <c r="AB461" i="6"/>
  <c r="AB462" i="6"/>
  <c r="AB463" i="6"/>
  <c r="AB464" i="6"/>
  <c r="AB465" i="6"/>
  <c r="AB466" i="6"/>
  <c r="AB467" i="6"/>
  <c r="AB468" i="6"/>
  <c r="AB469" i="6"/>
  <c r="AB470" i="6"/>
  <c r="AB471" i="6"/>
  <c r="S472" i="6" a="1"/>
  <c r="S472" i="6" s="1"/>
  <c r="S473" i="6" a="1"/>
  <c r="S473" i="6" s="1"/>
  <c r="S474" i="6" a="1"/>
  <c r="S474" i="6" s="1"/>
  <c r="S475" i="6" a="1"/>
  <c r="S475" i="6" s="1"/>
  <c r="S476" i="6" a="1"/>
  <c r="S476" i="6" s="1"/>
  <c r="S477" i="6" a="1"/>
  <c r="S477" i="6" s="1"/>
  <c r="S478" i="6" a="1"/>
  <c r="S478" i="6" s="1"/>
  <c r="S479" i="6" a="1"/>
  <c r="S479" i="6" s="1"/>
  <c r="S480" i="6" a="1"/>
  <c r="S480" i="6" s="1"/>
  <c r="S481" i="6" a="1"/>
  <c r="S481" i="6" s="1"/>
  <c r="S482" i="6" a="1"/>
  <c r="S482" i="6" s="1"/>
  <c r="AB472" i="6"/>
  <c r="AB473" i="6"/>
  <c r="AB474" i="6"/>
  <c r="AB475" i="6"/>
  <c r="AB476" i="6"/>
  <c r="AB477" i="6"/>
  <c r="AB478" i="6"/>
  <c r="AB479" i="6"/>
  <c r="AB480" i="6"/>
  <c r="AB481" i="6"/>
  <c r="AB482" i="6"/>
  <c r="AB483" i="6"/>
  <c r="S484" i="6" a="1"/>
  <c r="S484" i="6" s="1"/>
  <c r="S485" i="6" a="1"/>
  <c r="S485" i="6" s="1"/>
  <c r="S486" i="6" a="1"/>
  <c r="S486" i="6" s="1"/>
  <c r="S487" i="6" a="1"/>
  <c r="S487" i="6" s="1"/>
  <c r="S488" i="6" a="1"/>
  <c r="S488" i="6" s="1"/>
  <c r="S489" i="6" a="1"/>
  <c r="S489" i="6" s="1"/>
  <c r="S490" i="6" a="1"/>
  <c r="S490" i="6" s="1"/>
  <c r="S491" i="6" a="1"/>
  <c r="S491" i="6" s="1"/>
  <c r="S492" i="6" a="1"/>
  <c r="S492" i="6" s="1"/>
  <c r="S493" i="6" a="1"/>
  <c r="S493" i="6" s="1"/>
  <c r="S494" i="6" a="1"/>
  <c r="S494" i="6" s="1"/>
  <c r="AB484" i="6"/>
  <c r="AB485" i="6"/>
  <c r="AB486" i="6"/>
  <c r="AB487" i="6"/>
  <c r="AB488" i="6"/>
  <c r="AB489" i="6"/>
  <c r="AB490" i="6"/>
  <c r="AB491" i="6"/>
  <c r="AB492" i="6"/>
  <c r="AB493" i="6"/>
  <c r="AB494" i="6"/>
  <c r="AB495" i="6"/>
  <c r="S496" i="6" a="1"/>
  <c r="S496" i="6" s="1"/>
  <c r="S497" i="6" a="1"/>
  <c r="S497" i="6" s="1"/>
  <c r="S498" i="6" a="1"/>
  <c r="S498" i="6" s="1"/>
  <c r="S499" i="6" a="1"/>
  <c r="S499" i="6" s="1"/>
  <c r="S500" i="6" a="1"/>
  <c r="S500" i="6" s="1"/>
  <c r="S501" i="6" a="1"/>
  <c r="S501" i="6" s="1"/>
  <c r="S502" i="6" a="1"/>
  <c r="S502" i="6" s="1"/>
  <c r="S503" i="6" a="1"/>
  <c r="S503" i="6" s="1"/>
  <c r="S504" i="6" a="1"/>
  <c r="S504" i="6" s="1"/>
  <c r="S505" i="6" a="1"/>
  <c r="S505" i="6" s="1"/>
  <c r="S506" i="6" a="1"/>
  <c r="S506" i="6" s="1"/>
  <c r="AB496" i="6"/>
  <c r="AB497" i="6"/>
  <c r="AB498" i="6"/>
  <c r="AB499" i="6"/>
  <c r="AB500" i="6"/>
  <c r="AB501" i="6"/>
  <c r="AB502" i="6"/>
  <c r="AB503" i="6"/>
  <c r="AB504" i="6"/>
  <c r="AB505" i="6"/>
  <c r="AB506" i="6"/>
  <c r="AB507" i="6"/>
  <c r="X506" i="6"/>
  <c r="X505" i="6"/>
  <c r="X504" i="6"/>
  <c r="X503" i="6"/>
  <c r="X502" i="6"/>
  <c r="X501" i="6"/>
  <c r="X500" i="6"/>
  <c r="X499" i="6"/>
  <c r="X498" i="6"/>
  <c r="X497" i="6"/>
  <c r="X496" i="6"/>
  <c r="X494" i="6"/>
  <c r="X493" i="6"/>
  <c r="X492" i="6"/>
  <c r="X491" i="6"/>
  <c r="X490" i="6"/>
  <c r="X489" i="6"/>
  <c r="X488" i="6"/>
  <c r="X487" i="6"/>
  <c r="X486" i="6"/>
  <c r="X485" i="6"/>
  <c r="X484" i="6"/>
  <c r="X482" i="6"/>
  <c r="X481" i="6"/>
  <c r="X480" i="6"/>
  <c r="X479" i="6"/>
  <c r="X478" i="6"/>
  <c r="X477" i="6"/>
  <c r="X476" i="6"/>
  <c r="X475" i="6"/>
  <c r="X474" i="6"/>
  <c r="X473" i="6"/>
  <c r="X472" i="6"/>
  <c r="X470" i="6"/>
  <c r="X469" i="6"/>
  <c r="X468" i="6"/>
  <c r="X467" i="6"/>
  <c r="X466" i="6"/>
  <c r="X465" i="6"/>
  <c r="X464" i="6"/>
  <c r="X463" i="6"/>
  <c r="X462" i="6"/>
  <c r="X461" i="6"/>
  <c r="X460" i="6"/>
  <c r="X458" i="6"/>
  <c r="X457" i="6"/>
  <c r="X456" i="6"/>
  <c r="X455" i="6"/>
  <c r="X454" i="6"/>
  <c r="X453" i="6"/>
  <c r="X452" i="6"/>
  <c r="X451" i="6"/>
  <c r="X450" i="6"/>
  <c r="X449" i="6"/>
  <c r="X448" i="6"/>
  <c r="X446" i="6"/>
  <c r="X445" i="6"/>
  <c r="X444" i="6"/>
  <c r="X443" i="6"/>
  <c r="X442" i="6"/>
  <c r="X441" i="6"/>
  <c r="X440" i="6"/>
  <c r="X439" i="6"/>
  <c r="X438" i="6"/>
  <c r="X437" i="6"/>
  <c r="X436" i="6"/>
  <c r="X434" i="6"/>
  <c r="X433" i="6"/>
  <c r="X432" i="6"/>
  <c r="X431" i="6"/>
  <c r="X430" i="6"/>
  <c r="X429" i="6"/>
  <c r="X428" i="6"/>
  <c r="X427" i="6"/>
  <c r="X426" i="6"/>
  <c r="X425" i="6"/>
  <c r="X424" i="6"/>
  <c r="X422" i="6"/>
  <c r="X421" i="6"/>
  <c r="X420" i="6"/>
  <c r="X419" i="6"/>
  <c r="X418" i="6"/>
  <c r="X417" i="6"/>
  <c r="X416" i="6"/>
  <c r="X415" i="6"/>
  <c r="X414" i="6"/>
  <c r="X413" i="6"/>
  <c r="X412" i="6"/>
  <c r="X410" i="6"/>
  <c r="X409" i="6"/>
  <c r="X408" i="6"/>
  <c r="X407" i="6"/>
  <c r="X406" i="6"/>
  <c r="X405" i="6"/>
  <c r="X404" i="6"/>
  <c r="X403" i="6"/>
  <c r="X402" i="6"/>
  <c r="X401" i="6"/>
  <c r="X400" i="6"/>
  <c r="X398" i="6"/>
  <c r="X397" i="6"/>
  <c r="X396" i="6"/>
  <c r="X395" i="6"/>
  <c r="X394" i="6"/>
  <c r="X393" i="6"/>
  <c r="X392" i="6"/>
  <c r="X391" i="6"/>
  <c r="X390" i="6"/>
  <c r="X389" i="6"/>
  <c r="X388" i="6"/>
  <c r="X386" i="6"/>
  <c r="X385" i="6"/>
  <c r="X384" i="6"/>
  <c r="X383" i="6"/>
  <c r="X382" i="6"/>
  <c r="X381" i="6"/>
  <c r="X380" i="6"/>
  <c r="X379" i="6"/>
  <c r="X378" i="6"/>
  <c r="X377" i="6"/>
  <c r="X376" i="6"/>
  <c r="X374" i="6"/>
  <c r="X373" i="6"/>
  <c r="X372" i="6"/>
  <c r="X371" i="6"/>
  <c r="X370" i="6"/>
  <c r="X369" i="6"/>
  <c r="X368" i="6"/>
  <c r="X367" i="6"/>
  <c r="X366" i="6"/>
  <c r="X365" i="6"/>
  <c r="X364" i="6"/>
  <c r="X362" i="6"/>
  <c r="X361" i="6"/>
  <c r="X360" i="6"/>
  <c r="X359" i="6"/>
  <c r="X358" i="6"/>
  <c r="X357" i="6"/>
  <c r="X356" i="6"/>
  <c r="X355" i="6"/>
  <c r="X354" i="6"/>
  <c r="X353" i="6"/>
  <c r="X352" i="6"/>
  <c r="X350" i="6"/>
  <c r="X349" i="6"/>
  <c r="X348" i="6"/>
  <c r="X347" i="6"/>
  <c r="X346" i="6"/>
  <c r="X345" i="6"/>
  <c r="X344" i="6"/>
  <c r="X343" i="6"/>
  <c r="X342" i="6"/>
  <c r="X341" i="6"/>
  <c r="X340" i="6"/>
  <c r="X338" i="6"/>
  <c r="X337" i="6"/>
  <c r="X336" i="6"/>
  <c r="X335" i="6"/>
  <c r="X334" i="6"/>
  <c r="X333" i="6"/>
  <c r="X332" i="6"/>
  <c r="X331" i="6"/>
  <c r="X330" i="6"/>
  <c r="X329" i="6"/>
  <c r="X328" i="6"/>
  <c r="X326" i="6"/>
  <c r="X325" i="6"/>
  <c r="X324" i="6"/>
  <c r="X323" i="6"/>
  <c r="X322" i="6"/>
  <c r="X321" i="6"/>
  <c r="X320" i="6"/>
  <c r="X319" i="6"/>
  <c r="X318" i="6"/>
  <c r="X317" i="6"/>
  <c r="X316" i="6"/>
  <c r="X314" i="6"/>
  <c r="X313" i="6"/>
  <c r="X312" i="6"/>
  <c r="X311" i="6"/>
  <c r="X310" i="6"/>
  <c r="X309" i="6"/>
  <c r="X308" i="6"/>
  <c r="X307" i="6"/>
  <c r="X306" i="6"/>
  <c r="X305" i="6"/>
  <c r="X304" i="6"/>
  <c r="X302" i="6"/>
  <c r="X301" i="6"/>
  <c r="X300" i="6"/>
  <c r="X299" i="6"/>
  <c r="X298" i="6"/>
  <c r="X297" i="6"/>
  <c r="X296" i="6"/>
  <c r="X295" i="6"/>
  <c r="X294" i="6"/>
  <c r="X293" i="6"/>
  <c r="X292" i="6"/>
  <c r="X290" i="6"/>
  <c r="X289" i="6"/>
  <c r="X288" i="6"/>
  <c r="X287" i="6"/>
  <c r="X286" i="6"/>
  <c r="X285" i="6"/>
  <c r="X284" i="6"/>
  <c r="X283" i="6"/>
  <c r="X282" i="6"/>
  <c r="X281" i="6"/>
  <c r="X280" i="6"/>
  <c r="X278" i="6"/>
  <c r="X277" i="6"/>
  <c r="X276" i="6"/>
  <c r="X275" i="6"/>
  <c r="X274" i="6"/>
  <c r="X273" i="6"/>
  <c r="X272" i="6"/>
  <c r="X271" i="6"/>
  <c r="X270" i="6"/>
  <c r="X269" i="6"/>
  <c r="X268" i="6"/>
  <c r="X266" i="6"/>
  <c r="X265" i="6"/>
  <c r="X264" i="6"/>
  <c r="X263" i="6"/>
  <c r="X262" i="6"/>
  <c r="X261" i="6"/>
  <c r="X260" i="6"/>
  <c r="X259" i="6"/>
  <c r="X258" i="6"/>
  <c r="X257" i="6"/>
  <c r="X256" i="6"/>
  <c r="X254" i="6"/>
  <c r="X253" i="6"/>
  <c r="X252" i="6"/>
  <c r="X251" i="6"/>
  <c r="X250" i="6"/>
  <c r="X249" i="6"/>
  <c r="X248" i="6"/>
  <c r="X247" i="6"/>
  <c r="X246" i="6"/>
  <c r="X245" i="6"/>
  <c r="X244" i="6"/>
  <c r="X242" i="6"/>
  <c r="X241" i="6"/>
  <c r="X240" i="6"/>
  <c r="X239" i="6"/>
  <c r="X238" i="6"/>
  <c r="X237" i="6"/>
  <c r="X236" i="6"/>
  <c r="X235" i="6"/>
  <c r="X234" i="6"/>
  <c r="X233" i="6"/>
  <c r="X232" i="6"/>
  <c r="X230" i="6"/>
  <c r="X229" i="6"/>
  <c r="X228" i="6"/>
  <c r="X227" i="6"/>
  <c r="X226" i="6"/>
  <c r="X225" i="6"/>
  <c r="X224" i="6"/>
  <c r="X223" i="6"/>
  <c r="X222" i="6"/>
  <c r="X221" i="6"/>
  <c r="X220" i="6"/>
  <c r="X218" i="6"/>
  <c r="X217" i="6"/>
  <c r="X216" i="6"/>
  <c r="X215" i="6"/>
  <c r="X214" i="6"/>
  <c r="X213" i="6"/>
  <c r="X212" i="6"/>
  <c r="X211" i="6"/>
  <c r="X210" i="6"/>
  <c r="X209" i="6"/>
  <c r="X208" i="6"/>
  <c r="X206" i="6"/>
  <c r="X205" i="6"/>
  <c r="X204" i="6"/>
  <c r="X203" i="6"/>
  <c r="X202" i="6"/>
  <c r="X201" i="6"/>
  <c r="X200" i="6"/>
  <c r="X199" i="6"/>
  <c r="X198" i="6"/>
  <c r="X197" i="6"/>
  <c r="X196" i="6"/>
  <c r="X194" i="6"/>
  <c r="X193" i="6"/>
  <c r="X192" i="6"/>
  <c r="X191" i="6"/>
  <c r="X190" i="6"/>
  <c r="X189" i="6"/>
  <c r="X188" i="6"/>
  <c r="X187" i="6"/>
  <c r="X186" i="6"/>
  <c r="X185" i="6"/>
  <c r="X184" i="6"/>
  <c r="X182" i="6"/>
  <c r="X181" i="6"/>
  <c r="X180" i="6"/>
  <c r="X179" i="6"/>
  <c r="X178" i="6"/>
  <c r="X177" i="6"/>
  <c r="X176" i="6"/>
  <c r="X175" i="6"/>
  <c r="X174" i="6"/>
  <c r="X173" i="6"/>
  <c r="X172" i="6"/>
  <c r="X170" i="6"/>
  <c r="X169" i="6"/>
  <c r="X168" i="6"/>
  <c r="X167" i="6"/>
  <c r="X166" i="6"/>
  <c r="X165" i="6"/>
  <c r="X164" i="6"/>
  <c r="X163" i="6"/>
  <c r="X162" i="6"/>
  <c r="X161" i="6"/>
  <c r="X160" i="6"/>
  <c r="X158" i="6"/>
  <c r="X157" i="6"/>
  <c r="X156" i="6"/>
  <c r="X155" i="6"/>
  <c r="X154" i="6"/>
  <c r="X153" i="6"/>
  <c r="X152" i="6"/>
  <c r="X151" i="6"/>
  <c r="X150" i="6"/>
  <c r="X149" i="6"/>
  <c r="X148" i="6"/>
  <c r="X146" i="6"/>
  <c r="X145" i="6"/>
  <c r="X144" i="6"/>
  <c r="X143" i="6"/>
  <c r="X142" i="6"/>
  <c r="X141" i="6"/>
  <c r="X140" i="6"/>
  <c r="X139" i="6"/>
  <c r="X138" i="6"/>
  <c r="X137" i="6"/>
  <c r="X136" i="6"/>
  <c r="X134" i="6"/>
  <c r="X133" i="6"/>
  <c r="X132" i="6"/>
  <c r="X131" i="6"/>
  <c r="X130" i="6"/>
  <c r="X129" i="6"/>
  <c r="X128" i="6"/>
  <c r="X127" i="6"/>
  <c r="X126" i="6"/>
  <c r="X125" i="6"/>
  <c r="X124" i="6"/>
  <c r="X122" i="6"/>
  <c r="X121" i="6"/>
  <c r="X120" i="6"/>
  <c r="X119" i="6"/>
  <c r="X118" i="6"/>
  <c r="X117" i="6"/>
  <c r="X116" i="6"/>
  <c r="X115" i="6"/>
  <c r="X114" i="6"/>
  <c r="X113" i="6"/>
  <c r="X112" i="6"/>
  <c r="X110" i="6"/>
  <c r="X109" i="6"/>
  <c r="X108" i="6"/>
  <c r="X107" i="6"/>
  <c r="X106" i="6"/>
  <c r="X105" i="6"/>
  <c r="X104" i="6"/>
  <c r="X103" i="6"/>
  <c r="X102" i="6"/>
  <c r="X101" i="6"/>
  <c r="X100" i="6"/>
  <c r="X98" i="6"/>
  <c r="X97" i="6"/>
  <c r="X96" i="6"/>
  <c r="X95" i="6"/>
  <c r="X94" i="6"/>
  <c r="X93" i="6"/>
  <c r="X92" i="6"/>
  <c r="X91" i="6"/>
  <c r="X90" i="6"/>
  <c r="X89" i="6"/>
  <c r="X88" i="6"/>
  <c r="X86" i="6"/>
  <c r="X85" i="6"/>
  <c r="X84" i="6"/>
  <c r="X83" i="6"/>
  <c r="X82" i="6"/>
  <c r="X81" i="6"/>
  <c r="X80" i="6"/>
  <c r="X79" i="6"/>
  <c r="X78" i="6"/>
  <c r="X77" i="6"/>
  <c r="X76" i="6"/>
  <c r="X74" i="6"/>
  <c r="X73" i="6"/>
  <c r="X72" i="6"/>
  <c r="X71" i="6"/>
  <c r="X70" i="6"/>
  <c r="X69" i="6"/>
  <c r="X68" i="6"/>
  <c r="X67" i="6"/>
  <c r="X66" i="6"/>
  <c r="X65" i="6"/>
  <c r="X64" i="6"/>
  <c r="X62" i="6"/>
  <c r="X61" i="6"/>
  <c r="X60" i="6"/>
  <c r="X59" i="6"/>
  <c r="X58" i="6"/>
  <c r="X57" i="6"/>
  <c r="X56" i="6"/>
  <c r="X55" i="6"/>
  <c r="X54" i="6"/>
  <c r="X53" i="6"/>
  <c r="X52" i="6"/>
  <c r="X50" i="6"/>
  <c r="X49" i="6"/>
  <c r="X48" i="6"/>
  <c r="X47" i="6"/>
  <c r="X46" i="6"/>
  <c r="X45" i="6"/>
  <c r="X44" i="6"/>
  <c r="X43" i="6"/>
  <c r="X42" i="6"/>
  <c r="X41" i="6"/>
  <c r="X40" i="6"/>
  <c r="A7" i="26"/>
  <c r="F7" i="26"/>
  <c r="J7" i="26"/>
  <c r="O16" i="6"/>
  <c r="L19" i="6"/>
  <c r="S16" i="6"/>
  <c r="S15" i="6"/>
  <c r="S14" i="6"/>
  <c r="S13" i="6"/>
  <c r="S12" i="6"/>
  <c r="D23" i="6"/>
  <c r="B20" i="23"/>
  <c r="B19" i="23"/>
  <c r="B18" i="23"/>
  <c r="B17" i="23"/>
  <c r="B10" i="23"/>
  <c r="L16" i="6"/>
  <c r="H20" i="6"/>
  <c r="H21" i="6"/>
  <c r="B22" i="23"/>
  <c r="B16" i="23"/>
  <c r="H27" i="24"/>
  <c r="C38" i="16"/>
  <c r="B13" i="23"/>
  <c r="C13" i="23"/>
  <c r="C11" i="23"/>
  <c r="B11" i="23"/>
  <c r="B13" i="6"/>
  <c r="D15" i="6"/>
  <c r="B26" i="24"/>
  <c r="F16" i="6"/>
  <c r="H25" i="24"/>
  <c r="H24" i="24"/>
  <c r="C35" i="23"/>
  <c r="H21" i="24"/>
  <c r="H19" i="24"/>
  <c r="H8" i="24"/>
  <c r="H17" i="6"/>
  <c r="D14" i="6"/>
  <c r="C12" i="23"/>
  <c r="D13" i="6"/>
  <c r="D16" i="6"/>
  <c r="C7" i="23"/>
  <c r="D12" i="6"/>
  <c r="H9" i="24"/>
  <c r="C34" i="23"/>
  <c r="H14" i="6"/>
  <c r="H12" i="6"/>
  <c r="B18" i="24"/>
  <c r="B17" i="24"/>
  <c r="B6" i="23"/>
  <c r="V13" i="16"/>
  <c r="B17" i="16"/>
  <c r="B14" i="23"/>
  <c r="O19" i="6"/>
  <c r="O18" i="6"/>
  <c r="O15" i="6"/>
  <c r="L15" i="6"/>
  <c r="L14" i="6"/>
  <c r="L12" i="6"/>
  <c r="C36" i="23"/>
  <c r="B36" i="23"/>
  <c r="D22"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35" i="23"/>
  <c r="C30" i="23"/>
  <c r="B30" i="23"/>
  <c r="H16" i="6"/>
  <c r="B24" i="24"/>
  <c r="B25" i="24"/>
  <c r="B8" i="24"/>
  <c r="H11" i="24"/>
  <c r="B19" i="24"/>
  <c r="B20" i="24"/>
  <c r="C33" i="23"/>
  <c r="B23" i="23"/>
  <c r="B24" i="23"/>
  <c r="B25" i="23"/>
  <c r="B26" i="23"/>
  <c r="B28" i="23"/>
  <c r="C29" i="23"/>
  <c r="C31" i="23"/>
  <c r="R38" i="26"/>
  <c r="R37" i="26"/>
  <c r="R36" i="26"/>
  <c r="R35" i="26"/>
  <c r="R34" i="26"/>
  <c r="R33" i="26"/>
  <c r="R32" i="26"/>
  <c r="R31" i="26"/>
  <c r="R30" i="26"/>
  <c r="R29" i="26"/>
  <c r="R28" i="26"/>
  <c r="R27" i="26"/>
  <c r="R26" i="26"/>
  <c r="R25" i="26"/>
  <c r="R24" i="26"/>
  <c r="R23" i="26"/>
  <c r="R22" i="26"/>
  <c r="R21" i="26"/>
  <c r="R20" i="26"/>
  <c r="R19" i="26"/>
  <c r="R18" i="26"/>
  <c r="R17" i="26"/>
  <c r="R16" i="26"/>
  <c r="R15" i="26"/>
  <c r="R14" i="26"/>
  <c r="R13" i="26"/>
  <c r="R12" i="26"/>
  <c r="R11" i="26"/>
  <c r="R10" i="26"/>
  <c r="R9" i="26"/>
  <c r="V8" i="26"/>
  <c r="U8" i="26"/>
  <c r="T8" i="26"/>
  <c r="R8" i="26"/>
  <c r="P8" i="26"/>
  <c r="N8" i="26"/>
  <c r="M8" i="26"/>
  <c r="K8" i="26"/>
  <c r="A8" i="26"/>
  <c r="V7" i="26"/>
  <c r="U7" i="26"/>
  <c r="T7" i="26"/>
  <c r="S7" i="26"/>
  <c r="R7" i="26"/>
  <c r="Q7" i="26"/>
  <c r="P7" i="26"/>
  <c r="M7" i="26"/>
  <c r="L7" i="26"/>
  <c r="K7" i="26"/>
  <c r="I7" i="26"/>
  <c r="H7" i="26"/>
  <c r="G7" i="26"/>
  <c r="E7" i="26"/>
  <c r="D7" i="26"/>
  <c r="C7" i="26"/>
  <c r="B7" i="26"/>
  <c r="C32" i="23"/>
  <c r="B21" i="16"/>
  <c r="B34" i="23"/>
  <c r="B43" i="16"/>
  <c r="B42" i="16"/>
  <c r="B41" i="16"/>
  <c r="B31" i="23"/>
  <c r="B22" i="16"/>
  <c r="B12" i="23"/>
  <c r="B7" i="23"/>
  <c r="H22" i="6" a="1"/>
  <c r="H22" i="6" s="1"/>
  <c r="B11" i="24"/>
  <c r="B29" i="23"/>
  <c r="B9" i="24"/>
  <c r="B33" i="23"/>
  <c r="B32" i="23"/>
  <c r="H15" i="6"/>
  <c r="L18" i="6"/>
  <c r="D21" i="6"/>
  <c r="B38" i="6"/>
  <c r="B195" i="6"/>
  <c r="A22" i="26"/>
  <c r="B196" i="6"/>
  <c r="B39" i="6"/>
  <c r="A9" i="26"/>
  <c r="B387" i="6"/>
  <c r="A38" i="26"/>
  <c r="B386" i="6"/>
  <c r="B385" i="6"/>
  <c r="B384" i="6"/>
  <c r="B383" i="6"/>
  <c r="B382" i="6"/>
  <c r="B381" i="6"/>
  <c r="B380" i="6"/>
  <c r="B379" i="6"/>
  <c r="B378" i="6"/>
  <c r="B377" i="6"/>
  <c r="B376" i="6"/>
  <c r="B375" i="6"/>
  <c r="A37" i="26"/>
  <c r="B374" i="6"/>
  <c r="B373" i="6"/>
  <c r="B372" i="6"/>
  <c r="B371" i="6"/>
  <c r="B370" i="6"/>
  <c r="B369" i="6"/>
  <c r="B368" i="6"/>
  <c r="B367" i="6"/>
  <c r="B366" i="6"/>
  <c r="B365" i="6"/>
  <c r="B364" i="6"/>
  <c r="B363" i="6"/>
  <c r="A36" i="26"/>
  <c r="B362" i="6"/>
  <c r="B361" i="6"/>
  <c r="B360" i="6"/>
  <c r="B359" i="6"/>
  <c r="B358" i="6"/>
  <c r="B357" i="6"/>
  <c r="B356" i="6"/>
  <c r="B355" i="6"/>
  <c r="B354" i="6"/>
  <c r="B353" i="6"/>
  <c r="B352" i="6"/>
  <c r="B351" i="6"/>
  <c r="A35" i="26"/>
  <c r="B350" i="6"/>
  <c r="B349" i="6"/>
  <c r="B348" i="6"/>
  <c r="B347" i="6"/>
  <c r="B346" i="6"/>
  <c r="B345" i="6"/>
  <c r="B344" i="6"/>
  <c r="B343" i="6"/>
  <c r="B342" i="6"/>
  <c r="B341" i="6"/>
  <c r="B340" i="6"/>
  <c r="B339" i="6"/>
  <c r="A34" i="26"/>
  <c r="B338" i="6"/>
  <c r="B337" i="6"/>
  <c r="B336" i="6"/>
  <c r="B335" i="6"/>
  <c r="B334" i="6"/>
  <c r="B333" i="6"/>
  <c r="B332" i="6"/>
  <c r="B331" i="6"/>
  <c r="B330" i="6"/>
  <c r="B329" i="6"/>
  <c r="B328" i="6"/>
  <c r="B327" i="6"/>
  <c r="A33" i="26"/>
  <c r="B326" i="6"/>
  <c r="B325" i="6"/>
  <c r="B324" i="6"/>
  <c r="B323" i="6"/>
  <c r="B322" i="6"/>
  <c r="B321" i="6"/>
  <c r="B320" i="6"/>
  <c r="B319" i="6"/>
  <c r="B318" i="6"/>
  <c r="B317" i="6"/>
  <c r="B316" i="6"/>
  <c r="B315" i="6"/>
  <c r="A32" i="26"/>
  <c r="B314" i="6"/>
  <c r="B313" i="6"/>
  <c r="B312" i="6"/>
  <c r="B311" i="6"/>
  <c r="B310" i="6"/>
  <c r="B309" i="6"/>
  <c r="B308" i="6"/>
  <c r="B307" i="6"/>
  <c r="B306" i="6"/>
  <c r="B305" i="6"/>
  <c r="B304" i="6"/>
  <c r="B303" i="6"/>
  <c r="A31" i="26"/>
  <c r="B302" i="6"/>
  <c r="B301" i="6"/>
  <c r="B300" i="6"/>
  <c r="B299" i="6"/>
  <c r="B298" i="6"/>
  <c r="B297" i="6"/>
  <c r="B296" i="6"/>
  <c r="B295" i="6"/>
  <c r="B294" i="6"/>
  <c r="B293" i="6"/>
  <c r="B292" i="6"/>
  <c r="B291" i="6"/>
  <c r="A30" i="26"/>
  <c r="B290" i="6"/>
  <c r="B289" i="6"/>
  <c r="B288" i="6"/>
  <c r="B287" i="6"/>
  <c r="B286" i="6"/>
  <c r="B285" i="6"/>
  <c r="B284" i="6"/>
  <c r="B283" i="6"/>
  <c r="B282" i="6"/>
  <c r="B281" i="6"/>
  <c r="B280" i="6"/>
  <c r="B279" i="6"/>
  <c r="A29" i="26"/>
  <c r="B278" i="6"/>
  <c r="B277" i="6"/>
  <c r="B276" i="6"/>
  <c r="B275" i="6"/>
  <c r="B274" i="6"/>
  <c r="B273" i="6"/>
  <c r="B272" i="6"/>
  <c r="B271" i="6"/>
  <c r="B270" i="6"/>
  <c r="B269" i="6"/>
  <c r="B268" i="6"/>
  <c r="B267" i="6"/>
  <c r="A28" i="26"/>
  <c r="B266" i="6"/>
  <c r="B265" i="6"/>
  <c r="B264" i="6"/>
  <c r="B263" i="6"/>
  <c r="B262" i="6"/>
  <c r="B261" i="6"/>
  <c r="B260" i="6"/>
  <c r="B259" i="6"/>
  <c r="B258" i="6"/>
  <c r="B257" i="6"/>
  <c r="B256" i="6"/>
  <c r="B255" i="6"/>
  <c r="A27" i="26"/>
  <c r="B254" i="6"/>
  <c r="B253" i="6"/>
  <c r="B252" i="6"/>
  <c r="B251" i="6"/>
  <c r="B250" i="6"/>
  <c r="B249" i="6"/>
  <c r="B248" i="6"/>
  <c r="B247" i="6"/>
  <c r="B246" i="6"/>
  <c r="B245" i="6"/>
  <c r="B244" i="6"/>
  <c r="B243" i="6"/>
  <c r="A26" i="26"/>
  <c r="B242" i="6"/>
  <c r="B241" i="6"/>
  <c r="B240" i="6"/>
  <c r="B239" i="6"/>
  <c r="B238" i="6"/>
  <c r="B237" i="6"/>
  <c r="B236" i="6"/>
  <c r="B235" i="6"/>
  <c r="B234" i="6"/>
  <c r="B233" i="6"/>
  <c r="B232" i="6"/>
  <c r="B231" i="6"/>
  <c r="A25" i="26"/>
  <c r="B230" i="6"/>
  <c r="B229" i="6"/>
  <c r="B228" i="6"/>
  <c r="B227" i="6"/>
  <c r="B226" i="6"/>
  <c r="B225" i="6"/>
  <c r="B224" i="6"/>
  <c r="B223" i="6"/>
  <c r="B222" i="6"/>
  <c r="B221" i="6"/>
  <c r="B220" i="6"/>
  <c r="B219" i="6"/>
  <c r="A24" i="26"/>
  <c r="B218" i="6"/>
  <c r="B217" i="6"/>
  <c r="B216" i="6"/>
  <c r="B215" i="6"/>
  <c r="B214" i="6"/>
  <c r="B213" i="6"/>
  <c r="B212" i="6"/>
  <c r="B211" i="6"/>
  <c r="B210" i="6"/>
  <c r="B209" i="6"/>
  <c r="B208" i="6"/>
  <c r="B207" i="6"/>
  <c r="A23" i="26"/>
  <c r="B206" i="6"/>
  <c r="B205" i="6"/>
  <c r="B204" i="6"/>
  <c r="B203" i="6"/>
  <c r="B202" i="6"/>
  <c r="B201" i="6"/>
  <c r="B200" i="6"/>
  <c r="B199" i="6"/>
  <c r="B198" i="6"/>
  <c r="B197" i="6"/>
  <c r="B194" i="6"/>
  <c r="B193" i="6"/>
  <c r="B192" i="6"/>
  <c r="B191" i="6"/>
  <c r="B190" i="6"/>
  <c r="B189" i="6"/>
  <c r="B188" i="6"/>
  <c r="B187" i="6"/>
  <c r="B186" i="6"/>
  <c r="B185" i="6"/>
  <c r="B184" i="6"/>
  <c r="B183" i="6"/>
  <c r="A21" i="26"/>
  <c r="B182" i="6"/>
  <c r="B181" i="6"/>
  <c r="B180" i="6"/>
  <c r="B179" i="6"/>
  <c r="B178" i="6"/>
  <c r="B177" i="6"/>
  <c r="B176" i="6"/>
  <c r="B175" i="6"/>
  <c r="B174" i="6"/>
  <c r="B173" i="6"/>
  <c r="B172" i="6"/>
  <c r="B171" i="6"/>
  <c r="A20" i="26"/>
  <c r="B170" i="6"/>
  <c r="B169" i="6"/>
  <c r="B168" i="6"/>
  <c r="B167" i="6"/>
  <c r="B166" i="6"/>
  <c r="B165" i="6"/>
  <c r="B164" i="6"/>
  <c r="B163" i="6"/>
  <c r="B162" i="6"/>
  <c r="B161" i="6"/>
  <c r="B160" i="6"/>
  <c r="B159" i="6"/>
  <c r="A19" i="26"/>
  <c r="B158" i="6"/>
  <c r="B157" i="6"/>
  <c r="B156" i="6"/>
  <c r="B155" i="6"/>
  <c r="B154" i="6"/>
  <c r="B153" i="6"/>
  <c r="B152" i="6"/>
  <c r="B151" i="6"/>
  <c r="B150" i="6"/>
  <c r="B149" i="6"/>
  <c r="B148" i="6"/>
  <c r="B147" i="6"/>
  <c r="A18" i="26"/>
  <c r="B146" i="6"/>
  <c r="B145" i="6"/>
  <c r="B144" i="6"/>
  <c r="B143" i="6"/>
  <c r="B142" i="6"/>
  <c r="B141" i="6"/>
  <c r="B140" i="6"/>
  <c r="B139" i="6"/>
  <c r="B138" i="6"/>
  <c r="B137" i="6"/>
  <c r="B136" i="6"/>
  <c r="B135" i="6"/>
  <c r="A17" i="26"/>
  <c r="B134" i="6"/>
  <c r="B133" i="6"/>
  <c r="B132" i="6"/>
  <c r="B131" i="6"/>
  <c r="B130" i="6"/>
  <c r="B129" i="6"/>
  <c r="B128" i="6"/>
  <c r="B127" i="6"/>
  <c r="B126" i="6"/>
  <c r="B125" i="6"/>
  <c r="B124" i="6"/>
  <c r="B123" i="6"/>
  <c r="A16" i="26"/>
  <c r="B122" i="6"/>
  <c r="B121" i="6"/>
  <c r="B120" i="6"/>
  <c r="B119" i="6"/>
  <c r="B118" i="6"/>
  <c r="B117" i="6"/>
  <c r="B116" i="6"/>
  <c r="B115" i="6"/>
  <c r="B114" i="6"/>
  <c r="B113" i="6"/>
  <c r="B112" i="6"/>
  <c r="B111" i="6"/>
  <c r="A15" i="26"/>
  <c r="B110" i="6"/>
  <c r="B109" i="6"/>
  <c r="B108" i="6"/>
  <c r="B107" i="6"/>
  <c r="B106" i="6"/>
  <c r="B105" i="6"/>
  <c r="B104" i="6"/>
  <c r="B103" i="6"/>
  <c r="B102" i="6"/>
  <c r="B101" i="6"/>
  <c r="B100" i="6"/>
  <c r="B99" i="6"/>
  <c r="A14" i="26"/>
  <c r="B98" i="6"/>
  <c r="B97" i="6"/>
  <c r="B96" i="6"/>
  <c r="B95" i="6"/>
  <c r="B94" i="6"/>
  <c r="B93" i="6"/>
  <c r="B92" i="6"/>
  <c r="B91" i="6"/>
  <c r="B90" i="6"/>
  <c r="B89" i="6"/>
  <c r="B88" i="6"/>
  <c r="B87" i="6"/>
  <c r="A13" i="26"/>
  <c r="B86" i="6"/>
  <c r="B85" i="6"/>
  <c r="B84" i="6"/>
  <c r="B83" i="6"/>
  <c r="B82" i="6"/>
  <c r="B81" i="6"/>
  <c r="B80" i="6"/>
  <c r="B79" i="6"/>
  <c r="B78" i="6"/>
  <c r="B77" i="6"/>
  <c r="B76" i="6"/>
  <c r="B75" i="6"/>
  <c r="A12" i="26"/>
  <c r="B74" i="6"/>
  <c r="B73" i="6"/>
  <c r="B72" i="6"/>
  <c r="B71" i="6"/>
  <c r="B70" i="6"/>
  <c r="B69" i="6"/>
  <c r="B68" i="6"/>
  <c r="B67" i="6"/>
  <c r="B66" i="6"/>
  <c r="B65" i="6"/>
  <c r="B64" i="6"/>
  <c r="B63" i="6"/>
  <c r="A11" i="26"/>
  <c r="B62" i="6"/>
  <c r="B61" i="6"/>
  <c r="B60" i="6"/>
  <c r="B59" i="6"/>
  <c r="B58" i="6"/>
  <c r="B57" i="6"/>
  <c r="B56" i="6"/>
  <c r="B55" i="6"/>
  <c r="B54" i="6"/>
  <c r="B53" i="6"/>
  <c r="B52" i="6"/>
  <c r="B51" i="6"/>
  <c r="A10" i="26"/>
  <c r="B50" i="6"/>
  <c r="B49" i="6"/>
  <c r="B48" i="6"/>
  <c r="B47" i="6"/>
  <c r="B46" i="6"/>
  <c r="B45" i="6"/>
  <c r="B44" i="6"/>
  <c r="B43" i="6"/>
  <c r="B42" i="6"/>
  <c r="B41" i="6"/>
  <c r="B40" i="6"/>
  <c r="B37" i="6"/>
  <c r="B36" i="6"/>
  <c r="B35" i="6"/>
  <c r="B34" i="6"/>
  <c r="B33" i="6"/>
  <c r="B32" i="6"/>
  <c r="B31" i="6"/>
  <c r="B30" i="6"/>
  <c r="B29" i="6"/>
  <c r="B28" i="6"/>
  <c r="E10" i="5"/>
  <c r="E9" i="5"/>
  <c r="E8" i="5"/>
  <c r="E7" i="5"/>
  <c r="E5" i="5"/>
  <c r="E6" i="5"/>
  <c r="E11" i="5"/>
  <c r="C27" i="16" l="1"/>
  <c r="C9" i="23"/>
  <c r="D17" i="6"/>
  <c r="D20" i="6"/>
  <c r="AB27" i="6"/>
  <c r="S8" i="26" s="1"/>
  <c r="G8" i="26"/>
  <c r="H17" i="24"/>
  <c r="C8" i="23"/>
  <c r="B8" i="26"/>
  <c r="H10" i="24"/>
  <c r="H26" i="24"/>
  <c r="H28" i="24" s="1"/>
  <c r="C36" i="16"/>
  <c r="D28" i="6"/>
  <c r="D29" i="6" s="1"/>
  <c r="D30" i="6" s="1"/>
  <c r="D31" i="6" s="1"/>
  <c r="D32" i="6" s="1"/>
  <c r="D33" i="6" s="1"/>
  <c r="D34" i="6" s="1"/>
  <c r="D35" i="6" s="1"/>
  <c r="D36" i="6" s="1"/>
  <c r="D37" i="6" s="1"/>
  <c r="D38" i="6" s="1"/>
  <c r="D39" i="6" s="1"/>
  <c r="C9" i="26" s="1"/>
  <c r="O14" i="6"/>
  <c r="E28" i="6" s="1"/>
  <c r="E29" i="6" s="1"/>
  <c r="E30" i="6" s="1"/>
  <c r="E31" i="6" s="1"/>
  <c r="E32" i="6" s="1"/>
  <c r="E33" i="6" s="1"/>
  <c r="E34" i="6" s="1"/>
  <c r="E35" i="6" s="1"/>
  <c r="E36" i="6" s="1"/>
  <c r="E37" i="6" s="1"/>
  <c r="E38" i="6" s="1"/>
  <c r="E39" i="6" s="1"/>
  <c r="D9" i="26" s="1"/>
  <c r="C15" i="16"/>
  <c r="O12" i="6"/>
  <c r="K28" i="6" s="1"/>
  <c r="F27" i="6"/>
  <c r="G32" i="24" s="1"/>
  <c r="AC507" i="6"/>
  <c r="AC447" i="6"/>
  <c r="AC483" i="6"/>
  <c r="Q27" i="6"/>
  <c r="AC423" i="6"/>
  <c r="C34" i="6"/>
  <c r="AC435" i="6"/>
  <c r="AC495" i="6"/>
  <c r="AC459" i="6"/>
  <c r="AC399" i="6"/>
  <c r="AC471" i="6"/>
  <c r="AC411" i="6"/>
  <c r="F30" i="6"/>
  <c r="AB17" i="6" l="1"/>
  <c r="AB16" i="6"/>
  <c r="D40" i="6"/>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L28" i="6"/>
  <c r="AE39" i="6"/>
  <c r="V9" i="26" s="1"/>
  <c r="L29" i="6"/>
  <c r="O29" i="6"/>
  <c r="O28" i="6"/>
  <c r="E40" i="6"/>
  <c r="E41" i="6" s="1"/>
  <c r="E42" i="6" s="1"/>
  <c r="E43" i="6" s="1"/>
  <c r="E44" i="6" s="1"/>
  <c r="E45" i="6" s="1"/>
  <c r="E46" i="6" s="1"/>
  <c r="E47" i="6" s="1"/>
  <c r="E48" i="6" s="1"/>
  <c r="E49" i="6" s="1"/>
  <c r="E50" i="6" s="1"/>
  <c r="E51" i="6" s="1"/>
  <c r="E52" i="6" s="1"/>
  <c r="E53" i="6" s="1"/>
  <c r="E54" i="6" s="1"/>
  <c r="E55" i="6" s="1"/>
  <c r="E56" i="6" s="1"/>
  <c r="E57" i="6" s="1"/>
  <c r="E58" i="6" s="1"/>
  <c r="E59" i="6" s="1"/>
  <c r="E60" i="6" s="1"/>
  <c r="E61" i="6" s="1"/>
  <c r="E62" i="6" s="1"/>
  <c r="E63" i="6" s="1"/>
  <c r="E27" i="6"/>
  <c r="D8" i="26" s="1"/>
  <c r="C17" i="16"/>
  <c r="AB12" i="6"/>
  <c r="L13" i="6" s="1"/>
  <c r="C10" i="23"/>
  <c r="K27" i="6"/>
  <c r="E8" i="26" s="1"/>
  <c r="H20" i="24"/>
  <c r="H22" i="24" s="1"/>
  <c r="H29" i="24" s="1"/>
  <c r="AB18" i="6"/>
  <c r="AB15" i="6"/>
  <c r="U27" i="6"/>
  <c r="H8" i="26"/>
  <c r="Z28" i="6"/>
  <c r="P28" i="6"/>
  <c r="M28" i="6"/>
  <c r="N28" i="6"/>
  <c r="R28" i="6" s="1"/>
  <c r="T28" i="6" s="1"/>
  <c r="C35" i="6"/>
  <c r="F31" i="6"/>
  <c r="L30" i="6"/>
  <c r="O30" i="6"/>
  <c r="L27" i="6" l="1"/>
  <c r="AE51" i="6"/>
  <c r="V10" i="26" s="1"/>
  <c r="C10" i="26"/>
  <c r="S20" i="6"/>
  <c r="W14" i="16" s="1"/>
  <c r="O27" i="6"/>
  <c r="F8" i="26" s="1"/>
  <c r="D10" i="26"/>
  <c r="Z27" i="6"/>
  <c r="Q8" i="26" s="1"/>
  <c r="M27" i="6"/>
  <c r="C24" i="16"/>
  <c r="H18" i="24"/>
  <c r="AI27" i="6"/>
  <c r="AI39" i="6" s="1"/>
  <c r="AI51" i="6" s="1"/>
  <c r="AI63" i="6" s="1"/>
  <c r="AI75" i="6" s="1"/>
  <c r="AI87" i="6" s="1"/>
  <c r="AI99" i="6" s="1"/>
  <c r="AI111" i="6" s="1"/>
  <c r="AI123" i="6" s="1"/>
  <c r="AI135" i="6" s="1"/>
  <c r="AI147" i="6" s="1"/>
  <c r="AI159" i="6" s="1"/>
  <c r="AI171" i="6" s="1"/>
  <c r="AI183" i="6" s="1"/>
  <c r="AI195" i="6" s="1"/>
  <c r="AI207" i="6" s="1"/>
  <c r="AI219" i="6" s="1"/>
  <c r="AI231" i="6" s="1"/>
  <c r="AI243" i="6" s="1"/>
  <c r="AI255" i="6" s="1"/>
  <c r="AI267" i="6" s="1"/>
  <c r="AI279" i="6" s="1"/>
  <c r="AI291" i="6" s="1"/>
  <c r="AI303" i="6" s="1"/>
  <c r="AI315" i="6" s="1"/>
  <c r="AI327" i="6" s="1"/>
  <c r="AI339" i="6" s="1"/>
  <c r="AI351" i="6" s="1"/>
  <c r="AI363" i="6" s="1"/>
  <c r="AI375" i="6" s="1"/>
  <c r="AI387" i="6" s="1"/>
  <c r="AI399" i="6" s="1"/>
  <c r="AI411" i="6" s="1"/>
  <c r="AI423" i="6" s="1"/>
  <c r="AI435" i="6" s="1"/>
  <c r="AI447" i="6" s="1"/>
  <c r="AI459" i="6" s="1"/>
  <c r="AI471" i="6" s="1"/>
  <c r="AI483" i="6" s="1"/>
  <c r="AI495" i="6" s="1"/>
  <c r="AI507" i="6" s="1"/>
  <c r="D18" i="6"/>
  <c r="C14" i="23"/>
  <c r="W13" i="16"/>
  <c r="AG27" i="6"/>
  <c r="AF27" i="6"/>
  <c r="E64" i="6"/>
  <c r="E65" i="6" s="1"/>
  <c r="E66" i="6" s="1"/>
  <c r="E67" i="6" s="1"/>
  <c r="E68" i="6" s="1"/>
  <c r="E69" i="6" s="1"/>
  <c r="E70" i="6" s="1"/>
  <c r="E71" i="6" s="1"/>
  <c r="E72" i="6" s="1"/>
  <c r="E73" i="6" s="1"/>
  <c r="E74" i="6" s="1"/>
  <c r="E75" i="6" s="1"/>
  <c r="D11" i="26"/>
  <c r="N27" i="6"/>
  <c r="D64" i="6"/>
  <c r="D65" i="6" s="1"/>
  <c r="D66" i="6" s="1"/>
  <c r="D67" i="6" s="1"/>
  <c r="D68" i="6" s="1"/>
  <c r="D69" i="6" s="1"/>
  <c r="D70" i="6" s="1"/>
  <c r="D71" i="6" s="1"/>
  <c r="D72" i="6" s="1"/>
  <c r="D73" i="6" s="1"/>
  <c r="D74" i="6" s="1"/>
  <c r="D75" i="6" s="1"/>
  <c r="AE63" i="6"/>
  <c r="V11" i="26" s="1"/>
  <c r="C11" i="26"/>
  <c r="AH27" i="6"/>
  <c r="L8" i="26"/>
  <c r="F32" i="6"/>
  <c r="L31" i="6"/>
  <c r="O31" i="6"/>
  <c r="C36" i="6"/>
  <c r="K29" i="6"/>
  <c r="AB29" i="6"/>
  <c r="Q28" i="6"/>
  <c r="U28" i="6" s="1"/>
  <c r="D32" i="24" l="1"/>
  <c r="S21" i="6"/>
  <c r="D23" i="31" s="1"/>
  <c r="D21" i="31"/>
  <c r="E76" i="6"/>
  <c r="E77" i="6" s="1"/>
  <c r="E78" i="6" s="1"/>
  <c r="E79" i="6" s="1"/>
  <c r="E80" i="6" s="1"/>
  <c r="E81" i="6" s="1"/>
  <c r="E82" i="6" s="1"/>
  <c r="E83" i="6" s="1"/>
  <c r="E84" i="6" s="1"/>
  <c r="E85" i="6" s="1"/>
  <c r="E86" i="6" s="1"/>
  <c r="E87" i="6" s="1"/>
  <c r="D12" i="26"/>
  <c r="C37" i="16"/>
  <c r="R27" i="6"/>
  <c r="D76" i="6"/>
  <c r="D77" i="6" s="1"/>
  <c r="D78" i="6" s="1"/>
  <c r="D79" i="6" s="1"/>
  <c r="D80" i="6" s="1"/>
  <c r="D81" i="6" s="1"/>
  <c r="D82" i="6" s="1"/>
  <c r="D83" i="6" s="1"/>
  <c r="D84" i="6" s="1"/>
  <c r="D85" i="6" s="1"/>
  <c r="D86" i="6" s="1"/>
  <c r="D87" i="6" s="1"/>
  <c r="C12" i="26"/>
  <c r="AE75" i="6"/>
  <c r="V12" i="26" s="1"/>
  <c r="C37" i="6"/>
  <c r="AH28" i="6"/>
  <c r="AD28" i="6"/>
  <c r="W28" i="6"/>
  <c r="P29" i="6"/>
  <c r="M29" i="6"/>
  <c r="N29" i="6"/>
  <c r="R29" i="6" s="1"/>
  <c r="T29" i="6" s="1"/>
  <c r="Z29" i="6"/>
  <c r="F33" i="6"/>
  <c r="L32" i="6"/>
  <c r="O32" i="6"/>
  <c r="I8" i="26" l="1"/>
  <c r="S22" i="6"/>
  <c r="D22" i="31" s="1"/>
  <c r="W15" i="16"/>
  <c r="H12" i="24"/>
  <c r="E88" i="6"/>
  <c r="E89" i="6" s="1"/>
  <c r="E90" i="6" s="1"/>
  <c r="E91" i="6" s="1"/>
  <c r="E92" i="6" s="1"/>
  <c r="E93" i="6" s="1"/>
  <c r="E94" i="6" s="1"/>
  <c r="E95" i="6" s="1"/>
  <c r="E96" i="6" s="1"/>
  <c r="E97" i="6" s="1"/>
  <c r="E98" i="6" s="1"/>
  <c r="E99" i="6" s="1"/>
  <c r="D13" i="26"/>
  <c r="D88" i="6"/>
  <c r="D89" i="6" s="1"/>
  <c r="D90" i="6" s="1"/>
  <c r="D91" i="6" s="1"/>
  <c r="D92" i="6" s="1"/>
  <c r="D93" i="6" s="1"/>
  <c r="D94" i="6" s="1"/>
  <c r="D95" i="6" s="1"/>
  <c r="D96" i="6" s="1"/>
  <c r="D97" i="6" s="1"/>
  <c r="D98" i="6" s="1"/>
  <c r="D99" i="6" s="1"/>
  <c r="AE87" i="6"/>
  <c r="V13" i="26" s="1"/>
  <c r="C13" i="26"/>
  <c r="K30" i="6"/>
  <c r="AB30" i="6"/>
  <c r="Q29" i="6"/>
  <c r="U29" i="6" s="1"/>
  <c r="F34" i="6"/>
  <c r="L33" i="6"/>
  <c r="O33" i="6"/>
  <c r="C38" i="6"/>
  <c r="H13" i="24" l="1"/>
  <c r="E100" i="6"/>
  <c r="E101" i="6" s="1"/>
  <c r="E102" i="6" s="1"/>
  <c r="E103" i="6" s="1"/>
  <c r="E104" i="6" s="1"/>
  <c r="E105" i="6" s="1"/>
  <c r="E106" i="6" s="1"/>
  <c r="E107" i="6" s="1"/>
  <c r="E108" i="6" s="1"/>
  <c r="E109" i="6" s="1"/>
  <c r="E110" i="6" s="1"/>
  <c r="E111" i="6" s="1"/>
  <c r="D14" i="26"/>
  <c r="D100" i="6"/>
  <c r="D101" i="6" s="1"/>
  <c r="D102" i="6" s="1"/>
  <c r="D103" i="6" s="1"/>
  <c r="D104" i="6" s="1"/>
  <c r="D105" i="6" s="1"/>
  <c r="D106" i="6" s="1"/>
  <c r="D107" i="6" s="1"/>
  <c r="D108" i="6" s="1"/>
  <c r="D109" i="6" s="1"/>
  <c r="D110" i="6" s="1"/>
  <c r="D111" i="6" s="1"/>
  <c r="C14" i="26"/>
  <c r="AE99" i="6"/>
  <c r="V14" i="26" s="1"/>
  <c r="F35" i="6"/>
  <c r="L34" i="6"/>
  <c r="O34" i="6"/>
  <c r="W29" i="6"/>
  <c r="AD29" i="6"/>
  <c r="AH29" i="6"/>
  <c r="C39" i="6"/>
  <c r="P30" i="6"/>
  <c r="N30" i="6"/>
  <c r="R30" i="6" s="1"/>
  <c r="T30" i="6" s="1"/>
  <c r="Z30" i="6"/>
  <c r="M30" i="6"/>
  <c r="E112" i="6" l="1"/>
  <c r="E113" i="6" s="1"/>
  <c r="E114" i="6" s="1"/>
  <c r="E115" i="6" s="1"/>
  <c r="E116" i="6" s="1"/>
  <c r="E117" i="6" s="1"/>
  <c r="E118" i="6" s="1"/>
  <c r="E119" i="6" s="1"/>
  <c r="E120" i="6" s="1"/>
  <c r="E121" i="6" s="1"/>
  <c r="E122" i="6" s="1"/>
  <c r="E123" i="6" s="1"/>
  <c r="D15" i="26"/>
  <c r="D112" i="6"/>
  <c r="D113" i="6" s="1"/>
  <c r="D114" i="6" s="1"/>
  <c r="D115" i="6" s="1"/>
  <c r="D116" i="6" s="1"/>
  <c r="D117" i="6" s="1"/>
  <c r="D118" i="6" s="1"/>
  <c r="D119" i="6" s="1"/>
  <c r="D120" i="6" s="1"/>
  <c r="D121" i="6" s="1"/>
  <c r="D122" i="6" s="1"/>
  <c r="D123" i="6" s="1"/>
  <c r="C15" i="26"/>
  <c r="AE111" i="6"/>
  <c r="V15" i="26" s="1"/>
  <c r="K31" i="6"/>
  <c r="AB31" i="6"/>
  <c r="Q30" i="6"/>
  <c r="U30" i="6" s="1"/>
  <c r="C40" i="6"/>
  <c r="B9" i="26"/>
  <c r="F36" i="6"/>
  <c r="L35" i="6"/>
  <c r="O35" i="6"/>
  <c r="E124" i="6" l="1"/>
  <c r="E125" i="6" s="1"/>
  <c r="E126" i="6" s="1"/>
  <c r="E127" i="6" s="1"/>
  <c r="E128" i="6" s="1"/>
  <c r="E129" i="6" s="1"/>
  <c r="E130" i="6" s="1"/>
  <c r="E131" i="6" s="1"/>
  <c r="E132" i="6" s="1"/>
  <c r="E133" i="6" s="1"/>
  <c r="E134" i="6" s="1"/>
  <c r="E135" i="6" s="1"/>
  <c r="D16" i="26"/>
  <c r="C16" i="26"/>
  <c r="D124" i="6"/>
  <c r="D125" i="6" s="1"/>
  <c r="D126" i="6" s="1"/>
  <c r="D127" i="6" s="1"/>
  <c r="D128" i="6" s="1"/>
  <c r="D129" i="6" s="1"/>
  <c r="D130" i="6" s="1"/>
  <c r="D131" i="6" s="1"/>
  <c r="D132" i="6" s="1"/>
  <c r="D133" i="6" s="1"/>
  <c r="D134" i="6" s="1"/>
  <c r="D135" i="6" s="1"/>
  <c r="AE123" i="6"/>
  <c r="V16" i="26" s="1"/>
  <c r="F37" i="6"/>
  <c r="L36" i="6"/>
  <c r="O36" i="6"/>
  <c r="C41" i="6"/>
  <c r="W30" i="6"/>
  <c r="AD30" i="6"/>
  <c r="AH30" i="6"/>
  <c r="P31" i="6"/>
  <c r="N31" i="6"/>
  <c r="R31" i="6" s="1"/>
  <c r="T31" i="6" s="1"/>
  <c r="Z31" i="6"/>
  <c r="M31" i="6"/>
  <c r="D17" i="26" l="1"/>
  <c r="E136" i="6"/>
  <c r="E137" i="6" s="1"/>
  <c r="E138" i="6" s="1"/>
  <c r="E139" i="6" s="1"/>
  <c r="E140" i="6" s="1"/>
  <c r="E141" i="6" s="1"/>
  <c r="E142" i="6" s="1"/>
  <c r="E143" i="6" s="1"/>
  <c r="E144" i="6" s="1"/>
  <c r="E145" i="6" s="1"/>
  <c r="E146" i="6" s="1"/>
  <c r="E147" i="6" s="1"/>
  <c r="D136" i="6"/>
  <c r="D137" i="6" s="1"/>
  <c r="D138" i="6" s="1"/>
  <c r="D139" i="6" s="1"/>
  <c r="D140" i="6" s="1"/>
  <c r="D141" i="6" s="1"/>
  <c r="D142" i="6" s="1"/>
  <c r="D143" i="6" s="1"/>
  <c r="D144" i="6" s="1"/>
  <c r="D145" i="6" s="1"/>
  <c r="D146" i="6" s="1"/>
  <c r="D147" i="6" s="1"/>
  <c r="C17" i="26"/>
  <c r="AE135" i="6"/>
  <c r="V17" i="26" s="1"/>
  <c r="C42" i="6"/>
  <c r="K32" i="6"/>
  <c r="AB32" i="6"/>
  <c r="Q31" i="6"/>
  <c r="U31" i="6" s="1"/>
  <c r="F38" i="6"/>
  <c r="L37" i="6"/>
  <c r="O37" i="6"/>
  <c r="E148" i="6" l="1"/>
  <c r="E149" i="6" s="1"/>
  <c r="E150" i="6" s="1"/>
  <c r="E151" i="6" s="1"/>
  <c r="E152" i="6" s="1"/>
  <c r="E153" i="6" s="1"/>
  <c r="E154" i="6" s="1"/>
  <c r="E155" i="6" s="1"/>
  <c r="E156" i="6" s="1"/>
  <c r="E157" i="6" s="1"/>
  <c r="E158" i="6" s="1"/>
  <c r="E159" i="6" s="1"/>
  <c r="D18" i="26"/>
  <c r="C18" i="26"/>
  <c r="AE147" i="6"/>
  <c r="V18" i="26" s="1"/>
  <c r="D148" i="6"/>
  <c r="D149" i="6" s="1"/>
  <c r="D150" i="6" s="1"/>
  <c r="D151" i="6" s="1"/>
  <c r="D152" i="6" s="1"/>
  <c r="D153" i="6" s="1"/>
  <c r="D154" i="6" s="1"/>
  <c r="D155" i="6" s="1"/>
  <c r="D156" i="6" s="1"/>
  <c r="D157" i="6" s="1"/>
  <c r="D158" i="6" s="1"/>
  <c r="D159" i="6" s="1"/>
  <c r="F39" i="6"/>
  <c r="L38" i="6"/>
  <c r="O38" i="6"/>
  <c r="AH31" i="6"/>
  <c r="W31" i="6"/>
  <c r="AD31" i="6"/>
  <c r="P32" i="6"/>
  <c r="N32" i="6"/>
  <c r="R32" i="6" s="1"/>
  <c r="T32" i="6" s="1"/>
  <c r="Z32" i="6"/>
  <c r="M32" i="6"/>
  <c r="C43" i="6"/>
  <c r="D19" i="26" l="1"/>
  <c r="E160" i="6"/>
  <c r="E161" i="6" s="1"/>
  <c r="E162" i="6" s="1"/>
  <c r="E163" i="6" s="1"/>
  <c r="E164" i="6" s="1"/>
  <c r="E165" i="6" s="1"/>
  <c r="E166" i="6" s="1"/>
  <c r="E167" i="6" s="1"/>
  <c r="E168" i="6" s="1"/>
  <c r="E169" i="6" s="1"/>
  <c r="E170" i="6" s="1"/>
  <c r="E171" i="6" s="1"/>
  <c r="D160" i="6"/>
  <c r="D161" i="6" s="1"/>
  <c r="D162" i="6" s="1"/>
  <c r="D163" i="6" s="1"/>
  <c r="D164" i="6" s="1"/>
  <c r="D165" i="6" s="1"/>
  <c r="D166" i="6" s="1"/>
  <c r="D167" i="6" s="1"/>
  <c r="D168" i="6" s="1"/>
  <c r="D169" i="6" s="1"/>
  <c r="D170" i="6" s="1"/>
  <c r="D171" i="6" s="1"/>
  <c r="C19" i="26"/>
  <c r="AE159" i="6"/>
  <c r="V19" i="26" s="1"/>
  <c r="C44" i="6"/>
  <c r="K33" i="6"/>
  <c r="Q32" i="6"/>
  <c r="U32" i="6" s="1"/>
  <c r="AB33" i="6"/>
  <c r="F40" i="6"/>
  <c r="L39" i="6"/>
  <c r="O39" i="6"/>
  <c r="F9" i="26" s="1"/>
  <c r="E172" i="6" l="1"/>
  <c r="E173" i="6" s="1"/>
  <c r="E174" i="6" s="1"/>
  <c r="E175" i="6" s="1"/>
  <c r="E176" i="6" s="1"/>
  <c r="E177" i="6" s="1"/>
  <c r="E178" i="6" s="1"/>
  <c r="E179" i="6" s="1"/>
  <c r="E180" i="6" s="1"/>
  <c r="E181" i="6" s="1"/>
  <c r="E182" i="6" s="1"/>
  <c r="E183" i="6" s="1"/>
  <c r="D20" i="26"/>
  <c r="C20" i="26"/>
  <c r="AE171" i="6"/>
  <c r="V20" i="26" s="1"/>
  <c r="D172" i="6"/>
  <c r="D173" i="6" s="1"/>
  <c r="D174" i="6" s="1"/>
  <c r="D175" i="6" s="1"/>
  <c r="D176" i="6" s="1"/>
  <c r="D177" i="6" s="1"/>
  <c r="D178" i="6" s="1"/>
  <c r="D179" i="6" s="1"/>
  <c r="D180" i="6" s="1"/>
  <c r="D181" i="6" s="1"/>
  <c r="D182" i="6" s="1"/>
  <c r="D183" i="6" s="1"/>
  <c r="AD32" i="6"/>
  <c r="W32" i="6"/>
  <c r="AH32" i="6"/>
  <c r="P33" i="6"/>
  <c r="N33" i="6"/>
  <c r="R33" i="6" s="1"/>
  <c r="T33" i="6" s="1"/>
  <c r="Z33" i="6"/>
  <c r="M33" i="6"/>
  <c r="F41" i="6"/>
  <c r="L40" i="6"/>
  <c r="O40" i="6"/>
  <c r="C45" i="6"/>
  <c r="E184" i="6" l="1"/>
  <c r="E185" i="6" s="1"/>
  <c r="E186" i="6" s="1"/>
  <c r="E187" i="6" s="1"/>
  <c r="E188" i="6" s="1"/>
  <c r="E189" i="6" s="1"/>
  <c r="E190" i="6" s="1"/>
  <c r="E191" i="6" s="1"/>
  <c r="E192" i="6" s="1"/>
  <c r="E193" i="6" s="1"/>
  <c r="E194" i="6" s="1"/>
  <c r="E195" i="6" s="1"/>
  <c r="D21" i="26"/>
  <c r="D184" i="6"/>
  <c r="D185" i="6" s="1"/>
  <c r="D186" i="6" s="1"/>
  <c r="D187" i="6" s="1"/>
  <c r="D188" i="6" s="1"/>
  <c r="D189" i="6" s="1"/>
  <c r="D190" i="6" s="1"/>
  <c r="D191" i="6" s="1"/>
  <c r="D192" i="6" s="1"/>
  <c r="D193" i="6" s="1"/>
  <c r="D194" i="6" s="1"/>
  <c r="D195" i="6" s="1"/>
  <c r="C21" i="26"/>
  <c r="AE183" i="6"/>
  <c r="V21" i="26" s="1"/>
  <c r="F42" i="6"/>
  <c r="L41" i="6"/>
  <c r="O41" i="6"/>
  <c r="C46" i="6"/>
  <c r="K34" i="6"/>
  <c r="AB34" i="6"/>
  <c r="Q33" i="6"/>
  <c r="U33" i="6" s="1"/>
  <c r="E196" i="6" l="1"/>
  <c r="E197" i="6" s="1"/>
  <c r="E198" i="6" s="1"/>
  <c r="E199" i="6" s="1"/>
  <c r="E200" i="6" s="1"/>
  <c r="E201" i="6" s="1"/>
  <c r="E202" i="6" s="1"/>
  <c r="E203" i="6" s="1"/>
  <c r="E204" i="6" s="1"/>
  <c r="E205" i="6" s="1"/>
  <c r="E206" i="6" s="1"/>
  <c r="E207" i="6" s="1"/>
  <c r="D22" i="26"/>
  <c r="C22" i="26"/>
  <c r="AE195" i="6"/>
  <c r="V22" i="26" s="1"/>
  <c r="D196" i="6"/>
  <c r="D197" i="6" s="1"/>
  <c r="D198" i="6" s="1"/>
  <c r="D199" i="6" s="1"/>
  <c r="D200" i="6" s="1"/>
  <c r="D201" i="6" s="1"/>
  <c r="D202" i="6" s="1"/>
  <c r="D203" i="6" s="1"/>
  <c r="D204" i="6" s="1"/>
  <c r="D205" i="6" s="1"/>
  <c r="D206" i="6" s="1"/>
  <c r="D207" i="6" s="1"/>
  <c r="C47" i="6"/>
  <c r="W33" i="6"/>
  <c r="AD33" i="6"/>
  <c r="AH33" i="6"/>
  <c r="P34" i="6"/>
  <c r="N34" i="6"/>
  <c r="R34" i="6" s="1"/>
  <c r="T34" i="6" s="1"/>
  <c r="Z34" i="6"/>
  <c r="M34" i="6"/>
  <c r="F43" i="6"/>
  <c r="L42" i="6"/>
  <c r="O42" i="6"/>
  <c r="E208" i="6" l="1"/>
  <c r="E209" i="6" s="1"/>
  <c r="E210" i="6" s="1"/>
  <c r="E211" i="6" s="1"/>
  <c r="E212" i="6" s="1"/>
  <c r="E213" i="6" s="1"/>
  <c r="E214" i="6" s="1"/>
  <c r="E215" i="6" s="1"/>
  <c r="E216" i="6" s="1"/>
  <c r="E217" i="6" s="1"/>
  <c r="E218" i="6" s="1"/>
  <c r="E219" i="6" s="1"/>
  <c r="D23" i="26"/>
  <c r="D208" i="6"/>
  <c r="D209" i="6" s="1"/>
  <c r="D210" i="6" s="1"/>
  <c r="D211" i="6" s="1"/>
  <c r="D212" i="6" s="1"/>
  <c r="D213" i="6" s="1"/>
  <c r="D214" i="6" s="1"/>
  <c r="D215" i="6" s="1"/>
  <c r="D216" i="6" s="1"/>
  <c r="D217" i="6" s="1"/>
  <c r="D218" i="6" s="1"/>
  <c r="D219" i="6" s="1"/>
  <c r="C23" i="26"/>
  <c r="AE207" i="6"/>
  <c r="V23" i="26" s="1"/>
  <c r="K35" i="6"/>
  <c r="AB35" i="6"/>
  <c r="Q34" i="6"/>
  <c r="U34" i="6" s="1"/>
  <c r="F44" i="6"/>
  <c r="L43" i="6"/>
  <c r="O43" i="6"/>
  <c r="C48" i="6"/>
  <c r="E220" i="6" l="1"/>
  <c r="E221" i="6" s="1"/>
  <c r="E222" i="6" s="1"/>
  <c r="E223" i="6" s="1"/>
  <c r="E224" i="6" s="1"/>
  <c r="E225" i="6" s="1"/>
  <c r="E226" i="6" s="1"/>
  <c r="E227" i="6" s="1"/>
  <c r="E228" i="6" s="1"/>
  <c r="E229" i="6" s="1"/>
  <c r="E230" i="6" s="1"/>
  <c r="E231" i="6" s="1"/>
  <c r="D24" i="26"/>
  <c r="C24" i="26"/>
  <c r="AE219" i="6"/>
  <c r="V24" i="26" s="1"/>
  <c r="D220" i="6"/>
  <c r="D221" i="6" s="1"/>
  <c r="D222" i="6" s="1"/>
  <c r="D223" i="6" s="1"/>
  <c r="D224" i="6" s="1"/>
  <c r="D225" i="6" s="1"/>
  <c r="D226" i="6" s="1"/>
  <c r="D227" i="6" s="1"/>
  <c r="D228" i="6" s="1"/>
  <c r="D229" i="6" s="1"/>
  <c r="D230" i="6" s="1"/>
  <c r="D231" i="6" s="1"/>
  <c r="F45" i="6"/>
  <c r="L44" i="6"/>
  <c r="O44" i="6"/>
  <c r="AH34" i="6"/>
  <c r="W34" i="6"/>
  <c r="AD34" i="6"/>
  <c r="C49" i="6"/>
  <c r="P35" i="6"/>
  <c r="N35" i="6"/>
  <c r="R35" i="6" s="1"/>
  <c r="T35" i="6" s="1"/>
  <c r="Z35" i="6"/>
  <c r="M35" i="6"/>
  <c r="D25" i="26" l="1"/>
  <c r="E232" i="6"/>
  <c r="E233" i="6" s="1"/>
  <c r="E234" i="6" s="1"/>
  <c r="E235" i="6" s="1"/>
  <c r="E236" i="6" s="1"/>
  <c r="E237" i="6" s="1"/>
  <c r="E238" i="6" s="1"/>
  <c r="E239" i="6" s="1"/>
  <c r="E240" i="6" s="1"/>
  <c r="E241" i="6" s="1"/>
  <c r="E242" i="6" s="1"/>
  <c r="E243" i="6" s="1"/>
  <c r="D232" i="6"/>
  <c r="D233" i="6" s="1"/>
  <c r="D234" i="6" s="1"/>
  <c r="D235" i="6" s="1"/>
  <c r="D236" i="6" s="1"/>
  <c r="D237" i="6" s="1"/>
  <c r="D238" i="6" s="1"/>
  <c r="D239" i="6" s="1"/>
  <c r="D240" i="6" s="1"/>
  <c r="D241" i="6" s="1"/>
  <c r="D242" i="6" s="1"/>
  <c r="D243" i="6" s="1"/>
  <c r="C25" i="26"/>
  <c r="AE231" i="6"/>
  <c r="V25" i="26" s="1"/>
  <c r="K36" i="6"/>
  <c r="AB36" i="6"/>
  <c r="Q35" i="6"/>
  <c r="U35" i="6" s="1"/>
  <c r="C50" i="6"/>
  <c r="F46" i="6"/>
  <c r="L45" i="6"/>
  <c r="O45" i="6"/>
  <c r="D26" i="26" l="1"/>
  <c r="E244" i="6"/>
  <c r="E245" i="6" s="1"/>
  <c r="E246" i="6" s="1"/>
  <c r="E247" i="6" s="1"/>
  <c r="E248" i="6" s="1"/>
  <c r="E249" i="6" s="1"/>
  <c r="E250" i="6" s="1"/>
  <c r="E251" i="6" s="1"/>
  <c r="E252" i="6" s="1"/>
  <c r="E253" i="6" s="1"/>
  <c r="E254" i="6" s="1"/>
  <c r="E255" i="6" s="1"/>
  <c r="C26" i="26"/>
  <c r="AE243" i="6"/>
  <c r="V26" i="26" s="1"/>
  <c r="D244" i="6"/>
  <c r="D245" i="6" s="1"/>
  <c r="D246" i="6" s="1"/>
  <c r="D247" i="6" s="1"/>
  <c r="D248" i="6" s="1"/>
  <c r="D249" i="6" s="1"/>
  <c r="D250" i="6" s="1"/>
  <c r="D251" i="6" s="1"/>
  <c r="D252" i="6" s="1"/>
  <c r="D253" i="6" s="1"/>
  <c r="D254" i="6" s="1"/>
  <c r="D255" i="6" s="1"/>
  <c r="F47" i="6"/>
  <c r="L46" i="6"/>
  <c r="O46" i="6"/>
  <c r="W35" i="6"/>
  <c r="AD35" i="6"/>
  <c r="AH35" i="6"/>
  <c r="C51" i="6"/>
  <c r="P36" i="6"/>
  <c r="N36" i="6"/>
  <c r="R36" i="6" s="1"/>
  <c r="T36" i="6" s="1"/>
  <c r="M36" i="6"/>
  <c r="Z36" i="6"/>
  <c r="E256" i="6" l="1"/>
  <c r="E257" i="6" s="1"/>
  <c r="E258" i="6" s="1"/>
  <c r="E259" i="6" s="1"/>
  <c r="E260" i="6" s="1"/>
  <c r="E261" i="6" s="1"/>
  <c r="E262" i="6" s="1"/>
  <c r="E263" i="6" s="1"/>
  <c r="E264" i="6" s="1"/>
  <c r="E265" i="6" s="1"/>
  <c r="E266" i="6" s="1"/>
  <c r="E267" i="6" s="1"/>
  <c r="D27" i="26"/>
  <c r="D256" i="6"/>
  <c r="D257" i="6" s="1"/>
  <c r="D258" i="6" s="1"/>
  <c r="D259" i="6" s="1"/>
  <c r="D260" i="6" s="1"/>
  <c r="D261" i="6" s="1"/>
  <c r="D262" i="6" s="1"/>
  <c r="D263" i="6" s="1"/>
  <c r="D264" i="6" s="1"/>
  <c r="D265" i="6" s="1"/>
  <c r="D266" i="6" s="1"/>
  <c r="D267" i="6" s="1"/>
  <c r="C27" i="26"/>
  <c r="AE255" i="6"/>
  <c r="V27" i="26" s="1"/>
  <c r="K37" i="6"/>
  <c r="AB37" i="6"/>
  <c r="Q36" i="6"/>
  <c r="U36" i="6" s="1"/>
  <c r="C52" i="6"/>
  <c r="B10" i="26"/>
  <c r="F48" i="6"/>
  <c r="L47" i="6"/>
  <c r="O47" i="6"/>
  <c r="E268" i="6" l="1"/>
  <c r="E269" i="6" s="1"/>
  <c r="E270" i="6" s="1"/>
  <c r="E271" i="6" s="1"/>
  <c r="E272" i="6" s="1"/>
  <c r="E273" i="6" s="1"/>
  <c r="E274" i="6" s="1"/>
  <c r="E275" i="6" s="1"/>
  <c r="E276" i="6" s="1"/>
  <c r="E277" i="6" s="1"/>
  <c r="E278" i="6" s="1"/>
  <c r="E279" i="6" s="1"/>
  <c r="D28" i="26"/>
  <c r="C28" i="26"/>
  <c r="AE267" i="6"/>
  <c r="V28" i="26" s="1"/>
  <c r="D268" i="6"/>
  <c r="D269" i="6" s="1"/>
  <c r="D270" i="6" s="1"/>
  <c r="D271" i="6" s="1"/>
  <c r="D272" i="6" s="1"/>
  <c r="D273" i="6" s="1"/>
  <c r="D274" i="6" s="1"/>
  <c r="D275" i="6" s="1"/>
  <c r="D276" i="6" s="1"/>
  <c r="D277" i="6" s="1"/>
  <c r="D278" i="6" s="1"/>
  <c r="D279" i="6" s="1"/>
  <c r="C53" i="6"/>
  <c r="W36" i="6"/>
  <c r="AH36" i="6"/>
  <c r="AD36" i="6"/>
  <c r="F49" i="6"/>
  <c r="L48" i="6"/>
  <c r="O48" i="6"/>
  <c r="P37" i="6"/>
  <c r="N37" i="6"/>
  <c r="R37" i="6" s="1"/>
  <c r="T37" i="6" s="1"/>
  <c r="Z37" i="6"/>
  <c r="M37" i="6"/>
  <c r="E280" i="6" l="1"/>
  <c r="E281" i="6" s="1"/>
  <c r="E282" i="6" s="1"/>
  <c r="E283" i="6" s="1"/>
  <c r="E284" i="6" s="1"/>
  <c r="E285" i="6" s="1"/>
  <c r="E286" i="6" s="1"/>
  <c r="E287" i="6" s="1"/>
  <c r="E288" i="6" s="1"/>
  <c r="E289" i="6" s="1"/>
  <c r="E290" i="6" s="1"/>
  <c r="E291" i="6" s="1"/>
  <c r="D29" i="26"/>
  <c r="D280" i="6"/>
  <c r="D281" i="6" s="1"/>
  <c r="D282" i="6" s="1"/>
  <c r="D283" i="6" s="1"/>
  <c r="D284" i="6" s="1"/>
  <c r="D285" i="6" s="1"/>
  <c r="D286" i="6" s="1"/>
  <c r="D287" i="6" s="1"/>
  <c r="D288" i="6" s="1"/>
  <c r="D289" i="6" s="1"/>
  <c r="D290" i="6" s="1"/>
  <c r="D291" i="6" s="1"/>
  <c r="C29" i="26"/>
  <c r="AE279" i="6"/>
  <c r="V29" i="26" s="1"/>
  <c r="F50" i="6"/>
  <c r="L49" i="6"/>
  <c r="O49" i="6"/>
  <c r="K38" i="6"/>
  <c r="AB38" i="6"/>
  <c r="Q37" i="6"/>
  <c r="U37" i="6" s="1"/>
  <c r="C54" i="6"/>
  <c r="D30" i="26" l="1"/>
  <c r="E292" i="6"/>
  <c r="E293" i="6" s="1"/>
  <c r="E294" i="6" s="1"/>
  <c r="E295" i="6" s="1"/>
  <c r="E296" i="6" s="1"/>
  <c r="E297" i="6" s="1"/>
  <c r="E298" i="6" s="1"/>
  <c r="E299" i="6" s="1"/>
  <c r="E300" i="6" s="1"/>
  <c r="E301" i="6" s="1"/>
  <c r="E302" i="6" s="1"/>
  <c r="E303" i="6" s="1"/>
  <c r="C30" i="26"/>
  <c r="AE291" i="6"/>
  <c r="V30" i="26" s="1"/>
  <c r="D292" i="6"/>
  <c r="D293" i="6" s="1"/>
  <c r="D294" i="6" s="1"/>
  <c r="D295" i="6" s="1"/>
  <c r="D296" i="6" s="1"/>
  <c r="D297" i="6" s="1"/>
  <c r="D298" i="6" s="1"/>
  <c r="D299" i="6" s="1"/>
  <c r="D300" i="6" s="1"/>
  <c r="D301" i="6" s="1"/>
  <c r="D302" i="6" s="1"/>
  <c r="D303" i="6" s="1"/>
  <c r="AH37" i="6"/>
  <c r="AD37" i="6"/>
  <c r="W37" i="6"/>
  <c r="P38" i="6"/>
  <c r="N38" i="6"/>
  <c r="R38" i="6" s="1"/>
  <c r="T38" i="6" s="1"/>
  <c r="Z38" i="6"/>
  <c r="M38" i="6"/>
  <c r="C55" i="6"/>
  <c r="F51" i="6"/>
  <c r="L50" i="6"/>
  <c r="O50" i="6"/>
  <c r="D31" i="26" l="1"/>
  <c r="E304" i="6"/>
  <c r="E305" i="6" s="1"/>
  <c r="E306" i="6" s="1"/>
  <c r="E307" i="6" s="1"/>
  <c r="E308" i="6" s="1"/>
  <c r="E309" i="6" s="1"/>
  <c r="E310" i="6" s="1"/>
  <c r="E311" i="6" s="1"/>
  <c r="E312" i="6" s="1"/>
  <c r="E313" i="6" s="1"/>
  <c r="E314" i="6" s="1"/>
  <c r="E315" i="6" s="1"/>
  <c r="D304" i="6"/>
  <c r="D305" i="6" s="1"/>
  <c r="D306" i="6" s="1"/>
  <c r="D307" i="6" s="1"/>
  <c r="D308" i="6" s="1"/>
  <c r="D309" i="6" s="1"/>
  <c r="D310" i="6" s="1"/>
  <c r="D311" i="6" s="1"/>
  <c r="D312" i="6" s="1"/>
  <c r="D313" i="6" s="1"/>
  <c r="D314" i="6" s="1"/>
  <c r="D315" i="6" s="1"/>
  <c r="C31" i="26"/>
  <c r="AE303" i="6"/>
  <c r="V31" i="26" s="1"/>
  <c r="K39" i="6"/>
  <c r="AB39" i="6"/>
  <c r="Q38" i="6"/>
  <c r="U38" i="6" s="1"/>
  <c r="F52" i="6"/>
  <c r="L51" i="6"/>
  <c r="O51" i="6"/>
  <c r="F10" i="26" s="1"/>
  <c r="C56" i="6"/>
  <c r="E316" i="6" l="1"/>
  <c r="E317" i="6" s="1"/>
  <c r="E318" i="6" s="1"/>
  <c r="E319" i="6" s="1"/>
  <c r="E320" i="6" s="1"/>
  <c r="E321" i="6" s="1"/>
  <c r="E322" i="6" s="1"/>
  <c r="E323" i="6" s="1"/>
  <c r="E324" i="6" s="1"/>
  <c r="E325" i="6" s="1"/>
  <c r="E326" i="6" s="1"/>
  <c r="E327" i="6" s="1"/>
  <c r="D32" i="26"/>
  <c r="C32" i="26"/>
  <c r="AE315" i="6"/>
  <c r="V32" i="26" s="1"/>
  <c r="D316" i="6"/>
  <c r="D317" i="6" s="1"/>
  <c r="D318" i="6" s="1"/>
  <c r="D319" i="6" s="1"/>
  <c r="D320" i="6" s="1"/>
  <c r="D321" i="6" s="1"/>
  <c r="D322" i="6" s="1"/>
  <c r="D323" i="6" s="1"/>
  <c r="D324" i="6" s="1"/>
  <c r="D325" i="6" s="1"/>
  <c r="D326" i="6" s="1"/>
  <c r="D327" i="6" s="1"/>
  <c r="F53" i="6"/>
  <c r="L52" i="6"/>
  <c r="O52" i="6"/>
  <c r="AD38" i="6"/>
  <c r="AH38" i="6"/>
  <c r="W38" i="6"/>
  <c r="C57" i="6"/>
  <c r="S9" i="26"/>
  <c r="AC39" i="6"/>
  <c r="P39" i="6"/>
  <c r="N39" i="6"/>
  <c r="E9" i="26"/>
  <c r="Z39" i="6"/>
  <c r="Q9" i="26" s="1"/>
  <c r="M39" i="6"/>
  <c r="E328" i="6" l="1"/>
  <c r="E329" i="6" s="1"/>
  <c r="E330" i="6" s="1"/>
  <c r="E331" i="6" s="1"/>
  <c r="E332" i="6" s="1"/>
  <c r="E333" i="6" s="1"/>
  <c r="E334" i="6" s="1"/>
  <c r="E335" i="6" s="1"/>
  <c r="E336" i="6" s="1"/>
  <c r="E337" i="6" s="1"/>
  <c r="E338" i="6" s="1"/>
  <c r="E339" i="6" s="1"/>
  <c r="D33" i="26"/>
  <c r="D328" i="6"/>
  <c r="D329" i="6" s="1"/>
  <c r="D330" i="6" s="1"/>
  <c r="D331" i="6" s="1"/>
  <c r="D332" i="6" s="1"/>
  <c r="D333" i="6" s="1"/>
  <c r="D334" i="6" s="1"/>
  <c r="D335" i="6" s="1"/>
  <c r="D336" i="6" s="1"/>
  <c r="D337" i="6" s="1"/>
  <c r="D338" i="6" s="1"/>
  <c r="D339" i="6" s="1"/>
  <c r="AE327" i="6"/>
  <c r="V33" i="26" s="1"/>
  <c r="C33" i="26"/>
  <c r="K40" i="6"/>
  <c r="AB40" i="6"/>
  <c r="G9" i="26"/>
  <c r="Q39" i="6"/>
  <c r="Y39" i="6"/>
  <c r="T9" i="26"/>
  <c r="C58" i="6"/>
  <c r="R39" i="6"/>
  <c r="W20" i="16"/>
  <c r="F54" i="6"/>
  <c r="L53" i="6"/>
  <c r="O53" i="6"/>
  <c r="E340" i="6" l="1"/>
  <c r="E341" i="6" s="1"/>
  <c r="E342" i="6" s="1"/>
  <c r="E343" i="6" s="1"/>
  <c r="E344" i="6" s="1"/>
  <c r="E345" i="6" s="1"/>
  <c r="E346" i="6" s="1"/>
  <c r="E347" i="6" s="1"/>
  <c r="E348" i="6" s="1"/>
  <c r="E349" i="6" s="1"/>
  <c r="E350" i="6" s="1"/>
  <c r="E351" i="6" s="1"/>
  <c r="D34" i="26"/>
  <c r="C34" i="26"/>
  <c r="AE339" i="6"/>
  <c r="V34" i="26" s="1"/>
  <c r="D340" i="6"/>
  <c r="D341" i="6" s="1"/>
  <c r="D342" i="6" s="1"/>
  <c r="D343" i="6" s="1"/>
  <c r="D344" i="6" s="1"/>
  <c r="D345" i="6" s="1"/>
  <c r="D346" i="6" s="1"/>
  <c r="D347" i="6" s="1"/>
  <c r="D348" i="6" s="1"/>
  <c r="D349" i="6" s="1"/>
  <c r="D350" i="6" s="1"/>
  <c r="D351" i="6" s="1"/>
  <c r="C59" i="6"/>
  <c r="S39" i="6" a="1"/>
  <c r="S39" i="6" s="1"/>
  <c r="J9" i="26" s="1"/>
  <c r="W17" i="16"/>
  <c r="P9" i="26"/>
  <c r="W21" i="16"/>
  <c r="H9" i="26"/>
  <c r="F55" i="6"/>
  <c r="L54" i="6"/>
  <c r="O54" i="6"/>
  <c r="AF39" i="6"/>
  <c r="AG39" i="6"/>
  <c r="I9" i="26"/>
  <c r="P40" i="6"/>
  <c r="N40" i="6"/>
  <c r="R40" i="6" s="1"/>
  <c r="M40" i="6"/>
  <c r="Z40" i="6"/>
  <c r="D35" i="26" l="1"/>
  <c r="E352" i="6"/>
  <c r="E353" i="6" s="1"/>
  <c r="E354" i="6" s="1"/>
  <c r="E355" i="6" s="1"/>
  <c r="E356" i="6" s="1"/>
  <c r="E357" i="6" s="1"/>
  <c r="E358" i="6" s="1"/>
  <c r="E359" i="6" s="1"/>
  <c r="E360" i="6" s="1"/>
  <c r="E361" i="6" s="1"/>
  <c r="E362" i="6" s="1"/>
  <c r="E363" i="6" s="1"/>
  <c r="D352" i="6"/>
  <c r="D353" i="6" s="1"/>
  <c r="D354" i="6" s="1"/>
  <c r="D355" i="6" s="1"/>
  <c r="D356" i="6" s="1"/>
  <c r="D357" i="6" s="1"/>
  <c r="D358" i="6" s="1"/>
  <c r="D359" i="6" s="1"/>
  <c r="D360" i="6" s="1"/>
  <c r="D361" i="6" s="1"/>
  <c r="D362" i="6" s="1"/>
  <c r="D363" i="6" s="1"/>
  <c r="C35" i="26"/>
  <c r="AE351" i="6"/>
  <c r="V35" i="26" s="1"/>
  <c r="K41" i="6"/>
  <c r="AB41" i="6"/>
  <c r="Q40" i="6"/>
  <c r="T39" i="6"/>
  <c r="F56" i="6"/>
  <c r="L55" i="6"/>
  <c r="O55" i="6"/>
  <c r="C60" i="6"/>
  <c r="E364" i="6" l="1"/>
  <c r="E365" i="6" s="1"/>
  <c r="E366" i="6" s="1"/>
  <c r="E367" i="6" s="1"/>
  <c r="E368" i="6" s="1"/>
  <c r="E369" i="6" s="1"/>
  <c r="E370" i="6" s="1"/>
  <c r="E371" i="6" s="1"/>
  <c r="E372" i="6" s="1"/>
  <c r="E373" i="6" s="1"/>
  <c r="E374" i="6" s="1"/>
  <c r="E375" i="6" s="1"/>
  <c r="D36" i="26"/>
  <c r="C36" i="26"/>
  <c r="AE363" i="6"/>
  <c r="V36" i="26" s="1"/>
  <c r="D364" i="6"/>
  <c r="D365" i="6" s="1"/>
  <c r="D366" i="6" s="1"/>
  <c r="D367" i="6" s="1"/>
  <c r="D368" i="6" s="1"/>
  <c r="D369" i="6" s="1"/>
  <c r="D370" i="6" s="1"/>
  <c r="D371" i="6" s="1"/>
  <c r="D372" i="6" s="1"/>
  <c r="D373" i="6" s="1"/>
  <c r="D374" i="6" s="1"/>
  <c r="D375" i="6" s="1"/>
  <c r="F57" i="6"/>
  <c r="L56" i="6"/>
  <c r="O56" i="6"/>
  <c r="T40" i="6"/>
  <c r="W22" i="16"/>
  <c r="K9" i="26"/>
  <c r="U39" i="6"/>
  <c r="C61" i="6"/>
  <c r="P41" i="6"/>
  <c r="N41" i="6"/>
  <c r="R41" i="6" s="1"/>
  <c r="Z41" i="6"/>
  <c r="M41" i="6"/>
  <c r="E376" i="6" l="1"/>
  <c r="E377" i="6" s="1"/>
  <c r="E378" i="6" s="1"/>
  <c r="E379" i="6" s="1"/>
  <c r="E380" i="6" s="1"/>
  <c r="E381" i="6" s="1"/>
  <c r="E382" i="6" s="1"/>
  <c r="E383" i="6" s="1"/>
  <c r="E384" i="6" s="1"/>
  <c r="E385" i="6" s="1"/>
  <c r="E386" i="6" s="1"/>
  <c r="E387" i="6" s="1"/>
  <c r="D37" i="26"/>
  <c r="D376" i="6"/>
  <c r="D377" i="6" s="1"/>
  <c r="D378" i="6" s="1"/>
  <c r="D379" i="6" s="1"/>
  <c r="D380" i="6" s="1"/>
  <c r="D381" i="6" s="1"/>
  <c r="D382" i="6" s="1"/>
  <c r="D383" i="6" s="1"/>
  <c r="D384" i="6" s="1"/>
  <c r="D385" i="6" s="1"/>
  <c r="D386" i="6" s="1"/>
  <c r="D387" i="6" s="1"/>
  <c r="C37" i="26"/>
  <c r="AE375" i="6"/>
  <c r="V37" i="26" s="1"/>
  <c r="K42" i="6"/>
  <c r="AB42" i="6"/>
  <c r="Q41" i="6"/>
  <c r="T41" i="6"/>
  <c r="C62" i="6"/>
  <c r="U40" i="6"/>
  <c r="W39" i="6"/>
  <c r="V39" i="6"/>
  <c r="AH39" i="6"/>
  <c r="W23" i="16"/>
  <c r="L9" i="26"/>
  <c r="AD39" i="6"/>
  <c r="U9" i="26" s="1"/>
  <c r="F58" i="6"/>
  <c r="L57" i="6"/>
  <c r="O57" i="6"/>
  <c r="E388" i="6" l="1"/>
  <c r="E389" i="6" s="1"/>
  <c r="E390" i="6" s="1"/>
  <c r="E391" i="6" s="1"/>
  <c r="E392" i="6" s="1"/>
  <c r="E393" i="6" s="1"/>
  <c r="E394" i="6" s="1"/>
  <c r="E395" i="6" s="1"/>
  <c r="E396" i="6" s="1"/>
  <c r="E397" i="6" s="1"/>
  <c r="E398" i="6" s="1"/>
  <c r="E399" i="6" s="1"/>
  <c r="D38" i="26"/>
  <c r="AE387" i="6"/>
  <c r="V38" i="26" s="1"/>
  <c r="C38" i="26"/>
  <c r="D388" i="6"/>
  <c r="D389" i="6" s="1"/>
  <c r="D390" i="6" s="1"/>
  <c r="D391" i="6" s="1"/>
  <c r="D392" i="6" s="1"/>
  <c r="D393" i="6" s="1"/>
  <c r="D394" i="6" s="1"/>
  <c r="D395" i="6" s="1"/>
  <c r="D396" i="6" s="1"/>
  <c r="D397" i="6" s="1"/>
  <c r="D398" i="6" s="1"/>
  <c r="D399" i="6" s="1"/>
  <c r="W40" i="6"/>
  <c r="AH40" i="6"/>
  <c r="AD40" i="6"/>
  <c r="F59" i="6"/>
  <c r="L58" i="6"/>
  <c r="O58" i="6"/>
  <c r="C63" i="6"/>
  <c r="W24" i="16"/>
  <c r="N9" i="26"/>
  <c r="U41" i="6"/>
  <c r="M9" i="26"/>
  <c r="X39" i="6"/>
  <c r="O9" i="26" s="1"/>
  <c r="P42" i="6"/>
  <c r="N42" i="6"/>
  <c r="R42" i="6" s="1"/>
  <c r="T42" i="6" s="1"/>
  <c r="Z42" i="6"/>
  <c r="M42" i="6"/>
  <c r="Y399" i="6" l="1"/>
  <c r="S399" i="6" s="1" a="1"/>
  <c r="S399" i="6" s="1"/>
  <c r="E400" i="6"/>
  <c r="E401" i="6" s="1"/>
  <c r="E402" i="6" s="1"/>
  <c r="E403" i="6" s="1"/>
  <c r="E404" i="6" s="1"/>
  <c r="E405" i="6" s="1"/>
  <c r="E406" i="6" s="1"/>
  <c r="E407" i="6" s="1"/>
  <c r="E408" i="6" s="1"/>
  <c r="E409" i="6" s="1"/>
  <c r="E410" i="6" s="1"/>
  <c r="E411" i="6" s="1"/>
  <c r="D400" i="6"/>
  <c r="D401" i="6" s="1"/>
  <c r="D402" i="6" s="1"/>
  <c r="D403" i="6" s="1"/>
  <c r="D404" i="6" s="1"/>
  <c r="D405" i="6" s="1"/>
  <c r="D406" i="6" s="1"/>
  <c r="D407" i="6" s="1"/>
  <c r="D408" i="6" s="1"/>
  <c r="D409" i="6" s="1"/>
  <c r="D410" i="6" s="1"/>
  <c r="D411" i="6" s="1"/>
  <c r="AE399" i="6"/>
  <c r="AD41" i="6"/>
  <c r="AH41" i="6"/>
  <c r="W41" i="6"/>
  <c r="F60" i="6"/>
  <c r="L59" i="6"/>
  <c r="O59" i="6"/>
  <c r="K43" i="6"/>
  <c r="AB43" i="6"/>
  <c r="Q42" i="6"/>
  <c r="U42" i="6" s="1"/>
  <c r="C64" i="6"/>
  <c r="B11" i="26"/>
  <c r="E412" i="6" l="1"/>
  <c r="E413" i="6" s="1"/>
  <c r="E414" i="6" s="1"/>
  <c r="E415" i="6" s="1"/>
  <c r="E416" i="6" s="1"/>
  <c r="E417" i="6" s="1"/>
  <c r="E418" i="6" s="1"/>
  <c r="E419" i="6" s="1"/>
  <c r="E420" i="6" s="1"/>
  <c r="E421" i="6" s="1"/>
  <c r="E422" i="6" s="1"/>
  <c r="E423" i="6" s="1"/>
  <c r="Y411" i="6"/>
  <c r="S411" i="6" s="1" a="1"/>
  <c r="S411" i="6" s="1"/>
  <c r="D412" i="6"/>
  <c r="D413" i="6" s="1"/>
  <c r="D414" i="6" s="1"/>
  <c r="D415" i="6" s="1"/>
  <c r="D416" i="6" s="1"/>
  <c r="D417" i="6" s="1"/>
  <c r="D418" i="6" s="1"/>
  <c r="D419" i="6" s="1"/>
  <c r="D420" i="6" s="1"/>
  <c r="D421" i="6" s="1"/>
  <c r="D422" i="6" s="1"/>
  <c r="D423" i="6" s="1"/>
  <c r="AE411" i="6"/>
  <c r="C65" i="6"/>
  <c r="AD42" i="6"/>
  <c r="W42" i="6"/>
  <c r="AH42" i="6"/>
  <c r="F61" i="6"/>
  <c r="L60" i="6"/>
  <c r="O60" i="6"/>
  <c r="P43" i="6"/>
  <c r="N43" i="6"/>
  <c r="R43" i="6" s="1"/>
  <c r="T43" i="6" s="1"/>
  <c r="M43" i="6"/>
  <c r="Z43" i="6"/>
  <c r="Y423" i="6" l="1"/>
  <c r="S423" i="6" s="1" a="1"/>
  <c r="S423" i="6" s="1"/>
  <c r="E424" i="6"/>
  <c r="E425" i="6" s="1"/>
  <c r="E426" i="6" s="1"/>
  <c r="E427" i="6" s="1"/>
  <c r="E428" i="6" s="1"/>
  <c r="E429" i="6" s="1"/>
  <c r="E430" i="6" s="1"/>
  <c r="E431" i="6" s="1"/>
  <c r="E432" i="6" s="1"/>
  <c r="E433" i="6" s="1"/>
  <c r="E434" i="6" s="1"/>
  <c r="E435" i="6" s="1"/>
  <c r="D424" i="6"/>
  <c r="D425" i="6" s="1"/>
  <c r="D426" i="6" s="1"/>
  <c r="D427" i="6" s="1"/>
  <c r="D428" i="6" s="1"/>
  <c r="D429" i="6" s="1"/>
  <c r="D430" i="6" s="1"/>
  <c r="D431" i="6" s="1"/>
  <c r="D432" i="6" s="1"/>
  <c r="D433" i="6" s="1"/>
  <c r="D434" i="6" s="1"/>
  <c r="D435" i="6" s="1"/>
  <c r="AE423" i="6"/>
  <c r="F62" i="6"/>
  <c r="L61" i="6"/>
  <c r="O61" i="6"/>
  <c r="K44" i="6"/>
  <c r="AB44" i="6"/>
  <c r="Q43" i="6"/>
  <c r="U43" i="6" s="1"/>
  <c r="C66" i="6"/>
  <c r="E436" i="6" l="1"/>
  <c r="E437" i="6" s="1"/>
  <c r="E438" i="6" s="1"/>
  <c r="E439" i="6" s="1"/>
  <c r="E440" i="6" s="1"/>
  <c r="E441" i="6" s="1"/>
  <c r="E442" i="6" s="1"/>
  <c r="E443" i="6" s="1"/>
  <c r="E444" i="6" s="1"/>
  <c r="E445" i="6" s="1"/>
  <c r="E446" i="6" s="1"/>
  <c r="E447" i="6" s="1"/>
  <c r="Y435" i="6"/>
  <c r="S435" i="6" s="1" a="1"/>
  <c r="S435" i="6" s="1"/>
  <c r="D436" i="6"/>
  <c r="D437" i="6" s="1"/>
  <c r="D438" i="6" s="1"/>
  <c r="D439" i="6" s="1"/>
  <c r="D440" i="6" s="1"/>
  <c r="D441" i="6" s="1"/>
  <c r="D442" i="6" s="1"/>
  <c r="D443" i="6" s="1"/>
  <c r="D444" i="6" s="1"/>
  <c r="D445" i="6" s="1"/>
  <c r="D446" i="6" s="1"/>
  <c r="D447" i="6" s="1"/>
  <c r="AE435" i="6"/>
  <c r="AH43" i="6"/>
  <c r="W43" i="6"/>
  <c r="AD43" i="6"/>
  <c r="C67" i="6"/>
  <c r="P44" i="6"/>
  <c r="N44" i="6"/>
  <c r="R44" i="6" s="1"/>
  <c r="T44" i="6" s="1"/>
  <c r="Z44" i="6"/>
  <c r="M44" i="6"/>
  <c r="F63" i="6"/>
  <c r="L62" i="6"/>
  <c r="O62" i="6"/>
  <c r="E448" i="6" l="1"/>
  <c r="E449" i="6" s="1"/>
  <c r="E450" i="6" s="1"/>
  <c r="E451" i="6" s="1"/>
  <c r="E452" i="6" s="1"/>
  <c r="E453" i="6" s="1"/>
  <c r="E454" i="6" s="1"/>
  <c r="E455" i="6" s="1"/>
  <c r="E456" i="6" s="1"/>
  <c r="E457" i="6" s="1"/>
  <c r="E458" i="6" s="1"/>
  <c r="E459" i="6" s="1"/>
  <c r="Y447" i="6"/>
  <c r="S447" i="6" s="1" a="1"/>
  <c r="S447" i="6" s="1"/>
  <c r="D448" i="6"/>
  <c r="D449" i="6" s="1"/>
  <c r="D450" i="6" s="1"/>
  <c r="D451" i="6" s="1"/>
  <c r="D452" i="6" s="1"/>
  <c r="D453" i="6" s="1"/>
  <c r="D454" i="6" s="1"/>
  <c r="D455" i="6" s="1"/>
  <c r="D456" i="6" s="1"/>
  <c r="D457" i="6" s="1"/>
  <c r="D458" i="6" s="1"/>
  <c r="D459" i="6" s="1"/>
  <c r="AE447" i="6"/>
  <c r="K45" i="6"/>
  <c r="AB45" i="6"/>
  <c r="Q44" i="6"/>
  <c r="U44" i="6" s="1"/>
  <c r="C68" i="6"/>
  <c r="F64" i="6"/>
  <c r="L63" i="6"/>
  <c r="O63" i="6"/>
  <c r="F11" i="26" s="1"/>
  <c r="E460" i="6" l="1"/>
  <c r="E461" i="6" s="1"/>
  <c r="E462" i="6" s="1"/>
  <c r="E463" i="6" s="1"/>
  <c r="E464" i="6" s="1"/>
  <c r="E465" i="6" s="1"/>
  <c r="E466" i="6" s="1"/>
  <c r="E467" i="6" s="1"/>
  <c r="E468" i="6" s="1"/>
  <c r="E469" i="6" s="1"/>
  <c r="E470" i="6" s="1"/>
  <c r="E471" i="6" s="1"/>
  <c r="Y459" i="6"/>
  <c r="S459" i="6" s="1" a="1"/>
  <c r="S459" i="6" s="1"/>
  <c r="AE459" i="6"/>
  <c r="D460" i="6"/>
  <c r="D461" i="6" s="1"/>
  <c r="D462" i="6" s="1"/>
  <c r="D463" i="6" s="1"/>
  <c r="D464" i="6" s="1"/>
  <c r="D465" i="6" s="1"/>
  <c r="D466" i="6" s="1"/>
  <c r="D467" i="6" s="1"/>
  <c r="D468" i="6" s="1"/>
  <c r="D469" i="6" s="1"/>
  <c r="D470" i="6" s="1"/>
  <c r="D471" i="6" s="1"/>
  <c r="W44" i="6"/>
  <c r="AD44" i="6"/>
  <c r="AH44" i="6"/>
  <c r="C69" i="6"/>
  <c r="F65" i="6"/>
  <c r="L64" i="6"/>
  <c r="O64" i="6"/>
  <c r="P45" i="6"/>
  <c r="N45" i="6"/>
  <c r="R45" i="6" s="1"/>
  <c r="T45" i="6" s="1"/>
  <c r="Z45" i="6"/>
  <c r="M45" i="6"/>
  <c r="E472" i="6" l="1"/>
  <c r="E473" i="6" s="1"/>
  <c r="E474" i="6" s="1"/>
  <c r="E475" i="6" s="1"/>
  <c r="E476" i="6" s="1"/>
  <c r="E477" i="6" s="1"/>
  <c r="E478" i="6" s="1"/>
  <c r="E479" i="6" s="1"/>
  <c r="E480" i="6" s="1"/>
  <c r="E481" i="6" s="1"/>
  <c r="E482" i="6" s="1"/>
  <c r="E483" i="6" s="1"/>
  <c r="Y471" i="6"/>
  <c r="S471" i="6" s="1" a="1"/>
  <c r="S471" i="6" s="1"/>
  <c r="D472" i="6"/>
  <c r="D473" i="6" s="1"/>
  <c r="D474" i="6" s="1"/>
  <c r="D475" i="6" s="1"/>
  <c r="D476" i="6" s="1"/>
  <c r="D477" i="6" s="1"/>
  <c r="D478" i="6" s="1"/>
  <c r="D479" i="6" s="1"/>
  <c r="D480" i="6" s="1"/>
  <c r="D481" i="6" s="1"/>
  <c r="D482" i="6" s="1"/>
  <c r="D483" i="6" s="1"/>
  <c r="AE471" i="6"/>
  <c r="F66" i="6"/>
  <c r="L65" i="6"/>
  <c r="O65" i="6"/>
  <c r="C70" i="6"/>
  <c r="K46" i="6"/>
  <c r="AB46" i="6"/>
  <c r="Q45" i="6"/>
  <c r="U45" i="6" s="1"/>
  <c r="E484" i="6" l="1"/>
  <c r="E485" i="6" s="1"/>
  <c r="E486" i="6" s="1"/>
  <c r="E487" i="6" s="1"/>
  <c r="E488" i="6" s="1"/>
  <c r="E489" i="6" s="1"/>
  <c r="E490" i="6" s="1"/>
  <c r="E491" i="6" s="1"/>
  <c r="E492" i="6" s="1"/>
  <c r="E493" i="6" s="1"/>
  <c r="E494" i="6" s="1"/>
  <c r="E495" i="6" s="1"/>
  <c r="Y483" i="6"/>
  <c r="S483" i="6" s="1" a="1"/>
  <c r="S483" i="6" s="1"/>
  <c r="AE483" i="6"/>
  <c r="D484" i="6"/>
  <c r="D485" i="6" s="1"/>
  <c r="D486" i="6" s="1"/>
  <c r="D487" i="6" s="1"/>
  <c r="D488" i="6" s="1"/>
  <c r="D489" i="6" s="1"/>
  <c r="D490" i="6" s="1"/>
  <c r="D491" i="6" s="1"/>
  <c r="D492" i="6" s="1"/>
  <c r="D493" i="6" s="1"/>
  <c r="D494" i="6" s="1"/>
  <c r="D495" i="6" s="1"/>
  <c r="C71" i="6"/>
  <c r="AH45" i="6"/>
  <c r="AD45" i="6"/>
  <c r="W45" i="6"/>
  <c r="P46" i="6"/>
  <c r="N46" i="6"/>
  <c r="R46" i="6" s="1"/>
  <c r="T46" i="6" s="1"/>
  <c r="Z46" i="6"/>
  <c r="M46" i="6"/>
  <c r="F67" i="6"/>
  <c r="L66" i="6"/>
  <c r="O66" i="6"/>
  <c r="E496" i="6" l="1"/>
  <c r="E497" i="6" s="1"/>
  <c r="E498" i="6" s="1"/>
  <c r="E499" i="6" s="1"/>
  <c r="E500" i="6" s="1"/>
  <c r="E501" i="6" s="1"/>
  <c r="E502" i="6" s="1"/>
  <c r="E503" i="6" s="1"/>
  <c r="E504" i="6" s="1"/>
  <c r="E505" i="6" s="1"/>
  <c r="E506" i="6" s="1"/>
  <c r="E507" i="6" s="1"/>
  <c r="Y507" i="6" s="1"/>
  <c r="S507" i="6" s="1" a="1"/>
  <c r="S507" i="6" s="1"/>
  <c r="Y495" i="6"/>
  <c r="S495" i="6" s="1" a="1"/>
  <c r="S495" i="6" s="1"/>
  <c r="D496" i="6"/>
  <c r="D497" i="6" s="1"/>
  <c r="D498" i="6" s="1"/>
  <c r="D499" i="6" s="1"/>
  <c r="D500" i="6" s="1"/>
  <c r="D501" i="6" s="1"/>
  <c r="D502" i="6" s="1"/>
  <c r="D503" i="6" s="1"/>
  <c r="D504" i="6" s="1"/>
  <c r="D505" i="6" s="1"/>
  <c r="D506" i="6" s="1"/>
  <c r="D507" i="6" s="1"/>
  <c r="AE507" i="6" s="1"/>
  <c r="AE495" i="6"/>
  <c r="K47" i="6"/>
  <c r="AB47" i="6"/>
  <c r="Q46" i="6"/>
  <c r="U46" i="6" s="1"/>
  <c r="F68" i="6"/>
  <c r="L67" i="6"/>
  <c r="O67" i="6"/>
  <c r="C72" i="6"/>
  <c r="F69" i="6" l="1"/>
  <c r="L68" i="6"/>
  <c r="O68" i="6"/>
  <c r="AH46" i="6"/>
  <c r="W46" i="6"/>
  <c r="AD46" i="6"/>
  <c r="C73" i="6"/>
  <c r="P47" i="6"/>
  <c r="N47" i="6"/>
  <c r="R47" i="6" s="1"/>
  <c r="T47" i="6" s="1"/>
  <c r="Z47" i="6"/>
  <c r="M47" i="6"/>
  <c r="K48" i="6" l="1"/>
  <c r="AB48" i="6"/>
  <c r="Q47" i="6"/>
  <c r="U47" i="6" s="1"/>
  <c r="C74" i="6"/>
  <c r="F70" i="6"/>
  <c r="L69" i="6"/>
  <c r="O69" i="6"/>
  <c r="C75" i="6" l="1"/>
  <c r="F71" i="6"/>
  <c r="L70" i="6"/>
  <c r="O70" i="6"/>
  <c r="AD47" i="6"/>
  <c r="AH47" i="6"/>
  <c r="W47" i="6"/>
  <c r="P48" i="6"/>
  <c r="N48" i="6"/>
  <c r="R48" i="6" s="1"/>
  <c r="T48" i="6" s="1"/>
  <c r="M48" i="6"/>
  <c r="Z48" i="6"/>
  <c r="F72" i="6" l="1"/>
  <c r="L71" i="6"/>
  <c r="O71" i="6"/>
  <c r="K49" i="6"/>
  <c r="AB49" i="6"/>
  <c r="Q48" i="6"/>
  <c r="U48" i="6" s="1"/>
  <c r="C76" i="6"/>
  <c r="B12" i="26"/>
  <c r="C77" i="6" l="1"/>
  <c r="F73" i="6"/>
  <c r="L72" i="6"/>
  <c r="O72" i="6"/>
  <c r="P49" i="6"/>
  <c r="N49" i="6"/>
  <c r="R49" i="6" s="1"/>
  <c r="T49" i="6" s="1"/>
  <c r="Z49" i="6"/>
  <c r="M49" i="6"/>
  <c r="W48" i="6"/>
  <c r="AD48" i="6"/>
  <c r="AH48" i="6"/>
  <c r="K50" i="6" l="1"/>
  <c r="AB50" i="6"/>
  <c r="Q49" i="6"/>
  <c r="U49" i="6" s="1"/>
  <c r="F74" i="6"/>
  <c r="L73" i="6"/>
  <c r="O73" i="6"/>
  <c r="C78" i="6"/>
  <c r="F75" i="6" l="1"/>
  <c r="L74" i="6"/>
  <c r="O74" i="6"/>
  <c r="W49" i="6"/>
  <c r="AD49" i="6"/>
  <c r="AH49" i="6"/>
  <c r="C79" i="6"/>
  <c r="P50" i="6"/>
  <c r="N50" i="6"/>
  <c r="R50" i="6" s="1"/>
  <c r="T50" i="6" s="1"/>
  <c r="M50" i="6"/>
  <c r="Z50" i="6"/>
  <c r="K51" i="6" l="1"/>
  <c r="AB51" i="6"/>
  <c r="Q50" i="6"/>
  <c r="U50" i="6" s="1"/>
  <c r="C80" i="6"/>
  <c r="F76" i="6"/>
  <c r="L75" i="6"/>
  <c r="O75" i="6"/>
  <c r="F12" i="26" s="1"/>
  <c r="C81" i="6" l="1"/>
  <c r="F77" i="6"/>
  <c r="L76" i="6"/>
  <c r="O76" i="6"/>
  <c r="AH50" i="6"/>
  <c r="W50" i="6"/>
  <c r="AD50" i="6"/>
  <c r="S10" i="26"/>
  <c r="AC51" i="6"/>
  <c r="P51" i="6"/>
  <c r="N51" i="6"/>
  <c r="R51" i="6" s="1"/>
  <c r="E10" i="26"/>
  <c r="M51" i="6"/>
  <c r="Z51" i="6"/>
  <c r="Q10" i="26" s="1"/>
  <c r="AG51" i="6" l="1"/>
  <c r="AF51" i="6"/>
  <c r="I10" i="26"/>
  <c r="T10" i="26"/>
  <c r="Y51" i="6"/>
  <c r="K52" i="6"/>
  <c r="AB52" i="6"/>
  <c r="G10" i="26"/>
  <c r="Q51" i="6"/>
  <c r="F78" i="6"/>
  <c r="L77" i="6"/>
  <c r="O77" i="6"/>
  <c r="C82" i="6"/>
  <c r="S51" i="6" l="1" a="1"/>
  <c r="S51" i="6" s="1"/>
  <c r="P10" i="26"/>
  <c r="C83" i="6"/>
  <c r="P52" i="6"/>
  <c r="N52" i="6"/>
  <c r="R52" i="6" s="1"/>
  <c r="M52" i="6"/>
  <c r="Z52" i="6"/>
  <c r="F79" i="6"/>
  <c r="L78" i="6"/>
  <c r="O78" i="6"/>
  <c r="H10" i="26"/>
  <c r="C84" i="6" l="1"/>
  <c r="K53" i="6"/>
  <c r="AB53" i="6"/>
  <c r="Q52" i="6"/>
  <c r="F80" i="6"/>
  <c r="L79" i="6"/>
  <c r="O79" i="6"/>
  <c r="J10" i="26"/>
  <c r="T51" i="6"/>
  <c r="F81" i="6" l="1"/>
  <c r="L80" i="6"/>
  <c r="O80" i="6"/>
  <c r="T52" i="6"/>
  <c r="K10" i="26"/>
  <c r="U51" i="6"/>
  <c r="P53" i="6"/>
  <c r="N53" i="6"/>
  <c r="R53" i="6" s="1"/>
  <c r="Z53" i="6"/>
  <c r="M53" i="6"/>
  <c r="C85" i="6"/>
  <c r="T53" i="6" l="1"/>
  <c r="AH51" i="6"/>
  <c r="V51" i="6"/>
  <c r="AD51" i="6"/>
  <c r="U10" i="26" s="1"/>
  <c r="L10" i="26"/>
  <c r="W51" i="6"/>
  <c r="N10" i="26" s="1"/>
  <c r="C86" i="6"/>
  <c r="K54" i="6"/>
  <c r="AB54" i="6"/>
  <c r="Q53" i="6"/>
  <c r="U52" i="6"/>
  <c r="F82" i="6"/>
  <c r="L81" i="6"/>
  <c r="O81" i="6"/>
  <c r="U53" i="6" l="1"/>
  <c r="AD53" i="6" s="1"/>
  <c r="C87" i="6"/>
  <c r="F83" i="6"/>
  <c r="L82" i="6"/>
  <c r="O82" i="6"/>
  <c r="M10" i="26"/>
  <c r="X51" i="6"/>
  <c r="O10" i="26" s="1"/>
  <c r="AH52" i="6"/>
  <c r="W52" i="6"/>
  <c r="AD52" i="6"/>
  <c r="P54" i="6"/>
  <c r="N54" i="6"/>
  <c r="R54" i="6" s="1"/>
  <c r="T54" i="6" s="1"/>
  <c r="Z54" i="6"/>
  <c r="M54" i="6"/>
  <c r="W53" i="6" l="1"/>
  <c r="AH53" i="6"/>
  <c r="F84" i="6"/>
  <c r="L83" i="6"/>
  <c r="O83" i="6"/>
  <c r="K55" i="6"/>
  <c r="AB55" i="6"/>
  <c r="Q54" i="6"/>
  <c r="U54" i="6" s="1"/>
  <c r="C88" i="6"/>
  <c r="B13" i="26"/>
  <c r="C89" i="6" l="1"/>
  <c r="P55" i="6"/>
  <c r="N55" i="6"/>
  <c r="R55" i="6" s="1"/>
  <c r="T55" i="6" s="1"/>
  <c r="M55" i="6"/>
  <c r="Z55" i="6"/>
  <c r="W54" i="6"/>
  <c r="AD54" i="6"/>
  <c r="AH54" i="6"/>
  <c r="F85" i="6"/>
  <c r="L84" i="6"/>
  <c r="O84" i="6"/>
  <c r="K56" i="6" l="1"/>
  <c r="AB56" i="6"/>
  <c r="Q55" i="6"/>
  <c r="U55" i="6" s="1"/>
  <c r="F86" i="6"/>
  <c r="L85" i="6"/>
  <c r="O85" i="6"/>
  <c r="C90" i="6"/>
  <c r="F87" i="6" l="1"/>
  <c r="L86" i="6"/>
  <c r="O86" i="6"/>
  <c r="AD55" i="6"/>
  <c r="AH55" i="6"/>
  <c r="W55" i="6"/>
  <c r="C91" i="6"/>
  <c r="P56" i="6"/>
  <c r="N56" i="6"/>
  <c r="R56" i="6" s="1"/>
  <c r="T56" i="6" s="1"/>
  <c r="Z56" i="6"/>
  <c r="M56" i="6"/>
  <c r="K57" i="6" l="1"/>
  <c r="AB57" i="6"/>
  <c r="Q56" i="6"/>
  <c r="U56" i="6" s="1"/>
  <c r="C92" i="6"/>
  <c r="F88" i="6"/>
  <c r="L87" i="6"/>
  <c r="O87" i="6"/>
  <c r="F89" i="6" l="1"/>
  <c r="L88" i="6"/>
  <c r="O88" i="6"/>
  <c r="C93" i="6"/>
  <c r="AH56" i="6"/>
  <c r="AD56" i="6"/>
  <c r="W56" i="6"/>
  <c r="F13" i="26"/>
  <c r="P57" i="6"/>
  <c r="N57" i="6"/>
  <c r="R57" i="6" s="1"/>
  <c r="T57" i="6" s="1"/>
  <c r="M57" i="6"/>
  <c r="Z57" i="6"/>
  <c r="C94" i="6" l="1"/>
  <c r="K58" i="6"/>
  <c r="AB58" i="6"/>
  <c r="Q57" i="6"/>
  <c r="U57" i="6" s="1"/>
  <c r="F90" i="6"/>
  <c r="L89" i="6"/>
  <c r="O89" i="6"/>
  <c r="F91" i="6" l="1"/>
  <c r="L90" i="6"/>
  <c r="O90" i="6"/>
  <c r="W57" i="6"/>
  <c r="AD57" i="6"/>
  <c r="AH57" i="6"/>
  <c r="P58" i="6"/>
  <c r="N58" i="6"/>
  <c r="R58" i="6" s="1"/>
  <c r="T58" i="6" s="1"/>
  <c r="M58" i="6"/>
  <c r="Z58" i="6"/>
  <c r="C95" i="6"/>
  <c r="C96" i="6" l="1"/>
  <c r="K59" i="6"/>
  <c r="AB59" i="6"/>
  <c r="Q58" i="6"/>
  <c r="U58" i="6" s="1"/>
  <c r="F92" i="6"/>
  <c r="L91" i="6"/>
  <c r="O91" i="6"/>
  <c r="F93" i="6" l="1"/>
  <c r="L92" i="6"/>
  <c r="O92" i="6"/>
  <c r="AD58" i="6"/>
  <c r="AH58" i="6"/>
  <c r="W58" i="6"/>
  <c r="P59" i="6"/>
  <c r="N59" i="6"/>
  <c r="R59" i="6" s="1"/>
  <c r="T59" i="6" s="1"/>
  <c r="Z59" i="6"/>
  <c r="M59" i="6"/>
  <c r="C97" i="6"/>
  <c r="C98" i="6" l="1"/>
  <c r="K60" i="6"/>
  <c r="AB60" i="6"/>
  <c r="Q59" i="6"/>
  <c r="U59" i="6" s="1"/>
  <c r="F94" i="6"/>
  <c r="L93" i="6"/>
  <c r="O93" i="6"/>
  <c r="F95" i="6" l="1"/>
  <c r="L94" i="6"/>
  <c r="O94" i="6"/>
  <c r="AH59" i="6"/>
  <c r="AD59" i="6"/>
  <c r="W59" i="6"/>
  <c r="P60" i="6"/>
  <c r="N60" i="6"/>
  <c r="R60" i="6" s="1"/>
  <c r="T60" i="6" s="1"/>
  <c r="M60" i="6"/>
  <c r="Z60" i="6"/>
  <c r="C99" i="6"/>
  <c r="C100" i="6" l="1"/>
  <c r="B14" i="26"/>
  <c r="K61" i="6"/>
  <c r="AB61" i="6"/>
  <c r="Q60" i="6"/>
  <c r="U60" i="6" s="1"/>
  <c r="F96" i="6"/>
  <c r="L95" i="6"/>
  <c r="O95" i="6"/>
  <c r="P61" i="6" l="1"/>
  <c r="N61" i="6"/>
  <c r="R61" i="6" s="1"/>
  <c r="T61" i="6" s="1"/>
  <c r="M61" i="6"/>
  <c r="Z61" i="6"/>
  <c r="F97" i="6"/>
  <c r="L96" i="6"/>
  <c r="O96" i="6"/>
  <c r="W60" i="6"/>
  <c r="AH60" i="6"/>
  <c r="AD60" i="6"/>
  <c r="C101" i="6"/>
  <c r="C102" i="6" l="1"/>
  <c r="F98" i="6"/>
  <c r="L97" i="6"/>
  <c r="O97" i="6"/>
  <c r="K62" i="6"/>
  <c r="AB62" i="6"/>
  <c r="Q61" i="6"/>
  <c r="U61" i="6" s="1"/>
  <c r="F99" i="6" l="1"/>
  <c r="L98" i="6"/>
  <c r="O98" i="6"/>
  <c r="W61" i="6"/>
  <c r="AH61" i="6"/>
  <c r="AD61" i="6"/>
  <c r="P62" i="6"/>
  <c r="N62" i="6"/>
  <c r="R62" i="6" s="1"/>
  <c r="T62" i="6" s="1"/>
  <c r="Z62" i="6"/>
  <c r="M62" i="6"/>
  <c r="C103" i="6"/>
  <c r="C104" i="6" l="1"/>
  <c r="K63" i="6"/>
  <c r="AB63" i="6"/>
  <c r="Q62" i="6"/>
  <c r="U62" i="6" s="1"/>
  <c r="F100" i="6"/>
  <c r="L99" i="6"/>
  <c r="O99" i="6"/>
  <c r="F14" i="26" s="1"/>
  <c r="AD62" i="6" l="1"/>
  <c r="AH62" i="6"/>
  <c r="W62" i="6"/>
  <c r="F101" i="6"/>
  <c r="L100" i="6"/>
  <c r="O100" i="6"/>
  <c r="S11" i="26"/>
  <c r="AC63" i="6"/>
  <c r="P63" i="6"/>
  <c r="N63" i="6"/>
  <c r="R63" i="6" s="1"/>
  <c r="E11" i="26"/>
  <c r="Z63" i="6"/>
  <c r="Q11" i="26" s="1"/>
  <c r="M63" i="6"/>
  <c r="C105" i="6"/>
  <c r="C106" i="6" l="1"/>
  <c r="AG63" i="6"/>
  <c r="I11" i="26"/>
  <c r="AF63" i="6"/>
  <c r="F102" i="6"/>
  <c r="L101" i="6"/>
  <c r="O101" i="6"/>
  <c r="K64" i="6"/>
  <c r="AB64" i="6"/>
  <c r="G11" i="26"/>
  <c r="Q63" i="6"/>
  <c r="T11" i="26"/>
  <c r="Y63" i="6"/>
  <c r="H11" i="26" l="1"/>
  <c r="P64" i="6"/>
  <c r="N64" i="6"/>
  <c r="R64" i="6" s="1"/>
  <c r="M64" i="6"/>
  <c r="Z64" i="6"/>
  <c r="F103" i="6"/>
  <c r="L102" i="6"/>
  <c r="O102" i="6"/>
  <c r="S63" i="6" a="1"/>
  <c r="S63" i="6" s="1"/>
  <c r="P11" i="26"/>
  <c r="C107" i="6"/>
  <c r="F104" i="6" l="1"/>
  <c r="L103" i="6"/>
  <c r="O103" i="6"/>
  <c r="J11" i="26"/>
  <c r="T63" i="6"/>
  <c r="C108" i="6"/>
  <c r="K65" i="6"/>
  <c r="AB65" i="6"/>
  <c r="Q64" i="6"/>
  <c r="C109" i="6" l="1"/>
  <c r="P65" i="6"/>
  <c r="N65" i="6"/>
  <c r="R65" i="6" s="1"/>
  <c r="M65" i="6"/>
  <c r="Z65" i="6"/>
  <c r="K11" i="26"/>
  <c r="T64" i="6"/>
  <c r="U64" i="6" s="1"/>
  <c r="U63" i="6"/>
  <c r="F105" i="6"/>
  <c r="L104" i="6"/>
  <c r="O104" i="6"/>
  <c r="F106" i="6" l="1"/>
  <c r="L105" i="6"/>
  <c r="O105" i="6"/>
  <c r="K66" i="6"/>
  <c r="AB66" i="6"/>
  <c r="Q65" i="6"/>
  <c r="W64" i="6"/>
  <c r="AD64" i="6"/>
  <c r="AH64" i="6"/>
  <c r="L11" i="26"/>
  <c r="AD63" i="6"/>
  <c r="U11" i="26" s="1"/>
  <c r="AH63" i="6"/>
  <c r="V63" i="6"/>
  <c r="W63" i="6"/>
  <c r="N11" i="26" s="1"/>
  <c r="T65" i="6"/>
  <c r="C110" i="6"/>
  <c r="U65" i="6" l="1"/>
  <c r="AH65" i="6" s="1"/>
  <c r="M11" i="26"/>
  <c r="X63" i="6"/>
  <c r="O11" i="26" s="1"/>
  <c r="P66" i="6"/>
  <c r="N66" i="6"/>
  <c r="R66" i="6" s="1"/>
  <c r="T66" i="6" s="1"/>
  <c r="M66" i="6"/>
  <c r="Z66" i="6"/>
  <c r="C111" i="6"/>
  <c r="F107" i="6"/>
  <c r="L106" i="6"/>
  <c r="O106" i="6"/>
  <c r="W65" i="6" l="1"/>
  <c r="AD65" i="6"/>
  <c r="F108" i="6"/>
  <c r="L107" i="6"/>
  <c r="O107" i="6"/>
  <c r="C112" i="6"/>
  <c r="B15" i="26"/>
  <c r="K67" i="6"/>
  <c r="AB67" i="6"/>
  <c r="Q66" i="6"/>
  <c r="U66" i="6" s="1"/>
  <c r="C113" i="6" l="1"/>
  <c r="W66" i="6"/>
  <c r="AH66" i="6"/>
  <c r="AD66" i="6"/>
  <c r="P67" i="6"/>
  <c r="N67" i="6"/>
  <c r="R67" i="6" s="1"/>
  <c r="T67" i="6" s="1"/>
  <c r="Z67" i="6"/>
  <c r="M67" i="6"/>
  <c r="F109" i="6"/>
  <c r="L108" i="6"/>
  <c r="O108" i="6"/>
  <c r="K68" i="6" l="1"/>
  <c r="AB68" i="6"/>
  <c r="Q67" i="6"/>
  <c r="U67" i="6" s="1"/>
  <c r="F110" i="6"/>
  <c r="L109" i="6"/>
  <c r="O109" i="6"/>
  <c r="C114" i="6"/>
  <c r="F111" i="6" l="1"/>
  <c r="L110" i="6"/>
  <c r="O110" i="6"/>
  <c r="C115" i="6"/>
  <c r="W67" i="6"/>
  <c r="AD67" i="6"/>
  <c r="AH67" i="6"/>
  <c r="P68" i="6"/>
  <c r="N68" i="6"/>
  <c r="R68" i="6" s="1"/>
  <c r="T68" i="6" s="1"/>
  <c r="Z68" i="6"/>
  <c r="M68" i="6"/>
  <c r="C116" i="6" l="1"/>
  <c r="K69" i="6"/>
  <c r="AB69" i="6"/>
  <c r="Q68" i="6"/>
  <c r="U68" i="6" s="1"/>
  <c r="F112" i="6"/>
  <c r="L111" i="6"/>
  <c r="O111" i="6"/>
  <c r="F15" i="26" s="1"/>
  <c r="F113" i="6" l="1"/>
  <c r="L112" i="6"/>
  <c r="O112" i="6"/>
  <c r="W68" i="6"/>
  <c r="AH68" i="6"/>
  <c r="AD68" i="6"/>
  <c r="P69" i="6"/>
  <c r="N69" i="6"/>
  <c r="R69" i="6" s="1"/>
  <c r="T69" i="6" s="1"/>
  <c r="Z69" i="6"/>
  <c r="M69" i="6"/>
  <c r="C117" i="6"/>
  <c r="C118" i="6" l="1"/>
  <c r="K70" i="6"/>
  <c r="AB70" i="6"/>
  <c r="Q69" i="6"/>
  <c r="U69" i="6" s="1"/>
  <c r="F114" i="6"/>
  <c r="L113" i="6"/>
  <c r="O113" i="6"/>
  <c r="F115" i="6" l="1"/>
  <c r="L114" i="6"/>
  <c r="O114" i="6"/>
  <c r="AD69" i="6"/>
  <c r="AH69" i="6"/>
  <c r="W69" i="6"/>
  <c r="P70" i="6"/>
  <c r="N70" i="6"/>
  <c r="R70" i="6" s="1"/>
  <c r="T70" i="6" s="1"/>
  <c r="M70" i="6"/>
  <c r="Z70" i="6"/>
  <c r="C119" i="6"/>
  <c r="C120" i="6" l="1"/>
  <c r="K71" i="6"/>
  <c r="AB71" i="6"/>
  <c r="Q70" i="6"/>
  <c r="U70" i="6" s="1"/>
  <c r="F116" i="6"/>
  <c r="L115" i="6"/>
  <c r="O115" i="6"/>
  <c r="F117" i="6" l="1"/>
  <c r="L116" i="6"/>
  <c r="O116" i="6"/>
  <c r="C121" i="6"/>
  <c r="AH70" i="6"/>
  <c r="AD70" i="6"/>
  <c r="W70" i="6"/>
  <c r="P71" i="6"/>
  <c r="N71" i="6"/>
  <c r="R71" i="6" s="1"/>
  <c r="T71" i="6" s="1"/>
  <c r="Z71" i="6"/>
  <c r="M71" i="6"/>
  <c r="C122" i="6" l="1"/>
  <c r="K72" i="6"/>
  <c r="AB72" i="6"/>
  <c r="Q71" i="6"/>
  <c r="U71" i="6" s="1"/>
  <c r="F118" i="6"/>
  <c r="L117" i="6"/>
  <c r="O117" i="6"/>
  <c r="AD71" i="6" l="1"/>
  <c r="W71" i="6"/>
  <c r="AH71" i="6"/>
  <c r="F119" i="6"/>
  <c r="L118" i="6"/>
  <c r="O118" i="6"/>
  <c r="P72" i="6"/>
  <c r="N72" i="6"/>
  <c r="R72" i="6" s="1"/>
  <c r="T72" i="6" s="1"/>
  <c r="Z72" i="6"/>
  <c r="M72" i="6"/>
  <c r="C123" i="6"/>
  <c r="C124" i="6" l="1"/>
  <c r="B16" i="26"/>
  <c r="F120" i="6"/>
  <c r="L119" i="6"/>
  <c r="O119" i="6"/>
  <c r="K73" i="6"/>
  <c r="AB73" i="6"/>
  <c r="Q72" i="6"/>
  <c r="U72" i="6" s="1"/>
  <c r="F121" i="6" l="1"/>
  <c r="L120" i="6"/>
  <c r="O120" i="6"/>
  <c r="P73" i="6"/>
  <c r="N73" i="6"/>
  <c r="R73" i="6" s="1"/>
  <c r="T73" i="6" s="1"/>
  <c r="Z73" i="6"/>
  <c r="M73" i="6"/>
  <c r="W72" i="6"/>
  <c r="AD72" i="6"/>
  <c r="AH72" i="6"/>
  <c r="C125" i="6"/>
  <c r="K74" i="6" l="1"/>
  <c r="AB74" i="6"/>
  <c r="Q73" i="6"/>
  <c r="U73" i="6" s="1"/>
  <c r="C126" i="6"/>
  <c r="F122" i="6"/>
  <c r="L121" i="6"/>
  <c r="O121" i="6"/>
  <c r="F123" i="6" l="1"/>
  <c r="L122" i="6"/>
  <c r="O122" i="6"/>
  <c r="AD73" i="6"/>
  <c r="AH73" i="6"/>
  <c r="W73" i="6"/>
  <c r="C127" i="6"/>
  <c r="P74" i="6"/>
  <c r="N74" i="6"/>
  <c r="R74" i="6" s="1"/>
  <c r="T74" i="6" s="1"/>
  <c r="Z74" i="6"/>
  <c r="M74" i="6"/>
  <c r="K75" i="6" l="1"/>
  <c r="AB75" i="6"/>
  <c r="Q74" i="6"/>
  <c r="U74" i="6" s="1"/>
  <c r="C128" i="6"/>
  <c r="F124" i="6"/>
  <c r="L123" i="6"/>
  <c r="O123" i="6"/>
  <c r="F16" i="26" s="1"/>
  <c r="C129" i="6" l="1"/>
  <c r="F125" i="6"/>
  <c r="L124" i="6"/>
  <c r="O124" i="6"/>
  <c r="S12" i="26"/>
  <c r="AC75" i="6"/>
  <c r="AH74" i="6"/>
  <c r="AD74" i="6"/>
  <c r="W74" i="6"/>
  <c r="P75" i="6"/>
  <c r="N75" i="6"/>
  <c r="R75" i="6" s="1"/>
  <c r="E12" i="26"/>
  <c r="Z75" i="6"/>
  <c r="Q12" i="26" s="1"/>
  <c r="M75" i="6"/>
  <c r="K76" i="6" l="1"/>
  <c r="AB76" i="6"/>
  <c r="G12" i="26"/>
  <c r="Q75" i="6"/>
  <c r="C130" i="6"/>
  <c r="AG75" i="6"/>
  <c r="I12" i="26"/>
  <c r="AF75" i="6"/>
  <c r="F126" i="6"/>
  <c r="L125" i="6"/>
  <c r="O125" i="6"/>
  <c r="Y75" i="6"/>
  <c r="T12" i="26"/>
  <c r="H12" i="26" l="1"/>
  <c r="F127" i="6"/>
  <c r="L126" i="6"/>
  <c r="O126" i="6"/>
  <c r="S75" i="6" a="1"/>
  <c r="S75" i="6" s="1"/>
  <c r="P12" i="26"/>
  <c r="C131" i="6"/>
  <c r="P76" i="6"/>
  <c r="N76" i="6"/>
  <c r="R76" i="6" s="1"/>
  <c r="Z76" i="6"/>
  <c r="M76" i="6"/>
  <c r="F128" i="6" l="1"/>
  <c r="L127" i="6"/>
  <c r="O127" i="6"/>
  <c r="K77" i="6"/>
  <c r="AB77" i="6"/>
  <c r="Q76" i="6"/>
  <c r="C132" i="6"/>
  <c r="J12" i="26"/>
  <c r="T75" i="6"/>
  <c r="P77" i="6" l="1"/>
  <c r="N77" i="6"/>
  <c r="R77" i="6" s="1"/>
  <c r="M77" i="6"/>
  <c r="Z77" i="6"/>
  <c r="T76" i="6"/>
  <c r="K12" i="26"/>
  <c r="U75" i="6"/>
  <c r="C133" i="6"/>
  <c r="F129" i="6"/>
  <c r="L128" i="6"/>
  <c r="O128" i="6"/>
  <c r="T77" i="6" l="1"/>
  <c r="F130" i="6"/>
  <c r="L129" i="6"/>
  <c r="O129" i="6"/>
  <c r="K78" i="6"/>
  <c r="AB78" i="6"/>
  <c r="Q77" i="6"/>
  <c r="C134" i="6"/>
  <c r="U76" i="6"/>
  <c r="V75" i="6"/>
  <c r="W75" i="6"/>
  <c r="N12" i="26" s="1"/>
  <c r="L12" i="26"/>
  <c r="AD75" i="6"/>
  <c r="U12" i="26" s="1"/>
  <c r="AH75" i="6"/>
  <c r="U77" i="6" l="1"/>
  <c r="AD77" i="6" s="1"/>
  <c r="P78" i="6"/>
  <c r="N78" i="6"/>
  <c r="R78" i="6" s="1"/>
  <c r="T78" i="6" s="1"/>
  <c r="M78" i="6"/>
  <c r="Z78" i="6"/>
  <c r="AH76" i="6"/>
  <c r="W76" i="6"/>
  <c r="AD76" i="6"/>
  <c r="F131" i="6"/>
  <c r="L130" i="6"/>
  <c r="O130" i="6"/>
  <c r="M12" i="26"/>
  <c r="X75" i="6"/>
  <c r="O12" i="26" s="1"/>
  <c r="C135" i="6"/>
  <c r="W77" i="6" l="1"/>
  <c r="AH77" i="6"/>
  <c r="K79" i="6"/>
  <c r="AB79" i="6"/>
  <c r="Q78" i="6"/>
  <c r="U78" i="6" s="1"/>
  <c r="B17" i="26"/>
  <c r="C136" i="6"/>
  <c r="F132" i="6"/>
  <c r="L131" i="6"/>
  <c r="O131" i="6"/>
  <c r="C137" i="6" l="1"/>
  <c r="F133" i="6"/>
  <c r="L132" i="6"/>
  <c r="O132" i="6"/>
  <c r="AH78" i="6"/>
  <c r="W78" i="6"/>
  <c r="AD78" i="6"/>
  <c r="P79" i="6"/>
  <c r="N79" i="6"/>
  <c r="R79" i="6" s="1"/>
  <c r="T79" i="6" s="1"/>
  <c r="M79" i="6"/>
  <c r="Z79" i="6"/>
  <c r="F134" i="6" l="1"/>
  <c r="L133" i="6"/>
  <c r="O133" i="6"/>
  <c r="C138" i="6"/>
  <c r="K80" i="6"/>
  <c r="AB80" i="6"/>
  <c r="Q79" i="6"/>
  <c r="U79" i="6" s="1"/>
  <c r="C139" i="6" l="1"/>
  <c r="AH79" i="6"/>
  <c r="AD79" i="6"/>
  <c r="W79" i="6"/>
  <c r="F135" i="6"/>
  <c r="L134" i="6"/>
  <c r="O134" i="6"/>
  <c r="P80" i="6"/>
  <c r="N80" i="6"/>
  <c r="R80" i="6" s="1"/>
  <c r="T80" i="6" s="1"/>
  <c r="Z80" i="6"/>
  <c r="M80" i="6"/>
  <c r="K81" i="6" l="1"/>
  <c r="AB81" i="6"/>
  <c r="Q80" i="6"/>
  <c r="U80" i="6" s="1"/>
  <c r="F136" i="6"/>
  <c r="L135" i="6"/>
  <c r="O135" i="6"/>
  <c r="F17" i="26" s="1"/>
  <c r="C140" i="6"/>
  <c r="F137" i="6" l="1"/>
  <c r="L136" i="6"/>
  <c r="O136" i="6"/>
  <c r="AH80" i="6"/>
  <c r="AD80" i="6"/>
  <c r="W80" i="6"/>
  <c r="C141" i="6"/>
  <c r="P81" i="6"/>
  <c r="N81" i="6"/>
  <c r="R81" i="6" s="1"/>
  <c r="T81" i="6" s="1"/>
  <c r="Z81" i="6"/>
  <c r="M81" i="6"/>
  <c r="K82" i="6" l="1"/>
  <c r="AB82" i="6"/>
  <c r="Q81" i="6"/>
  <c r="U81" i="6" s="1"/>
  <c r="C142" i="6"/>
  <c r="F138" i="6"/>
  <c r="L137" i="6"/>
  <c r="O137" i="6"/>
  <c r="F139" i="6" l="1"/>
  <c r="L138" i="6"/>
  <c r="O138" i="6"/>
  <c r="C143" i="6"/>
  <c r="AH81" i="6"/>
  <c r="W81" i="6"/>
  <c r="AD81" i="6"/>
  <c r="P82" i="6"/>
  <c r="N82" i="6"/>
  <c r="R82" i="6" s="1"/>
  <c r="T82" i="6" s="1"/>
  <c r="M82" i="6"/>
  <c r="Z82" i="6"/>
  <c r="C144" i="6" l="1"/>
  <c r="K83" i="6"/>
  <c r="AB83" i="6"/>
  <c r="Q82" i="6"/>
  <c r="U82" i="6" s="1"/>
  <c r="F140" i="6"/>
  <c r="L139" i="6"/>
  <c r="O139" i="6"/>
  <c r="F141" i="6" l="1"/>
  <c r="L140" i="6"/>
  <c r="O140" i="6"/>
  <c r="C145" i="6"/>
  <c r="AH82" i="6"/>
  <c r="W82" i="6"/>
  <c r="AD82" i="6"/>
  <c r="P83" i="6"/>
  <c r="N83" i="6"/>
  <c r="R83" i="6" s="1"/>
  <c r="T83" i="6" s="1"/>
  <c r="Z83" i="6"/>
  <c r="M83" i="6"/>
  <c r="C146" i="6" l="1"/>
  <c r="K84" i="6"/>
  <c r="AB84" i="6"/>
  <c r="Q83" i="6"/>
  <c r="U83" i="6" s="1"/>
  <c r="F142" i="6"/>
  <c r="L141" i="6"/>
  <c r="O141" i="6"/>
  <c r="F143" i="6" l="1"/>
  <c r="L142" i="6"/>
  <c r="O142" i="6"/>
  <c r="W83" i="6"/>
  <c r="AD83" i="6"/>
  <c r="AH83" i="6"/>
  <c r="P84" i="6"/>
  <c r="N84" i="6"/>
  <c r="R84" i="6" s="1"/>
  <c r="T84" i="6" s="1"/>
  <c r="Z84" i="6"/>
  <c r="M84" i="6"/>
  <c r="C147" i="6"/>
  <c r="C148" i="6" l="1"/>
  <c r="B18" i="26"/>
  <c r="K85" i="6"/>
  <c r="AB85" i="6"/>
  <c r="Q84" i="6"/>
  <c r="U84" i="6" s="1"/>
  <c r="F144" i="6"/>
  <c r="L143" i="6"/>
  <c r="O143" i="6"/>
  <c r="W84" i="6" l="1"/>
  <c r="AD84" i="6"/>
  <c r="AH84" i="6"/>
  <c r="P85" i="6"/>
  <c r="N85" i="6"/>
  <c r="R85" i="6" s="1"/>
  <c r="T85" i="6" s="1"/>
  <c r="M85" i="6"/>
  <c r="Z85" i="6"/>
  <c r="F145" i="6"/>
  <c r="L144" i="6"/>
  <c r="O144" i="6"/>
  <c r="C149" i="6"/>
  <c r="K86" i="6" l="1"/>
  <c r="AB86" i="6"/>
  <c r="Q85" i="6"/>
  <c r="U85" i="6" s="1"/>
  <c r="F146" i="6"/>
  <c r="L145" i="6"/>
  <c r="O145" i="6"/>
  <c r="C150" i="6"/>
  <c r="F147" i="6" l="1"/>
  <c r="L146" i="6"/>
  <c r="O146" i="6"/>
  <c r="AD85" i="6"/>
  <c r="W85" i="6"/>
  <c r="AH85" i="6"/>
  <c r="C151" i="6"/>
  <c r="P86" i="6"/>
  <c r="N86" i="6"/>
  <c r="R86" i="6" s="1"/>
  <c r="T86" i="6" s="1"/>
  <c r="Z86" i="6"/>
  <c r="M86" i="6"/>
  <c r="K87" i="6" l="1"/>
  <c r="AB87" i="6"/>
  <c r="Q86" i="6"/>
  <c r="U86" i="6" s="1"/>
  <c r="C152" i="6"/>
  <c r="F148" i="6"/>
  <c r="L147" i="6"/>
  <c r="O147" i="6"/>
  <c r="G33" i="24"/>
  <c r="AD86" i="6" l="1"/>
  <c r="AH86" i="6"/>
  <c r="W86" i="6"/>
  <c r="F18" i="26"/>
  <c r="D33" i="24"/>
  <c r="F149" i="6"/>
  <c r="L148" i="6"/>
  <c r="O148" i="6"/>
  <c r="C153" i="6"/>
  <c r="S13" i="26"/>
  <c r="AC87" i="6"/>
  <c r="P87" i="6"/>
  <c r="N87" i="6"/>
  <c r="E13" i="26"/>
  <c r="Z87" i="6"/>
  <c r="Q13" i="26" s="1"/>
  <c r="M87" i="6"/>
  <c r="K88" i="6" l="1"/>
  <c r="AB88" i="6"/>
  <c r="G13" i="26"/>
  <c r="Q87" i="6"/>
  <c r="F150" i="6"/>
  <c r="L149" i="6"/>
  <c r="O149" i="6"/>
  <c r="Y87" i="6"/>
  <c r="T13" i="26"/>
  <c r="C154" i="6"/>
  <c r="R87" i="6"/>
  <c r="W27" i="16"/>
  <c r="I13" i="26" l="1"/>
  <c r="AG87" i="6"/>
  <c r="F151" i="6"/>
  <c r="L150" i="6"/>
  <c r="O150" i="6"/>
  <c r="C155" i="6"/>
  <c r="W28" i="16"/>
  <c r="C17" i="23" s="1"/>
  <c r="H13" i="26"/>
  <c r="AF87" i="6"/>
  <c r="S87" i="6" a="1"/>
  <c r="S87" i="6" s="1"/>
  <c r="J13" i="26" s="1"/>
  <c r="P13" i="26"/>
  <c r="P88" i="6"/>
  <c r="N88" i="6"/>
  <c r="R88" i="6" s="1"/>
  <c r="Z88" i="6"/>
  <c r="M88" i="6"/>
  <c r="F152" i="6" l="1"/>
  <c r="L151" i="6"/>
  <c r="O151" i="6"/>
  <c r="K89" i="6"/>
  <c r="AB89" i="6"/>
  <c r="Q88" i="6"/>
  <c r="T87" i="6"/>
  <c r="C156" i="6"/>
  <c r="P89" i="6" l="1"/>
  <c r="N89" i="6"/>
  <c r="R89" i="6" s="1"/>
  <c r="Z89" i="6"/>
  <c r="M89" i="6"/>
  <c r="C157" i="6"/>
  <c r="T88" i="6"/>
  <c r="W29" i="16"/>
  <c r="C18" i="23" s="1"/>
  <c r="K13" i="26"/>
  <c r="U87" i="6"/>
  <c r="F153" i="6"/>
  <c r="L152" i="6"/>
  <c r="O152" i="6"/>
  <c r="F154" i="6" l="1"/>
  <c r="L153" i="6"/>
  <c r="O153" i="6"/>
  <c r="AD87" i="6"/>
  <c r="U13" i="26" s="1"/>
  <c r="W30" i="16"/>
  <c r="C19" i="23" s="1"/>
  <c r="AH87" i="6"/>
  <c r="L13" i="26"/>
  <c r="V87" i="6"/>
  <c r="W87" i="6"/>
  <c r="C158" i="6"/>
  <c r="K90" i="6"/>
  <c r="AB90" i="6"/>
  <c r="Q89" i="6"/>
  <c r="T89" i="6"/>
  <c r="U88" i="6"/>
  <c r="U89" i="6" l="1"/>
  <c r="AD89" i="6" s="1"/>
  <c r="C159" i="6"/>
  <c r="P90" i="6"/>
  <c r="N90" i="6"/>
  <c r="R90" i="6" s="1"/>
  <c r="T90" i="6" s="1"/>
  <c r="Z90" i="6"/>
  <c r="M90" i="6"/>
  <c r="N13" i="26"/>
  <c r="W31" i="16"/>
  <c r="C20" i="23" s="1"/>
  <c r="W88" i="6"/>
  <c r="AH88" i="6"/>
  <c r="AD88" i="6"/>
  <c r="X87" i="6"/>
  <c r="O13" i="26" s="1"/>
  <c r="M13" i="26"/>
  <c r="F155" i="6"/>
  <c r="L154" i="6"/>
  <c r="O154" i="6"/>
  <c r="AH89" i="6" l="1"/>
  <c r="W89" i="6"/>
  <c r="C160" i="6"/>
  <c r="B19" i="26"/>
  <c r="K91" i="6"/>
  <c r="AB91" i="6"/>
  <c r="Q90" i="6"/>
  <c r="U90" i="6" s="1"/>
  <c r="F156" i="6"/>
  <c r="L155" i="6"/>
  <c r="O155" i="6"/>
  <c r="F157" i="6" l="1"/>
  <c r="L156" i="6"/>
  <c r="O156" i="6"/>
  <c r="W90" i="6"/>
  <c r="AH90" i="6"/>
  <c r="AD90" i="6"/>
  <c r="P91" i="6"/>
  <c r="N91" i="6"/>
  <c r="R91" i="6" s="1"/>
  <c r="T91" i="6" s="1"/>
  <c r="Z91" i="6"/>
  <c r="M91" i="6"/>
  <c r="C161" i="6"/>
  <c r="C162" i="6" l="1"/>
  <c r="K92" i="6"/>
  <c r="AB92" i="6"/>
  <c r="Q91" i="6"/>
  <c r="U91" i="6" s="1"/>
  <c r="F158" i="6"/>
  <c r="L157" i="6"/>
  <c r="O157" i="6"/>
  <c r="F159" i="6" l="1"/>
  <c r="L158" i="6"/>
  <c r="O158" i="6"/>
  <c r="AH91" i="6"/>
  <c r="W91" i="6"/>
  <c r="AD91" i="6"/>
  <c r="P92" i="6"/>
  <c r="N92" i="6"/>
  <c r="R92" i="6" s="1"/>
  <c r="T92" i="6" s="1"/>
  <c r="Z92" i="6"/>
  <c r="M92" i="6"/>
  <c r="C163" i="6"/>
  <c r="C164" i="6" l="1"/>
  <c r="K93" i="6"/>
  <c r="AB93" i="6"/>
  <c r="Q92" i="6"/>
  <c r="U92" i="6" s="1"/>
  <c r="F160" i="6"/>
  <c r="L159" i="6"/>
  <c r="O159" i="6"/>
  <c r="F19" i="26" s="1"/>
  <c r="F161" i="6" l="1"/>
  <c r="L160" i="6"/>
  <c r="O160" i="6"/>
  <c r="AH92" i="6"/>
  <c r="W92" i="6"/>
  <c r="AD92" i="6"/>
  <c r="P93" i="6"/>
  <c r="N93" i="6"/>
  <c r="R93" i="6" s="1"/>
  <c r="T93" i="6" s="1"/>
  <c r="Z93" i="6"/>
  <c r="M93" i="6"/>
  <c r="C165" i="6"/>
  <c r="C166" i="6" l="1"/>
  <c r="K94" i="6"/>
  <c r="AB94" i="6"/>
  <c r="Q93" i="6"/>
  <c r="U93" i="6" s="1"/>
  <c r="F162" i="6"/>
  <c r="L161" i="6"/>
  <c r="O161" i="6"/>
  <c r="F163" i="6" l="1"/>
  <c r="L162" i="6"/>
  <c r="O162" i="6"/>
  <c r="W93" i="6"/>
  <c r="AH93" i="6"/>
  <c r="AD93" i="6"/>
  <c r="P94" i="6"/>
  <c r="N94" i="6"/>
  <c r="R94" i="6" s="1"/>
  <c r="T94" i="6" s="1"/>
  <c r="Z94" i="6"/>
  <c r="M94" i="6"/>
  <c r="C167" i="6"/>
  <c r="C168" i="6" l="1"/>
  <c r="K95" i="6"/>
  <c r="AB95" i="6"/>
  <c r="Q94" i="6"/>
  <c r="U94" i="6" s="1"/>
  <c r="F164" i="6"/>
  <c r="L163" i="6"/>
  <c r="O163" i="6"/>
  <c r="F165" i="6" l="1"/>
  <c r="L164" i="6"/>
  <c r="O164" i="6"/>
  <c r="AD94" i="6"/>
  <c r="W94" i="6"/>
  <c r="AH94" i="6"/>
  <c r="P95" i="6"/>
  <c r="N95" i="6"/>
  <c r="R95" i="6" s="1"/>
  <c r="T95" i="6" s="1"/>
  <c r="Z95" i="6"/>
  <c r="M95" i="6"/>
  <c r="C169" i="6"/>
  <c r="C170" i="6" l="1"/>
  <c r="K96" i="6"/>
  <c r="AB96" i="6"/>
  <c r="Q95" i="6"/>
  <c r="U95" i="6" s="1"/>
  <c r="F166" i="6"/>
  <c r="L165" i="6"/>
  <c r="O165" i="6"/>
  <c r="F167" i="6" l="1"/>
  <c r="L166" i="6"/>
  <c r="O166" i="6"/>
  <c r="AH95" i="6"/>
  <c r="AD95" i="6"/>
  <c r="W95" i="6"/>
  <c r="P96" i="6"/>
  <c r="N96" i="6"/>
  <c r="R96" i="6" s="1"/>
  <c r="T96" i="6" s="1"/>
  <c r="M96" i="6"/>
  <c r="Z96" i="6"/>
  <c r="C171" i="6"/>
  <c r="C172" i="6" l="1"/>
  <c r="B20" i="26"/>
  <c r="K97" i="6"/>
  <c r="AB97" i="6"/>
  <c r="Q96" i="6"/>
  <c r="U96" i="6" s="1"/>
  <c r="F168" i="6"/>
  <c r="L167" i="6"/>
  <c r="O167" i="6"/>
  <c r="W96" i="6" l="1"/>
  <c r="AD96" i="6"/>
  <c r="AH96" i="6"/>
  <c r="F169" i="6"/>
  <c r="L168" i="6"/>
  <c r="O168" i="6"/>
  <c r="P97" i="6"/>
  <c r="N97" i="6"/>
  <c r="R97" i="6" s="1"/>
  <c r="T97" i="6" s="1"/>
  <c r="Z97" i="6"/>
  <c r="M97" i="6"/>
  <c r="C173" i="6"/>
  <c r="C174" i="6" l="1"/>
  <c r="F170" i="6"/>
  <c r="L169" i="6"/>
  <c r="O169" i="6"/>
  <c r="K98" i="6"/>
  <c r="AB98" i="6"/>
  <c r="Q97" i="6"/>
  <c r="U97" i="6" s="1"/>
  <c r="F171" i="6" l="1"/>
  <c r="L170" i="6"/>
  <c r="O170" i="6"/>
  <c r="AD97" i="6"/>
  <c r="AH97" i="6"/>
  <c r="W97" i="6"/>
  <c r="P98" i="6"/>
  <c r="N98" i="6"/>
  <c r="R98" i="6" s="1"/>
  <c r="T98" i="6" s="1"/>
  <c r="M98" i="6"/>
  <c r="Z98" i="6"/>
  <c r="C175" i="6"/>
  <c r="C176" i="6" l="1"/>
  <c r="K99" i="6"/>
  <c r="AB99" i="6"/>
  <c r="Q98" i="6"/>
  <c r="U98" i="6" s="1"/>
  <c r="F172" i="6"/>
  <c r="L171" i="6"/>
  <c r="O171" i="6"/>
  <c r="F20" i="26" s="1"/>
  <c r="AH98" i="6" l="1"/>
  <c r="AD98" i="6"/>
  <c r="W98" i="6"/>
  <c r="S14" i="26"/>
  <c r="AC99" i="6"/>
  <c r="P99" i="6"/>
  <c r="N99" i="6"/>
  <c r="R99" i="6" s="1"/>
  <c r="E14" i="26"/>
  <c r="Z99" i="6"/>
  <c r="Q14" i="26" s="1"/>
  <c r="M99" i="6"/>
  <c r="F173" i="6"/>
  <c r="L172" i="6"/>
  <c r="O172" i="6"/>
  <c r="C177" i="6"/>
  <c r="K100" i="6" l="1"/>
  <c r="AB100" i="6"/>
  <c r="G14" i="26"/>
  <c r="Q99" i="6"/>
  <c r="T14" i="26"/>
  <c r="Y99" i="6"/>
  <c r="C178" i="6"/>
  <c r="F174" i="6"/>
  <c r="L173" i="6"/>
  <c r="O173" i="6"/>
  <c r="AG99" i="6"/>
  <c r="I14" i="26"/>
  <c r="S99" i="6" l="1" a="1"/>
  <c r="S99" i="6" s="1"/>
  <c r="P14" i="26"/>
  <c r="C179" i="6"/>
  <c r="H14" i="26"/>
  <c r="F175" i="6"/>
  <c r="L174" i="6"/>
  <c r="O174" i="6"/>
  <c r="P100" i="6"/>
  <c r="N100" i="6"/>
  <c r="R100" i="6" s="1"/>
  <c r="M100" i="6"/>
  <c r="Z100" i="6"/>
  <c r="F176" i="6" l="1"/>
  <c r="L175" i="6"/>
  <c r="O175" i="6"/>
  <c r="K101" i="6"/>
  <c r="AB101" i="6"/>
  <c r="Q100" i="6"/>
  <c r="C180" i="6"/>
  <c r="J14" i="26"/>
  <c r="T99" i="6"/>
  <c r="P101" i="6" l="1"/>
  <c r="N101" i="6"/>
  <c r="R101" i="6" s="1"/>
  <c r="Z101" i="6"/>
  <c r="M101" i="6"/>
  <c r="T100" i="6"/>
  <c r="K14" i="26"/>
  <c r="U99" i="6"/>
  <c r="C181" i="6"/>
  <c r="F177" i="6"/>
  <c r="L176" i="6"/>
  <c r="O176" i="6"/>
  <c r="T101" i="6" l="1"/>
  <c r="W99" i="6"/>
  <c r="N14" i="26" s="1"/>
  <c r="AD99" i="6"/>
  <c r="U14" i="26" s="1"/>
  <c r="AH99" i="6"/>
  <c r="V99" i="6"/>
  <c r="L14" i="26"/>
  <c r="C182" i="6"/>
  <c r="F178" i="6"/>
  <c r="L177" i="6"/>
  <c r="O177" i="6"/>
  <c r="K102" i="6"/>
  <c r="AB102" i="6"/>
  <c r="Q101" i="6"/>
  <c r="U100" i="6"/>
  <c r="U101" i="6" l="1"/>
  <c r="W101" i="6" s="1"/>
  <c r="C183" i="6"/>
  <c r="P102" i="6"/>
  <c r="N102" i="6"/>
  <c r="R102" i="6" s="1"/>
  <c r="T102" i="6" s="1"/>
  <c r="Z102" i="6"/>
  <c r="M102" i="6"/>
  <c r="X99" i="6"/>
  <c r="O14" i="26" s="1"/>
  <c r="M14" i="26"/>
  <c r="W100" i="6"/>
  <c r="AH100" i="6"/>
  <c r="AD100" i="6"/>
  <c r="F179" i="6"/>
  <c r="L178" i="6"/>
  <c r="O178" i="6"/>
  <c r="AH101" i="6" l="1"/>
  <c r="AD101" i="6"/>
  <c r="K103" i="6"/>
  <c r="AB103" i="6"/>
  <c r="Q102" i="6"/>
  <c r="U102" i="6" s="1"/>
  <c r="F180" i="6"/>
  <c r="L179" i="6"/>
  <c r="O179" i="6"/>
  <c r="C184" i="6"/>
  <c r="B21" i="26"/>
  <c r="AD102" i="6" l="1"/>
  <c r="W102" i="6"/>
  <c r="AH102" i="6"/>
  <c r="C185" i="6"/>
  <c r="F181" i="6"/>
  <c r="L180" i="6"/>
  <c r="O180" i="6"/>
  <c r="P103" i="6"/>
  <c r="N103" i="6"/>
  <c r="R103" i="6" s="1"/>
  <c r="T103" i="6" s="1"/>
  <c r="Z103" i="6"/>
  <c r="M103" i="6"/>
  <c r="F182" i="6" l="1"/>
  <c r="L181" i="6"/>
  <c r="O181" i="6"/>
  <c r="C186" i="6"/>
  <c r="K104" i="6"/>
  <c r="AB104" i="6"/>
  <c r="Q103" i="6"/>
  <c r="U103" i="6" s="1"/>
  <c r="P104" i="6" l="1"/>
  <c r="N104" i="6"/>
  <c r="R104" i="6" s="1"/>
  <c r="T104" i="6" s="1"/>
  <c r="Z104" i="6"/>
  <c r="M104" i="6"/>
  <c r="W103" i="6"/>
  <c r="AD103" i="6"/>
  <c r="AH103" i="6"/>
  <c r="C187" i="6"/>
  <c r="F183" i="6"/>
  <c r="L182" i="6"/>
  <c r="O182" i="6"/>
  <c r="C188" i="6" l="1"/>
  <c r="F184" i="6"/>
  <c r="L183" i="6"/>
  <c r="O183" i="6"/>
  <c r="F21" i="26" s="1"/>
  <c r="K105" i="6"/>
  <c r="AB105" i="6"/>
  <c r="Q104" i="6"/>
  <c r="U104" i="6" s="1"/>
  <c r="F185" i="6" l="1"/>
  <c r="L184" i="6"/>
  <c r="O184" i="6"/>
  <c r="W104" i="6"/>
  <c r="AH104" i="6"/>
  <c r="AD104" i="6"/>
  <c r="P105" i="6"/>
  <c r="N105" i="6"/>
  <c r="R105" i="6" s="1"/>
  <c r="T105" i="6" s="1"/>
  <c r="M105" i="6"/>
  <c r="Z105" i="6"/>
  <c r="C189" i="6"/>
  <c r="C190" i="6" l="1"/>
  <c r="K106" i="6"/>
  <c r="AB106" i="6"/>
  <c r="Q105" i="6"/>
  <c r="U105" i="6" s="1"/>
  <c r="F186" i="6"/>
  <c r="L185" i="6"/>
  <c r="O185" i="6"/>
  <c r="F187" i="6" l="1"/>
  <c r="L186" i="6"/>
  <c r="O186" i="6"/>
  <c r="AH105" i="6"/>
  <c r="AD105" i="6"/>
  <c r="W105" i="6"/>
  <c r="P106" i="6"/>
  <c r="N106" i="6"/>
  <c r="R106" i="6" s="1"/>
  <c r="T106" i="6" s="1"/>
  <c r="M106" i="6"/>
  <c r="Z106" i="6"/>
  <c r="C191" i="6"/>
  <c r="C192" i="6" l="1"/>
  <c r="K107" i="6"/>
  <c r="AB107" i="6"/>
  <c r="Q106" i="6"/>
  <c r="U106" i="6" s="1"/>
  <c r="F188" i="6"/>
  <c r="L187" i="6"/>
  <c r="O187" i="6"/>
  <c r="F189" i="6" l="1"/>
  <c r="L188" i="6"/>
  <c r="O188" i="6"/>
  <c r="AH106" i="6"/>
  <c r="W106" i="6"/>
  <c r="AD106" i="6"/>
  <c r="P107" i="6"/>
  <c r="N107" i="6"/>
  <c r="R107" i="6" s="1"/>
  <c r="T107" i="6" s="1"/>
  <c r="Z107" i="6"/>
  <c r="M107" i="6"/>
  <c r="C193" i="6"/>
  <c r="C194" i="6" l="1"/>
  <c r="K108" i="6"/>
  <c r="AB108" i="6"/>
  <c r="Q107" i="6"/>
  <c r="U107" i="6" s="1"/>
  <c r="F190" i="6"/>
  <c r="L189" i="6"/>
  <c r="O189" i="6"/>
  <c r="F191" i="6" l="1"/>
  <c r="L190" i="6"/>
  <c r="O190" i="6"/>
  <c r="AD107" i="6"/>
  <c r="W107" i="6"/>
  <c r="AH107" i="6"/>
  <c r="P108" i="6"/>
  <c r="N108" i="6"/>
  <c r="R108" i="6" s="1"/>
  <c r="T108" i="6" s="1"/>
  <c r="Z108" i="6"/>
  <c r="M108" i="6"/>
  <c r="C195" i="6"/>
  <c r="C196" i="6" l="1"/>
  <c r="B22" i="26"/>
  <c r="K109" i="6"/>
  <c r="AB109" i="6"/>
  <c r="Q108" i="6"/>
  <c r="U108" i="6" s="1"/>
  <c r="F192" i="6"/>
  <c r="L191" i="6"/>
  <c r="O191" i="6"/>
  <c r="F193" i="6" l="1"/>
  <c r="L192" i="6"/>
  <c r="O192" i="6"/>
  <c r="AH108" i="6"/>
  <c r="W108" i="6"/>
  <c r="AD108" i="6"/>
  <c r="P109" i="6"/>
  <c r="N109" i="6"/>
  <c r="R109" i="6" s="1"/>
  <c r="T109" i="6" s="1"/>
  <c r="M109" i="6"/>
  <c r="Z109" i="6"/>
  <c r="C197" i="6"/>
  <c r="C198" i="6" l="1"/>
  <c r="K110" i="6"/>
  <c r="AB110" i="6"/>
  <c r="Q109" i="6"/>
  <c r="U109" i="6" s="1"/>
  <c r="F194" i="6"/>
  <c r="L193" i="6"/>
  <c r="O193" i="6"/>
  <c r="F195" i="6" l="1"/>
  <c r="L194" i="6"/>
  <c r="O194" i="6"/>
  <c r="AH109" i="6"/>
  <c r="AD109" i="6"/>
  <c r="W109" i="6"/>
  <c r="P110" i="6"/>
  <c r="N110" i="6"/>
  <c r="R110" i="6" s="1"/>
  <c r="T110" i="6" s="1"/>
  <c r="Z110" i="6"/>
  <c r="M110" i="6"/>
  <c r="C199" i="6"/>
  <c r="C200" i="6" l="1"/>
  <c r="K111" i="6"/>
  <c r="AB111" i="6"/>
  <c r="Q110" i="6"/>
  <c r="U110" i="6" s="1"/>
  <c r="F196" i="6"/>
  <c r="L195" i="6"/>
  <c r="O195" i="6"/>
  <c r="F22" i="26" s="1"/>
  <c r="AH110" i="6" l="1"/>
  <c r="AD110" i="6"/>
  <c r="W110" i="6"/>
  <c r="F197" i="6"/>
  <c r="L196" i="6"/>
  <c r="O196" i="6"/>
  <c r="S15" i="26"/>
  <c r="AC111" i="6"/>
  <c r="P111" i="6"/>
  <c r="N111" i="6"/>
  <c r="R111" i="6" s="1"/>
  <c r="E15" i="26"/>
  <c r="Z111" i="6"/>
  <c r="Q15" i="26" s="1"/>
  <c r="M111" i="6"/>
  <c r="C201" i="6"/>
  <c r="F198" i="6" l="1"/>
  <c r="L197" i="6"/>
  <c r="O197" i="6"/>
  <c r="AG111" i="6"/>
  <c r="I15" i="26"/>
  <c r="K112" i="6"/>
  <c r="AB112" i="6"/>
  <c r="G15" i="26"/>
  <c r="Q111" i="6"/>
  <c r="T15" i="26"/>
  <c r="Y111" i="6"/>
  <c r="C202" i="6"/>
  <c r="S111" i="6" l="1" a="1"/>
  <c r="S111" i="6" s="1"/>
  <c r="P15" i="26"/>
  <c r="C203" i="6"/>
  <c r="H15" i="26"/>
  <c r="P112" i="6"/>
  <c r="N112" i="6"/>
  <c r="R112" i="6" s="1"/>
  <c r="Z112" i="6"/>
  <c r="M112" i="6"/>
  <c r="F199" i="6"/>
  <c r="L198" i="6"/>
  <c r="O198" i="6"/>
  <c r="F200" i="6" l="1"/>
  <c r="L199" i="6"/>
  <c r="O199" i="6"/>
  <c r="K113" i="6"/>
  <c r="AB113" i="6"/>
  <c r="Q112" i="6"/>
  <c r="C204" i="6"/>
  <c r="J15" i="26"/>
  <c r="T111" i="6"/>
  <c r="P113" i="6" l="1"/>
  <c r="N113" i="6"/>
  <c r="R113" i="6" s="1"/>
  <c r="Z113" i="6"/>
  <c r="M113" i="6"/>
  <c r="T112" i="6"/>
  <c r="K15" i="26"/>
  <c r="U111" i="6"/>
  <c r="C205" i="6"/>
  <c r="F201" i="6"/>
  <c r="L200" i="6"/>
  <c r="O200" i="6"/>
  <c r="T113" i="6" l="1"/>
  <c r="C206" i="6"/>
  <c r="F202" i="6"/>
  <c r="L201" i="6"/>
  <c r="O201" i="6"/>
  <c r="K114" i="6"/>
  <c r="AB114" i="6"/>
  <c r="Q113" i="6"/>
  <c r="V111" i="6"/>
  <c r="AH111" i="6"/>
  <c r="W111" i="6"/>
  <c r="N15" i="26" s="1"/>
  <c r="AD111" i="6"/>
  <c r="U15" i="26" s="1"/>
  <c r="L15" i="26"/>
  <c r="U112" i="6"/>
  <c r="U113" i="6" l="1"/>
  <c r="AD113" i="6" s="1"/>
  <c r="M15" i="26"/>
  <c r="X111" i="6"/>
  <c r="O15" i="26" s="1"/>
  <c r="C207" i="6"/>
  <c r="F203" i="6"/>
  <c r="L202" i="6"/>
  <c r="O202" i="6"/>
  <c r="AD112" i="6"/>
  <c r="W112" i="6"/>
  <c r="AH112" i="6"/>
  <c r="P114" i="6"/>
  <c r="N114" i="6"/>
  <c r="R114" i="6" s="1"/>
  <c r="T114" i="6" s="1"/>
  <c r="M114" i="6"/>
  <c r="Z114" i="6"/>
  <c r="AH113" i="6" l="1"/>
  <c r="W113" i="6"/>
  <c r="F204" i="6"/>
  <c r="L203" i="6"/>
  <c r="O203" i="6"/>
  <c r="B23" i="26"/>
  <c r="C208" i="6"/>
  <c r="K115" i="6"/>
  <c r="AB115" i="6"/>
  <c r="Q114" i="6"/>
  <c r="U114" i="6" s="1"/>
  <c r="C209" i="6" l="1"/>
  <c r="AD114" i="6"/>
  <c r="AH114" i="6"/>
  <c r="W114" i="6"/>
  <c r="P115" i="6"/>
  <c r="N115" i="6"/>
  <c r="R115" i="6" s="1"/>
  <c r="T115" i="6" s="1"/>
  <c r="Z115" i="6"/>
  <c r="M115" i="6"/>
  <c r="F205" i="6"/>
  <c r="L204" i="6"/>
  <c r="O204" i="6"/>
  <c r="K116" i="6" l="1"/>
  <c r="AB116" i="6"/>
  <c r="Q115" i="6"/>
  <c r="U115" i="6" s="1"/>
  <c r="F206" i="6"/>
  <c r="L205" i="6"/>
  <c r="O205" i="6"/>
  <c r="C210" i="6"/>
  <c r="F207" i="6" l="1"/>
  <c r="L206" i="6"/>
  <c r="O206" i="6"/>
  <c r="C211" i="6"/>
  <c r="AH115" i="6"/>
  <c r="W115" i="6"/>
  <c r="AD115" i="6"/>
  <c r="P116" i="6"/>
  <c r="N116" i="6"/>
  <c r="R116" i="6" s="1"/>
  <c r="T116" i="6" s="1"/>
  <c r="Z116" i="6"/>
  <c r="M116" i="6"/>
  <c r="C212" i="6" l="1"/>
  <c r="K117" i="6"/>
  <c r="AB117" i="6"/>
  <c r="Q116" i="6"/>
  <c r="U116" i="6" s="1"/>
  <c r="F208" i="6"/>
  <c r="L207" i="6"/>
  <c r="O207" i="6"/>
  <c r="F23" i="26" s="1"/>
  <c r="W116" i="6" l="1"/>
  <c r="AH116" i="6"/>
  <c r="AD116" i="6"/>
  <c r="F209" i="6"/>
  <c r="L208" i="6"/>
  <c r="O208" i="6"/>
  <c r="P117" i="6"/>
  <c r="N117" i="6"/>
  <c r="R117" i="6" s="1"/>
  <c r="T117" i="6" s="1"/>
  <c r="Z117" i="6"/>
  <c r="M117" i="6"/>
  <c r="C213" i="6"/>
  <c r="F210" i="6" l="1"/>
  <c r="L209" i="6"/>
  <c r="O209" i="6"/>
  <c r="C214" i="6"/>
  <c r="K118" i="6"/>
  <c r="AB118" i="6"/>
  <c r="Q117" i="6"/>
  <c r="U117" i="6" s="1"/>
  <c r="AD117" i="6" l="1"/>
  <c r="AH117" i="6"/>
  <c r="W117" i="6"/>
  <c r="C215" i="6"/>
  <c r="P118" i="6"/>
  <c r="N118" i="6"/>
  <c r="R118" i="6" s="1"/>
  <c r="T118" i="6" s="1"/>
  <c r="Z118" i="6"/>
  <c r="M118" i="6"/>
  <c r="F211" i="6"/>
  <c r="L210" i="6"/>
  <c r="O210" i="6"/>
  <c r="K119" i="6" l="1"/>
  <c r="AB119" i="6"/>
  <c r="Q118" i="6"/>
  <c r="U118" i="6" s="1"/>
  <c r="C216" i="6"/>
  <c r="F212" i="6"/>
  <c r="L211" i="6"/>
  <c r="O211" i="6"/>
  <c r="F213" i="6" l="1"/>
  <c r="L212" i="6"/>
  <c r="O212" i="6"/>
  <c r="AH118" i="6"/>
  <c r="W118" i="6"/>
  <c r="AD118" i="6"/>
  <c r="C217" i="6"/>
  <c r="P119" i="6"/>
  <c r="N119" i="6"/>
  <c r="R119" i="6" s="1"/>
  <c r="T119" i="6" s="1"/>
  <c r="Z119" i="6"/>
  <c r="M119" i="6"/>
  <c r="C218" i="6" l="1"/>
  <c r="K120" i="6"/>
  <c r="AB120" i="6"/>
  <c r="Q119" i="6"/>
  <c r="U119" i="6" s="1"/>
  <c r="F214" i="6"/>
  <c r="L213" i="6"/>
  <c r="O213" i="6"/>
  <c r="F215" i="6" l="1"/>
  <c r="L214" i="6"/>
  <c r="O214" i="6"/>
  <c r="AD119" i="6"/>
  <c r="W119" i="6"/>
  <c r="AH119" i="6"/>
  <c r="P120" i="6"/>
  <c r="N120" i="6"/>
  <c r="R120" i="6" s="1"/>
  <c r="T120" i="6" s="1"/>
  <c r="Z120" i="6"/>
  <c r="M120" i="6"/>
  <c r="C219" i="6"/>
  <c r="C220" i="6" l="1"/>
  <c r="B24" i="26"/>
  <c r="K121" i="6"/>
  <c r="AB121" i="6"/>
  <c r="Q120" i="6"/>
  <c r="U120" i="6" s="1"/>
  <c r="F216" i="6"/>
  <c r="L215" i="6"/>
  <c r="O215" i="6"/>
  <c r="AD120" i="6" l="1"/>
  <c r="AH120" i="6"/>
  <c r="W120" i="6"/>
  <c r="F217" i="6"/>
  <c r="L216" i="6"/>
  <c r="O216" i="6"/>
  <c r="P121" i="6"/>
  <c r="N121" i="6"/>
  <c r="R121" i="6" s="1"/>
  <c r="T121" i="6" s="1"/>
  <c r="Z121" i="6"/>
  <c r="M121" i="6"/>
  <c r="C221" i="6"/>
  <c r="C222" i="6" l="1"/>
  <c r="F218" i="6"/>
  <c r="L217" i="6"/>
  <c r="O217" i="6"/>
  <c r="K122" i="6"/>
  <c r="AB122" i="6"/>
  <c r="Q121" i="6"/>
  <c r="U121" i="6" s="1"/>
  <c r="W121" i="6" l="1"/>
  <c r="AH121" i="6"/>
  <c r="AD121" i="6"/>
  <c r="F219" i="6"/>
  <c r="L218" i="6"/>
  <c r="O218" i="6"/>
  <c r="P122" i="6"/>
  <c r="N122" i="6"/>
  <c r="R122" i="6" s="1"/>
  <c r="T122" i="6" s="1"/>
  <c r="M122" i="6"/>
  <c r="Z122" i="6"/>
  <c r="C223" i="6"/>
  <c r="K123" i="6" l="1"/>
  <c r="AB123" i="6"/>
  <c r="Q122" i="6"/>
  <c r="U122" i="6" s="1"/>
  <c r="C224" i="6"/>
  <c r="F220" i="6"/>
  <c r="L219" i="6"/>
  <c r="O219" i="6"/>
  <c r="F24" i="26" s="1"/>
  <c r="C225" i="6" l="1"/>
  <c r="F221" i="6"/>
  <c r="L220" i="6"/>
  <c r="O220" i="6"/>
  <c r="AD122" i="6"/>
  <c r="W122" i="6"/>
  <c r="AH122" i="6"/>
  <c r="S16" i="26"/>
  <c r="AC123" i="6"/>
  <c r="P123" i="6"/>
  <c r="N123" i="6"/>
  <c r="R123" i="6" s="1"/>
  <c r="E16" i="26"/>
  <c r="M123" i="6"/>
  <c r="Z123" i="6"/>
  <c r="Q16" i="26" s="1"/>
  <c r="AG123" i="6" l="1"/>
  <c r="I16" i="26"/>
  <c r="K124" i="6"/>
  <c r="AB124" i="6"/>
  <c r="G16" i="26"/>
  <c r="Q123" i="6"/>
  <c r="T16" i="26"/>
  <c r="Y123" i="6"/>
  <c r="F222" i="6"/>
  <c r="L221" i="6"/>
  <c r="O221" i="6"/>
  <c r="C226" i="6"/>
  <c r="C227" i="6" l="1"/>
  <c r="H16" i="26"/>
  <c r="P124" i="6"/>
  <c r="N124" i="6"/>
  <c r="R124" i="6" s="1"/>
  <c r="Z124" i="6"/>
  <c r="M124" i="6"/>
  <c r="F223" i="6"/>
  <c r="L222" i="6"/>
  <c r="O222" i="6"/>
  <c r="S123" i="6" a="1"/>
  <c r="S123" i="6" s="1"/>
  <c r="P16" i="26"/>
  <c r="J16" i="26" l="1"/>
  <c r="T123" i="6"/>
  <c r="F224" i="6"/>
  <c r="L223" i="6"/>
  <c r="O223" i="6"/>
  <c r="K125" i="6"/>
  <c r="AB125" i="6"/>
  <c r="Q124" i="6"/>
  <c r="C228" i="6"/>
  <c r="C229" i="6" l="1"/>
  <c r="T124" i="6"/>
  <c r="K16" i="26"/>
  <c r="U123" i="6"/>
  <c r="P125" i="6"/>
  <c r="N125" i="6"/>
  <c r="R125" i="6" s="1"/>
  <c r="M125" i="6"/>
  <c r="Z125" i="6"/>
  <c r="F225" i="6"/>
  <c r="L224" i="6"/>
  <c r="O224" i="6"/>
  <c r="K126" i="6" l="1"/>
  <c r="AB126" i="6"/>
  <c r="Q125" i="6"/>
  <c r="V123" i="6"/>
  <c r="W123" i="6"/>
  <c r="N16" i="26" s="1"/>
  <c r="AH123" i="6"/>
  <c r="AD123" i="6"/>
  <c r="U16" i="26" s="1"/>
  <c r="L16" i="26"/>
  <c r="T125" i="6"/>
  <c r="U124" i="6"/>
  <c r="F226" i="6"/>
  <c r="L225" i="6"/>
  <c r="O225" i="6"/>
  <c r="C230" i="6"/>
  <c r="U125" i="6" l="1"/>
  <c r="W125" i="6" s="1"/>
  <c r="C231" i="6"/>
  <c r="X123" i="6"/>
  <c r="O16" i="26" s="1"/>
  <c r="M16" i="26"/>
  <c r="F227" i="6"/>
  <c r="L226" i="6"/>
  <c r="O226" i="6"/>
  <c r="AH124" i="6"/>
  <c r="AD124" i="6"/>
  <c r="W124" i="6"/>
  <c r="P126" i="6"/>
  <c r="N126" i="6"/>
  <c r="R126" i="6" s="1"/>
  <c r="T126" i="6" s="1"/>
  <c r="Z126" i="6"/>
  <c r="M126" i="6"/>
  <c r="AD125" i="6" l="1"/>
  <c r="AH125" i="6"/>
  <c r="F228" i="6"/>
  <c r="L227" i="6"/>
  <c r="O227" i="6"/>
  <c r="C232" i="6"/>
  <c r="B25" i="26"/>
  <c r="K127" i="6"/>
  <c r="AB127" i="6"/>
  <c r="Q126" i="6"/>
  <c r="U126" i="6" s="1"/>
  <c r="C233" i="6" l="1"/>
  <c r="AD126" i="6"/>
  <c r="W126" i="6"/>
  <c r="AH126" i="6"/>
  <c r="P127" i="6"/>
  <c r="N127" i="6"/>
  <c r="R127" i="6" s="1"/>
  <c r="T127" i="6" s="1"/>
  <c r="Z127" i="6"/>
  <c r="M127" i="6"/>
  <c r="F229" i="6"/>
  <c r="L228" i="6"/>
  <c r="O228" i="6"/>
  <c r="K128" i="6" l="1"/>
  <c r="AB128" i="6"/>
  <c r="Q127" i="6"/>
  <c r="U127" i="6" s="1"/>
  <c r="F230" i="6"/>
  <c r="L229" i="6"/>
  <c r="O229" i="6"/>
  <c r="C234" i="6"/>
  <c r="F231" i="6" l="1"/>
  <c r="L230" i="6"/>
  <c r="O230" i="6"/>
  <c r="W127" i="6"/>
  <c r="AH127" i="6"/>
  <c r="AD127" i="6"/>
  <c r="C235" i="6"/>
  <c r="P128" i="6"/>
  <c r="N128" i="6"/>
  <c r="R128" i="6" s="1"/>
  <c r="T128" i="6" s="1"/>
  <c r="Z128" i="6"/>
  <c r="M128" i="6"/>
  <c r="K129" i="6" l="1"/>
  <c r="AB129" i="6"/>
  <c r="Q128" i="6"/>
  <c r="U128" i="6" s="1"/>
  <c r="C236" i="6"/>
  <c r="F232" i="6"/>
  <c r="L231" i="6"/>
  <c r="O231" i="6"/>
  <c r="F25" i="26" s="1"/>
  <c r="F233" i="6" l="1"/>
  <c r="L232" i="6"/>
  <c r="O232" i="6"/>
  <c r="C237" i="6"/>
  <c r="P129" i="6"/>
  <c r="N129" i="6"/>
  <c r="R129" i="6" s="1"/>
  <c r="T129" i="6" s="1"/>
  <c r="Z129" i="6"/>
  <c r="M129" i="6"/>
  <c r="W128" i="6"/>
  <c r="AD128" i="6"/>
  <c r="AH128" i="6"/>
  <c r="K130" i="6" l="1"/>
  <c r="AB130" i="6"/>
  <c r="Q129" i="6"/>
  <c r="U129" i="6" s="1"/>
  <c r="C238" i="6"/>
  <c r="F234" i="6"/>
  <c r="L233" i="6"/>
  <c r="O233" i="6"/>
  <c r="F235" i="6" l="1"/>
  <c r="L234" i="6"/>
  <c r="O234" i="6"/>
  <c r="AH129" i="6"/>
  <c r="W129" i="6"/>
  <c r="AD129" i="6"/>
  <c r="C239" i="6"/>
  <c r="P130" i="6"/>
  <c r="N130" i="6"/>
  <c r="R130" i="6" s="1"/>
  <c r="T130" i="6" s="1"/>
  <c r="Z130" i="6"/>
  <c r="M130" i="6"/>
  <c r="K131" i="6" l="1"/>
  <c r="AB131" i="6"/>
  <c r="Q130" i="6"/>
  <c r="U130" i="6" s="1"/>
  <c r="C240" i="6"/>
  <c r="F236" i="6"/>
  <c r="L235" i="6"/>
  <c r="O235" i="6"/>
  <c r="AD130" i="6" l="1"/>
  <c r="W130" i="6"/>
  <c r="AH130" i="6"/>
  <c r="F237" i="6"/>
  <c r="L236" i="6"/>
  <c r="O236" i="6"/>
  <c r="C241" i="6"/>
  <c r="P131" i="6"/>
  <c r="N131" i="6"/>
  <c r="R131" i="6" s="1"/>
  <c r="T131" i="6" s="1"/>
  <c r="Z131" i="6"/>
  <c r="M131" i="6"/>
  <c r="K132" i="6" l="1"/>
  <c r="AB132" i="6"/>
  <c r="Q131" i="6"/>
  <c r="U131" i="6" s="1"/>
  <c r="C242" i="6"/>
  <c r="F238" i="6"/>
  <c r="L237" i="6"/>
  <c r="O237" i="6"/>
  <c r="F239" i="6" l="1"/>
  <c r="L238" i="6"/>
  <c r="O238" i="6"/>
  <c r="C243" i="6"/>
  <c r="AH131" i="6"/>
  <c r="AD131" i="6"/>
  <c r="W131" i="6"/>
  <c r="P132" i="6"/>
  <c r="N132" i="6"/>
  <c r="R132" i="6" s="1"/>
  <c r="T132" i="6" s="1"/>
  <c r="M132" i="6"/>
  <c r="Z132" i="6"/>
  <c r="C244" i="6" l="1"/>
  <c r="B26" i="26"/>
  <c r="K133" i="6"/>
  <c r="AB133" i="6"/>
  <c r="Q132" i="6"/>
  <c r="U132" i="6" s="1"/>
  <c r="F240" i="6"/>
  <c r="L239" i="6"/>
  <c r="O239" i="6"/>
  <c r="P133" i="6" l="1"/>
  <c r="N133" i="6"/>
  <c r="R133" i="6" s="1"/>
  <c r="T133" i="6" s="1"/>
  <c r="Z133" i="6"/>
  <c r="M133" i="6"/>
  <c r="F241" i="6"/>
  <c r="L240" i="6"/>
  <c r="O240" i="6"/>
  <c r="AD132" i="6"/>
  <c r="W132" i="6"/>
  <c r="AH132" i="6"/>
  <c r="C245" i="6"/>
  <c r="C246" i="6" l="1"/>
  <c r="F242" i="6"/>
  <c r="L241" i="6"/>
  <c r="O241" i="6"/>
  <c r="K134" i="6"/>
  <c r="AB134" i="6"/>
  <c r="Q133" i="6"/>
  <c r="U133" i="6" s="1"/>
  <c r="AH133" i="6" l="1"/>
  <c r="AD133" i="6"/>
  <c r="W133" i="6"/>
  <c r="F243" i="6"/>
  <c r="L242" i="6"/>
  <c r="O242" i="6"/>
  <c r="P134" i="6"/>
  <c r="N134" i="6"/>
  <c r="R134" i="6" s="1"/>
  <c r="T134" i="6" s="1"/>
  <c r="M134" i="6"/>
  <c r="Z134" i="6"/>
  <c r="C247" i="6"/>
  <c r="C248" i="6" l="1"/>
  <c r="F244" i="6"/>
  <c r="L243" i="6"/>
  <c r="O243" i="6"/>
  <c r="F26" i="26" s="1"/>
  <c r="K135" i="6"/>
  <c r="AB135" i="6"/>
  <c r="Q134" i="6"/>
  <c r="U134" i="6" s="1"/>
  <c r="S17" i="26" l="1"/>
  <c r="AC135" i="6"/>
  <c r="AD134" i="6"/>
  <c r="AH134" i="6"/>
  <c r="W134" i="6"/>
  <c r="F245" i="6"/>
  <c r="L244" i="6"/>
  <c r="O244" i="6"/>
  <c r="C249" i="6"/>
  <c r="P135" i="6"/>
  <c r="N135" i="6"/>
  <c r="R135" i="6" s="1"/>
  <c r="E17" i="26"/>
  <c r="Z135" i="6"/>
  <c r="Q17" i="26" s="1"/>
  <c r="M135" i="6"/>
  <c r="AG135" i="6" l="1"/>
  <c r="I17" i="26"/>
  <c r="K136" i="6"/>
  <c r="AB136" i="6"/>
  <c r="G17" i="26"/>
  <c r="Q135" i="6"/>
  <c r="Y135" i="6"/>
  <c r="T17" i="26"/>
  <c r="F246" i="6"/>
  <c r="L245" i="6"/>
  <c r="O245" i="6"/>
  <c r="C250" i="6"/>
  <c r="S135" i="6" l="1" a="1"/>
  <c r="S135" i="6" s="1"/>
  <c r="P17" i="26"/>
  <c r="H17" i="26"/>
  <c r="C251" i="6"/>
  <c r="F247" i="6"/>
  <c r="L246" i="6"/>
  <c r="O246" i="6"/>
  <c r="P136" i="6"/>
  <c r="N136" i="6"/>
  <c r="R136" i="6" s="1"/>
  <c r="Z136" i="6"/>
  <c r="M136" i="6"/>
  <c r="F248" i="6" l="1"/>
  <c r="L247" i="6"/>
  <c r="O247" i="6"/>
  <c r="C252" i="6"/>
  <c r="K137" i="6"/>
  <c r="AB137" i="6"/>
  <c r="Q136" i="6"/>
  <c r="J17" i="26"/>
  <c r="T135" i="6"/>
  <c r="P137" i="6" l="1"/>
  <c r="N137" i="6"/>
  <c r="R137" i="6" s="1"/>
  <c r="Z137" i="6"/>
  <c r="M137" i="6"/>
  <c r="T136" i="6"/>
  <c r="K17" i="26"/>
  <c r="U135" i="6"/>
  <c r="C253" i="6"/>
  <c r="F249" i="6"/>
  <c r="L248" i="6"/>
  <c r="O248" i="6"/>
  <c r="T137" i="6" l="1"/>
  <c r="U136" i="6"/>
  <c r="AD136" i="6" s="1"/>
  <c r="W135" i="6"/>
  <c r="N17" i="26" s="1"/>
  <c r="AD135" i="6"/>
  <c r="U17" i="26" s="1"/>
  <c r="AH135" i="6"/>
  <c r="L17" i="26"/>
  <c r="V135" i="6"/>
  <c r="F250" i="6"/>
  <c r="L249" i="6"/>
  <c r="O249" i="6"/>
  <c r="C254" i="6"/>
  <c r="K138" i="6"/>
  <c r="AB138" i="6"/>
  <c r="Q137" i="6"/>
  <c r="W136" i="6" l="1"/>
  <c r="U137" i="6"/>
  <c r="W137" i="6" s="1"/>
  <c r="AH136" i="6"/>
  <c r="C255" i="6"/>
  <c r="M17" i="26"/>
  <c r="X135" i="6"/>
  <c r="O17" i="26" s="1"/>
  <c r="P138" i="6"/>
  <c r="N138" i="6"/>
  <c r="R138" i="6" s="1"/>
  <c r="T138" i="6" s="1"/>
  <c r="Z138" i="6"/>
  <c r="M138" i="6"/>
  <c r="F251" i="6"/>
  <c r="L250" i="6"/>
  <c r="O250" i="6"/>
  <c r="AD137" i="6" l="1"/>
  <c r="AH137" i="6"/>
  <c r="F252" i="6"/>
  <c r="L251" i="6"/>
  <c r="O251" i="6"/>
  <c r="K139" i="6"/>
  <c r="AB139" i="6"/>
  <c r="Q138" i="6"/>
  <c r="U138" i="6" s="1"/>
  <c r="C256" i="6"/>
  <c r="B27" i="26"/>
  <c r="P139" i="6" l="1"/>
  <c r="N139" i="6"/>
  <c r="R139" i="6" s="1"/>
  <c r="T139" i="6" s="1"/>
  <c r="Z139" i="6"/>
  <c r="M139" i="6"/>
  <c r="C257" i="6"/>
  <c r="AH138" i="6"/>
  <c r="AD138" i="6"/>
  <c r="W138" i="6"/>
  <c r="F253" i="6"/>
  <c r="L252" i="6"/>
  <c r="O252" i="6"/>
  <c r="C258" i="6" l="1"/>
  <c r="F254" i="6"/>
  <c r="L253" i="6"/>
  <c r="O253" i="6"/>
  <c r="K140" i="6"/>
  <c r="AB140" i="6"/>
  <c r="Q139" i="6"/>
  <c r="U139" i="6" s="1"/>
  <c r="AH139" i="6" l="1"/>
  <c r="W139" i="6"/>
  <c r="AD139" i="6"/>
  <c r="F255" i="6"/>
  <c r="L254" i="6"/>
  <c r="O254" i="6"/>
  <c r="P140" i="6"/>
  <c r="N140" i="6"/>
  <c r="R140" i="6" s="1"/>
  <c r="T140" i="6" s="1"/>
  <c r="M140" i="6"/>
  <c r="Z140" i="6"/>
  <c r="C259" i="6"/>
  <c r="F256" i="6" l="1"/>
  <c r="L255" i="6"/>
  <c r="O255" i="6"/>
  <c r="F27" i="26" s="1"/>
  <c r="C260" i="6"/>
  <c r="K141" i="6"/>
  <c r="AB141" i="6"/>
  <c r="Q140" i="6"/>
  <c r="U140" i="6" s="1"/>
  <c r="C261" i="6" l="1"/>
  <c r="AH140" i="6"/>
  <c r="W140" i="6"/>
  <c r="AD140" i="6"/>
  <c r="P141" i="6"/>
  <c r="N141" i="6"/>
  <c r="R141" i="6" s="1"/>
  <c r="T141" i="6" s="1"/>
  <c r="Z141" i="6"/>
  <c r="M141" i="6"/>
  <c r="F257" i="6"/>
  <c r="L256" i="6"/>
  <c r="O256" i="6"/>
  <c r="K142" i="6" l="1"/>
  <c r="AB142" i="6"/>
  <c r="Q141" i="6"/>
  <c r="U141" i="6" s="1"/>
  <c r="F258" i="6"/>
  <c r="L257" i="6"/>
  <c r="O257" i="6"/>
  <c r="C262" i="6"/>
  <c r="AH141" i="6" l="1"/>
  <c r="W141" i="6"/>
  <c r="AD141" i="6"/>
  <c r="C263" i="6"/>
  <c r="F259" i="6"/>
  <c r="L258" i="6"/>
  <c r="O258" i="6"/>
  <c r="P142" i="6"/>
  <c r="N142" i="6"/>
  <c r="R142" i="6" s="1"/>
  <c r="T142" i="6" s="1"/>
  <c r="Z142" i="6"/>
  <c r="M142" i="6"/>
  <c r="F260" i="6" l="1"/>
  <c r="L259" i="6"/>
  <c r="O259" i="6"/>
  <c r="C264" i="6"/>
  <c r="K143" i="6"/>
  <c r="AB143" i="6"/>
  <c r="Q142" i="6"/>
  <c r="U142" i="6" s="1"/>
  <c r="P143" i="6" l="1"/>
  <c r="N143" i="6"/>
  <c r="R143" i="6" s="1"/>
  <c r="T143" i="6" s="1"/>
  <c r="Z143" i="6"/>
  <c r="M143" i="6"/>
  <c r="C265" i="6"/>
  <c r="AH142" i="6"/>
  <c r="AD142" i="6"/>
  <c r="W142" i="6"/>
  <c r="F261" i="6"/>
  <c r="L260" i="6"/>
  <c r="O260" i="6"/>
  <c r="F262" i="6" l="1"/>
  <c r="L261" i="6"/>
  <c r="O261" i="6"/>
  <c r="C266" i="6"/>
  <c r="K144" i="6"/>
  <c r="AB144" i="6"/>
  <c r="Q143" i="6"/>
  <c r="U143" i="6" s="1"/>
  <c r="C267" i="6" l="1"/>
  <c r="AH143" i="6"/>
  <c r="AD143" i="6"/>
  <c r="W143" i="6"/>
  <c r="P144" i="6"/>
  <c r="N144" i="6"/>
  <c r="R144" i="6" s="1"/>
  <c r="T144" i="6" s="1"/>
  <c r="M144" i="6"/>
  <c r="Z144" i="6"/>
  <c r="F263" i="6"/>
  <c r="L262" i="6"/>
  <c r="O262" i="6"/>
  <c r="K145" i="6" l="1"/>
  <c r="AB145" i="6"/>
  <c r="Q144" i="6"/>
  <c r="U144" i="6" s="1"/>
  <c r="F264" i="6"/>
  <c r="L263" i="6"/>
  <c r="O263" i="6"/>
  <c r="C268" i="6"/>
  <c r="B28" i="26"/>
  <c r="AD144" i="6" l="1"/>
  <c r="W144" i="6"/>
  <c r="AH144" i="6"/>
  <c r="P145" i="6"/>
  <c r="N145" i="6"/>
  <c r="R145" i="6" s="1"/>
  <c r="T145" i="6" s="1"/>
  <c r="M145" i="6"/>
  <c r="Z145" i="6"/>
  <c r="F265" i="6"/>
  <c r="L264" i="6"/>
  <c r="O264" i="6"/>
  <c r="C269" i="6"/>
  <c r="F266" i="6" l="1"/>
  <c r="L265" i="6"/>
  <c r="O265" i="6"/>
  <c r="C270" i="6"/>
  <c r="K146" i="6"/>
  <c r="AB146" i="6"/>
  <c r="Q145" i="6"/>
  <c r="U145" i="6" s="1"/>
  <c r="P146" i="6" l="1"/>
  <c r="N146" i="6"/>
  <c r="R146" i="6" s="1"/>
  <c r="T146" i="6" s="1"/>
  <c r="Z146" i="6"/>
  <c r="M146" i="6"/>
  <c r="AH145" i="6"/>
  <c r="AD145" i="6"/>
  <c r="W145" i="6"/>
  <c r="C271" i="6"/>
  <c r="F267" i="6"/>
  <c r="L266" i="6"/>
  <c r="O266" i="6"/>
  <c r="C272" i="6" l="1"/>
  <c r="F268" i="6"/>
  <c r="L267" i="6"/>
  <c r="O267" i="6"/>
  <c r="G34" i="24"/>
  <c r="K147" i="6"/>
  <c r="AB147" i="6"/>
  <c r="Q146" i="6"/>
  <c r="U146" i="6" s="1"/>
  <c r="AH146" i="6" l="1"/>
  <c r="AD146" i="6"/>
  <c r="W146" i="6"/>
  <c r="F28" i="26"/>
  <c r="D34" i="24"/>
  <c r="F269" i="6"/>
  <c r="L268" i="6"/>
  <c r="O268" i="6"/>
  <c r="P147" i="6"/>
  <c r="N147" i="6"/>
  <c r="E18" i="26"/>
  <c r="Z147" i="6"/>
  <c r="Q18" i="26" s="1"/>
  <c r="M147" i="6"/>
  <c r="C273" i="6"/>
  <c r="S18" i="26"/>
  <c r="AC147" i="6"/>
  <c r="C274" i="6" l="1"/>
  <c r="K148" i="6"/>
  <c r="AB148" i="6"/>
  <c r="G18" i="26"/>
  <c r="Q147" i="6"/>
  <c r="F270" i="6"/>
  <c r="L269" i="6"/>
  <c r="O269" i="6"/>
  <c r="R147" i="6"/>
  <c r="W34" i="16"/>
  <c r="Y147" i="6"/>
  <c r="T18" i="26"/>
  <c r="F271" i="6" l="1"/>
  <c r="L270" i="6"/>
  <c r="O270" i="6"/>
  <c r="S147" i="6" a="1"/>
  <c r="S147" i="6" s="1"/>
  <c r="J18" i="26" s="1"/>
  <c r="P18" i="26"/>
  <c r="H18" i="26"/>
  <c r="W35" i="16"/>
  <c r="C23" i="23" s="1"/>
  <c r="AG147" i="6"/>
  <c r="P148" i="6"/>
  <c r="N148" i="6"/>
  <c r="R148" i="6" s="1"/>
  <c r="Z148" i="6"/>
  <c r="M148" i="6"/>
  <c r="I18" i="26"/>
  <c r="C275" i="6"/>
  <c r="C276" i="6" l="1"/>
  <c r="T147" i="6"/>
  <c r="K149" i="6"/>
  <c r="AB149" i="6"/>
  <c r="Q148" i="6"/>
  <c r="F272" i="6"/>
  <c r="L271" i="6"/>
  <c r="O271" i="6"/>
  <c r="F273" i="6" l="1"/>
  <c r="L272" i="6"/>
  <c r="O272" i="6"/>
  <c r="P149" i="6"/>
  <c r="N149" i="6"/>
  <c r="R149" i="6" s="1"/>
  <c r="M149" i="6"/>
  <c r="Z149" i="6"/>
  <c r="T148" i="6"/>
  <c r="U148" i="6" s="1"/>
  <c r="K18" i="26"/>
  <c r="W36" i="16"/>
  <c r="C24" i="23" s="1"/>
  <c r="U147" i="6"/>
  <c r="C277" i="6"/>
  <c r="T149" i="6" l="1"/>
  <c r="C278" i="6"/>
  <c r="W37" i="16"/>
  <c r="C25" i="23" s="1"/>
  <c r="W147" i="6"/>
  <c r="AD147" i="6"/>
  <c r="U18" i="26" s="1"/>
  <c r="AH147" i="6"/>
  <c r="L18" i="26"/>
  <c r="V147" i="6"/>
  <c r="W148" i="6"/>
  <c r="AH148" i="6"/>
  <c r="AD148" i="6"/>
  <c r="F274" i="6"/>
  <c r="L273" i="6"/>
  <c r="O273" i="6"/>
  <c r="K150" i="6"/>
  <c r="AB150" i="6"/>
  <c r="Q149" i="6"/>
  <c r="U149" i="6" s="1"/>
  <c r="F275" i="6" l="1"/>
  <c r="L274" i="6"/>
  <c r="O274" i="6"/>
  <c r="M18" i="26"/>
  <c r="X147" i="6"/>
  <c r="O18" i="26" s="1"/>
  <c r="W38" i="16"/>
  <c r="C26" i="23" s="1"/>
  <c r="N18" i="26"/>
  <c r="AH149" i="6"/>
  <c r="AD149" i="6"/>
  <c r="W149" i="6"/>
  <c r="P150" i="6"/>
  <c r="N150" i="6"/>
  <c r="R150" i="6" s="1"/>
  <c r="T150" i="6" s="1"/>
  <c r="Z150" i="6"/>
  <c r="M150" i="6"/>
  <c r="C279" i="6"/>
  <c r="K151" i="6" l="1"/>
  <c r="AB151" i="6"/>
  <c r="Q150" i="6"/>
  <c r="U150" i="6" s="1"/>
  <c r="C280" i="6"/>
  <c r="B29" i="26"/>
  <c r="F276" i="6"/>
  <c r="L275" i="6"/>
  <c r="O275" i="6"/>
  <c r="F277" i="6" l="1"/>
  <c r="L276" i="6"/>
  <c r="O276" i="6"/>
  <c r="C281" i="6"/>
  <c r="AD150" i="6"/>
  <c r="AH150" i="6"/>
  <c r="W150" i="6"/>
  <c r="P151" i="6"/>
  <c r="N151" i="6"/>
  <c r="R151" i="6" s="1"/>
  <c r="T151" i="6" s="1"/>
  <c r="Z151" i="6"/>
  <c r="M151" i="6"/>
  <c r="C282" i="6" l="1"/>
  <c r="K152" i="6"/>
  <c r="AB152" i="6"/>
  <c r="Q151" i="6"/>
  <c r="U151" i="6" s="1"/>
  <c r="F278" i="6"/>
  <c r="L277" i="6"/>
  <c r="O277" i="6"/>
  <c r="C283" i="6" l="1"/>
  <c r="F279" i="6"/>
  <c r="L278" i="6"/>
  <c r="O278" i="6"/>
  <c r="AH151" i="6"/>
  <c r="W151" i="6"/>
  <c r="AD151" i="6"/>
  <c r="P152" i="6"/>
  <c r="N152" i="6"/>
  <c r="R152" i="6" s="1"/>
  <c r="T152" i="6" s="1"/>
  <c r="Z152" i="6"/>
  <c r="M152" i="6"/>
  <c r="K153" i="6" l="1"/>
  <c r="AB153" i="6"/>
  <c r="Q152" i="6"/>
  <c r="U152" i="6" s="1"/>
  <c r="F280" i="6"/>
  <c r="L279" i="6"/>
  <c r="O279" i="6"/>
  <c r="F29" i="26" s="1"/>
  <c r="C284" i="6"/>
  <c r="F281" i="6" l="1"/>
  <c r="L280" i="6"/>
  <c r="O280" i="6"/>
  <c r="AD152" i="6"/>
  <c r="W152" i="6"/>
  <c r="AH152" i="6"/>
  <c r="C285" i="6"/>
  <c r="P153" i="6"/>
  <c r="N153" i="6"/>
  <c r="R153" i="6" s="1"/>
  <c r="T153" i="6" s="1"/>
  <c r="M153" i="6"/>
  <c r="Z153" i="6"/>
  <c r="K154" i="6" l="1"/>
  <c r="AB154" i="6"/>
  <c r="Q153" i="6"/>
  <c r="U153" i="6" s="1"/>
  <c r="C286" i="6"/>
  <c r="F282" i="6"/>
  <c r="L281" i="6"/>
  <c r="O281" i="6"/>
  <c r="C287" i="6" l="1"/>
  <c r="AD153" i="6"/>
  <c r="AH153" i="6"/>
  <c r="W153" i="6"/>
  <c r="F283" i="6"/>
  <c r="L282" i="6"/>
  <c r="O282" i="6"/>
  <c r="P154" i="6"/>
  <c r="N154" i="6"/>
  <c r="R154" i="6" s="1"/>
  <c r="T154" i="6" s="1"/>
  <c r="Z154" i="6"/>
  <c r="M154" i="6"/>
  <c r="F284" i="6" l="1"/>
  <c r="L283" i="6"/>
  <c r="O283" i="6"/>
  <c r="K155" i="6"/>
  <c r="AB155" i="6"/>
  <c r="Q154" i="6"/>
  <c r="U154" i="6" s="1"/>
  <c r="C288" i="6"/>
  <c r="P155" i="6" l="1"/>
  <c r="N155" i="6"/>
  <c r="R155" i="6" s="1"/>
  <c r="T155" i="6" s="1"/>
  <c r="Z155" i="6"/>
  <c r="M155" i="6"/>
  <c r="C289" i="6"/>
  <c r="AH154" i="6"/>
  <c r="W154" i="6"/>
  <c r="AD154" i="6"/>
  <c r="F285" i="6"/>
  <c r="L284" i="6"/>
  <c r="O284" i="6"/>
  <c r="C290" i="6" l="1"/>
  <c r="F286" i="6"/>
  <c r="L285" i="6"/>
  <c r="O285" i="6"/>
  <c r="K156" i="6"/>
  <c r="AB156" i="6"/>
  <c r="Q155" i="6"/>
  <c r="U155" i="6" s="1"/>
  <c r="W155" i="6" l="1"/>
  <c r="AH155" i="6"/>
  <c r="AD155" i="6"/>
  <c r="F287" i="6"/>
  <c r="L286" i="6"/>
  <c r="O286" i="6"/>
  <c r="P156" i="6"/>
  <c r="N156" i="6"/>
  <c r="R156" i="6" s="1"/>
  <c r="T156" i="6" s="1"/>
  <c r="Z156" i="6"/>
  <c r="M156" i="6"/>
  <c r="C291" i="6"/>
  <c r="C292" i="6" l="1"/>
  <c r="B30" i="26"/>
  <c r="F288" i="6"/>
  <c r="L287" i="6"/>
  <c r="O287" i="6"/>
  <c r="K157" i="6"/>
  <c r="AB157" i="6"/>
  <c r="Q156" i="6"/>
  <c r="U156" i="6" s="1"/>
  <c r="AD156" i="6" l="1"/>
  <c r="AH156" i="6"/>
  <c r="W156" i="6"/>
  <c r="F289" i="6"/>
  <c r="L288" i="6"/>
  <c r="O288" i="6"/>
  <c r="P157" i="6"/>
  <c r="N157" i="6"/>
  <c r="R157" i="6" s="1"/>
  <c r="T157" i="6" s="1"/>
  <c r="Z157" i="6"/>
  <c r="M157" i="6"/>
  <c r="C293" i="6"/>
  <c r="F290" i="6" l="1"/>
  <c r="L289" i="6"/>
  <c r="O289" i="6"/>
  <c r="C294" i="6"/>
  <c r="K158" i="6"/>
  <c r="AB158" i="6"/>
  <c r="Q157" i="6"/>
  <c r="U157" i="6" s="1"/>
  <c r="W157" i="6" l="1"/>
  <c r="AD157" i="6"/>
  <c r="AH157" i="6"/>
  <c r="C295" i="6"/>
  <c r="P158" i="6"/>
  <c r="N158" i="6"/>
  <c r="R158" i="6" s="1"/>
  <c r="T158" i="6" s="1"/>
  <c r="Z158" i="6"/>
  <c r="M158" i="6"/>
  <c r="F291" i="6"/>
  <c r="L290" i="6"/>
  <c r="O290" i="6"/>
  <c r="C296" i="6" l="1"/>
  <c r="K159" i="6"/>
  <c r="AB159" i="6"/>
  <c r="Q158" i="6"/>
  <c r="U158" i="6" s="1"/>
  <c r="F292" i="6"/>
  <c r="L291" i="6"/>
  <c r="O291" i="6"/>
  <c r="F30" i="26" s="1"/>
  <c r="F293" i="6" l="1"/>
  <c r="L292" i="6"/>
  <c r="O292" i="6"/>
  <c r="W158" i="6"/>
  <c r="AD158" i="6"/>
  <c r="AH158" i="6"/>
  <c r="C297" i="6"/>
  <c r="S19" i="26"/>
  <c r="AC159" i="6"/>
  <c r="P159" i="6"/>
  <c r="N159" i="6"/>
  <c r="R159" i="6" s="1"/>
  <c r="E19" i="26"/>
  <c r="Z159" i="6"/>
  <c r="Q19" i="26" s="1"/>
  <c r="M159" i="6"/>
  <c r="K160" i="6" l="1"/>
  <c r="AB160" i="6"/>
  <c r="G19" i="26"/>
  <c r="Q159" i="6"/>
  <c r="Y159" i="6"/>
  <c r="T19" i="26"/>
  <c r="I19" i="26"/>
  <c r="C298" i="6"/>
  <c r="F294" i="6"/>
  <c r="L293" i="6"/>
  <c r="O293" i="6"/>
  <c r="F295" i="6" l="1"/>
  <c r="L294" i="6"/>
  <c r="O294" i="6"/>
  <c r="S159" i="6" a="1"/>
  <c r="S159" i="6" s="1"/>
  <c r="P19" i="26"/>
  <c r="H19" i="26"/>
  <c r="C299" i="6"/>
  <c r="P160" i="6"/>
  <c r="N160" i="6"/>
  <c r="R160" i="6" s="1"/>
  <c r="M160" i="6"/>
  <c r="Z160" i="6"/>
  <c r="J19" i="26" l="1"/>
  <c r="T159" i="6"/>
  <c r="C300" i="6"/>
  <c r="K161" i="6"/>
  <c r="AB161" i="6"/>
  <c r="Q160" i="6"/>
  <c r="F296" i="6"/>
  <c r="L295" i="6"/>
  <c r="O295" i="6"/>
  <c r="F297" i="6" l="1"/>
  <c r="L296" i="6"/>
  <c r="O296" i="6"/>
  <c r="P161" i="6"/>
  <c r="N161" i="6"/>
  <c r="R161" i="6" s="1"/>
  <c r="Z161" i="6"/>
  <c r="M161" i="6"/>
  <c r="C301" i="6"/>
  <c r="T160" i="6"/>
  <c r="U160" i="6" s="1"/>
  <c r="K19" i="26"/>
  <c r="U159" i="6"/>
  <c r="V159" i="6" l="1"/>
  <c r="W159" i="6"/>
  <c r="N19" i="26" s="1"/>
  <c r="AH159" i="6"/>
  <c r="AD159" i="6"/>
  <c r="U19" i="26" s="1"/>
  <c r="L19" i="26"/>
  <c r="T161" i="6"/>
  <c r="K162" i="6"/>
  <c r="AB162" i="6"/>
  <c r="Q161" i="6"/>
  <c r="C302" i="6"/>
  <c r="F298" i="6"/>
  <c r="L297" i="6"/>
  <c r="O297" i="6"/>
  <c r="AD160" i="6"/>
  <c r="AH160" i="6"/>
  <c r="W160" i="6"/>
  <c r="F299" i="6" l="1"/>
  <c r="L298" i="6"/>
  <c r="O298" i="6"/>
  <c r="P162" i="6"/>
  <c r="N162" i="6"/>
  <c r="R162" i="6" s="1"/>
  <c r="T162" i="6" s="1"/>
  <c r="M162" i="6"/>
  <c r="Z162" i="6"/>
  <c r="C303" i="6"/>
  <c r="U161" i="6"/>
  <c r="M19" i="26"/>
  <c r="X159" i="6"/>
  <c r="O19" i="26" s="1"/>
  <c r="K163" i="6" l="1"/>
  <c r="AB163" i="6"/>
  <c r="Q162" i="6"/>
  <c r="U162" i="6" s="1"/>
  <c r="W161" i="6"/>
  <c r="AD161" i="6"/>
  <c r="AH161" i="6"/>
  <c r="C304" i="6"/>
  <c r="B31" i="26"/>
  <c r="F300" i="6"/>
  <c r="L299" i="6"/>
  <c r="O299" i="6"/>
  <c r="C305" i="6" l="1"/>
  <c r="AH162" i="6"/>
  <c r="W162" i="6"/>
  <c r="AD162" i="6"/>
  <c r="F301" i="6"/>
  <c r="L300" i="6"/>
  <c r="O300" i="6"/>
  <c r="P163" i="6"/>
  <c r="N163" i="6"/>
  <c r="R163" i="6" s="1"/>
  <c r="T163" i="6" s="1"/>
  <c r="Z163" i="6"/>
  <c r="M163" i="6"/>
  <c r="F302" i="6" l="1"/>
  <c r="L301" i="6"/>
  <c r="O301" i="6"/>
  <c r="K164" i="6"/>
  <c r="AB164" i="6"/>
  <c r="Q163" i="6"/>
  <c r="U163" i="6" s="1"/>
  <c r="C306" i="6"/>
  <c r="P164" i="6" l="1"/>
  <c r="N164" i="6"/>
  <c r="R164" i="6" s="1"/>
  <c r="T164" i="6" s="1"/>
  <c r="Z164" i="6"/>
  <c r="M164" i="6"/>
  <c r="C307" i="6"/>
  <c r="AD163" i="6"/>
  <c r="W163" i="6"/>
  <c r="AH163" i="6"/>
  <c r="F303" i="6"/>
  <c r="L302" i="6"/>
  <c r="O302" i="6"/>
  <c r="C308" i="6" l="1"/>
  <c r="F304" i="6"/>
  <c r="L303" i="6"/>
  <c r="O303" i="6"/>
  <c r="F31" i="26" s="1"/>
  <c r="K165" i="6"/>
  <c r="AB165" i="6"/>
  <c r="Q164" i="6"/>
  <c r="U164" i="6" s="1"/>
  <c r="F305" i="6" l="1"/>
  <c r="L304" i="6"/>
  <c r="O304" i="6"/>
  <c r="AH164" i="6"/>
  <c r="AD164" i="6"/>
  <c r="W164" i="6"/>
  <c r="C309" i="6"/>
  <c r="P165" i="6"/>
  <c r="N165" i="6"/>
  <c r="R165" i="6" s="1"/>
  <c r="T165" i="6" s="1"/>
  <c r="Z165" i="6"/>
  <c r="M165" i="6"/>
  <c r="K166" i="6" l="1"/>
  <c r="AB166" i="6"/>
  <c r="Q165" i="6"/>
  <c r="U165" i="6" s="1"/>
  <c r="C310" i="6"/>
  <c r="F306" i="6"/>
  <c r="L305" i="6"/>
  <c r="O305" i="6"/>
  <c r="F307" i="6" l="1"/>
  <c r="L306" i="6"/>
  <c r="O306" i="6"/>
  <c r="C311" i="6"/>
  <c r="AD165" i="6"/>
  <c r="AH165" i="6"/>
  <c r="W165" i="6"/>
  <c r="P166" i="6"/>
  <c r="N166" i="6"/>
  <c r="R166" i="6" s="1"/>
  <c r="T166" i="6" s="1"/>
  <c r="Z166" i="6"/>
  <c r="M166" i="6"/>
  <c r="C312" i="6" l="1"/>
  <c r="K167" i="6"/>
  <c r="AB167" i="6"/>
  <c r="Q166" i="6"/>
  <c r="U166" i="6" s="1"/>
  <c r="F308" i="6"/>
  <c r="L307" i="6"/>
  <c r="O307" i="6"/>
  <c r="F309" i="6" l="1"/>
  <c r="L308" i="6"/>
  <c r="O308" i="6"/>
  <c r="AD166" i="6"/>
  <c r="W166" i="6"/>
  <c r="AH166" i="6"/>
  <c r="P167" i="6"/>
  <c r="N167" i="6"/>
  <c r="R167" i="6" s="1"/>
  <c r="T167" i="6" s="1"/>
  <c r="Z167" i="6"/>
  <c r="M167" i="6"/>
  <c r="C313" i="6"/>
  <c r="C314" i="6" l="1"/>
  <c r="K168" i="6"/>
  <c r="AB168" i="6"/>
  <c r="Q167" i="6"/>
  <c r="U167" i="6" s="1"/>
  <c r="F310" i="6"/>
  <c r="L309" i="6"/>
  <c r="O309" i="6"/>
  <c r="F311" i="6" l="1"/>
  <c r="L310" i="6"/>
  <c r="O310" i="6"/>
  <c r="W167" i="6"/>
  <c r="AD167" i="6"/>
  <c r="AH167" i="6"/>
  <c r="P168" i="6"/>
  <c r="N168" i="6"/>
  <c r="R168" i="6" s="1"/>
  <c r="T168" i="6" s="1"/>
  <c r="M168" i="6"/>
  <c r="Z168" i="6"/>
  <c r="C315" i="6"/>
  <c r="C316" i="6" l="1"/>
  <c r="B32" i="26"/>
  <c r="K169" i="6"/>
  <c r="AB169" i="6"/>
  <c r="Q168" i="6"/>
  <c r="U168" i="6" s="1"/>
  <c r="F312" i="6"/>
  <c r="L311" i="6"/>
  <c r="O311" i="6"/>
  <c r="F313" i="6" l="1"/>
  <c r="L312" i="6"/>
  <c r="O312" i="6"/>
  <c r="AD168" i="6"/>
  <c r="AH168" i="6"/>
  <c r="W168" i="6"/>
  <c r="P169" i="6"/>
  <c r="N169" i="6"/>
  <c r="R169" i="6" s="1"/>
  <c r="T169" i="6" s="1"/>
  <c r="Z169" i="6"/>
  <c r="M169" i="6"/>
  <c r="C317" i="6"/>
  <c r="C318" i="6" l="1"/>
  <c r="K170" i="6"/>
  <c r="AB170" i="6"/>
  <c r="Q169" i="6"/>
  <c r="U169" i="6" s="1"/>
  <c r="F314" i="6"/>
  <c r="L313" i="6"/>
  <c r="O313" i="6"/>
  <c r="F315" i="6" l="1"/>
  <c r="L314" i="6"/>
  <c r="O314" i="6"/>
  <c r="AD169" i="6"/>
  <c r="W169" i="6"/>
  <c r="AH169" i="6"/>
  <c r="P170" i="6"/>
  <c r="N170" i="6"/>
  <c r="R170" i="6" s="1"/>
  <c r="T170" i="6" s="1"/>
  <c r="Z170" i="6"/>
  <c r="M170" i="6"/>
  <c r="C319" i="6"/>
  <c r="C320" i="6" l="1"/>
  <c r="K171" i="6"/>
  <c r="AB171" i="6"/>
  <c r="Q170" i="6"/>
  <c r="U170" i="6" s="1"/>
  <c r="F316" i="6"/>
  <c r="L315" i="6"/>
  <c r="O315" i="6"/>
  <c r="F32" i="26" s="1"/>
  <c r="F317" i="6" l="1"/>
  <c r="L316" i="6"/>
  <c r="O316" i="6"/>
  <c r="W170" i="6"/>
  <c r="AH170" i="6"/>
  <c r="AD170" i="6"/>
  <c r="S20" i="26"/>
  <c r="AC171" i="6"/>
  <c r="P171" i="6"/>
  <c r="N171" i="6"/>
  <c r="R171" i="6" s="1"/>
  <c r="E20" i="26"/>
  <c r="Z171" i="6"/>
  <c r="Q20" i="26" s="1"/>
  <c r="M171" i="6"/>
  <c r="C321" i="6"/>
  <c r="I20" i="26" l="1"/>
  <c r="T20" i="26"/>
  <c r="Y171" i="6"/>
  <c r="K172" i="6"/>
  <c r="AB172" i="6"/>
  <c r="G20" i="26"/>
  <c r="Q171" i="6"/>
  <c r="C322" i="6"/>
  <c r="F318" i="6"/>
  <c r="L317" i="6"/>
  <c r="O317" i="6"/>
  <c r="H20" i="26" l="1"/>
  <c r="S171" i="6" a="1"/>
  <c r="S171" i="6" s="1"/>
  <c r="P20" i="26"/>
  <c r="F319" i="6"/>
  <c r="L318" i="6"/>
  <c r="O318" i="6"/>
  <c r="P172" i="6"/>
  <c r="N172" i="6"/>
  <c r="R172" i="6" s="1"/>
  <c r="Z172" i="6"/>
  <c r="M172" i="6"/>
  <c r="C323" i="6"/>
  <c r="C324" i="6" l="1"/>
  <c r="F320" i="6"/>
  <c r="L319" i="6"/>
  <c r="O319" i="6"/>
  <c r="K173" i="6"/>
  <c r="AB173" i="6"/>
  <c r="Q172" i="6"/>
  <c r="J20" i="26"/>
  <c r="T171" i="6"/>
  <c r="P173" i="6" l="1"/>
  <c r="N173" i="6"/>
  <c r="R173" i="6" s="1"/>
  <c r="Z173" i="6"/>
  <c r="M173" i="6"/>
  <c r="T172" i="6"/>
  <c r="K20" i="26"/>
  <c r="U171" i="6"/>
  <c r="F321" i="6"/>
  <c r="L320" i="6"/>
  <c r="O320" i="6"/>
  <c r="C325" i="6"/>
  <c r="T173" i="6" l="1"/>
  <c r="F322" i="6"/>
  <c r="L321" i="6"/>
  <c r="O321" i="6"/>
  <c r="C326" i="6"/>
  <c r="V171" i="6"/>
  <c r="W171" i="6"/>
  <c r="N20" i="26" s="1"/>
  <c r="L20" i="26"/>
  <c r="AD171" i="6"/>
  <c r="U20" i="26" s="1"/>
  <c r="AH171" i="6"/>
  <c r="U172" i="6"/>
  <c r="K174" i="6"/>
  <c r="AB174" i="6"/>
  <c r="Q173" i="6"/>
  <c r="U173" i="6" l="1"/>
  <c r="W173" i="6" s="1"/>
  <c r="P174" i="6"/>
  <c r="N174" i="6"/>
  <c r="R174" i="6" s="1"/>
  <c r="T174" i="6" s="1"/>
  <c r="Z174" i="6"/>
  <c r="M174" i="6"/>
  <c r="C327" i="6"/>
  <c r="AH172" i="6"/>
  <c r="W172" i="6"/>
  <c r="AD172" i="6"/>
  <c r="X171" i="6"/>
  <c r="O20" i="26" s="1"/>
  <c r="M20" i="26"/>
  <c r="F323" i="6"/>
  <c r="L322" i="6"/>
  <c r="O322" i="6"/>
  <c r="AH173" i="6" l="1"/>
  <c r="AD173" i="6"/>
  <c r="F324" i="6"/>
  <c r="L323" i="6"/>
  <c r="O323" i="6"/>
  <c r="C328" i="6"/>
  <c r="B33" i="26"/>
  <c r="K175" i="6"/>
  <c r="AB175" i="6"/>
  <c r="Q174" i="6"/>
  <c r="U174" i="6" s="1"/>
  <c r="AH174" i="6" l="1"/>
  <c r="W174" i="6"/>
  <c r="AD174" i="6"/>
  <c r="C329" i="6"/>
  <c r="P175" i="6"/>
  <c r="N175" i="6"/>
  <c r="R175" i="6" s="1"/>
  <c r="T175" i="6" s="1"/>
  <c r="Z175" i="6"/>
  <c r="M175" i="6"/>
  <c r="F325" i="6"/>
  <c r="L324" i="6"/>
  <c r="O324" i="6"/>
  <c r="K176" i="6" l="1"/>
  <c r="AB176" i="6"/>
  <c r="Q175" i="6"/>
  <c r="U175" i="6" s="1"/>
  <c r="C330" i="6"/>
  <c r="F326" i="6"/>
  <c r="L325" i="6"/>
  <c r="O325" i="6"/>
  <c r="F327" i="6" l="1"/>
  <c r="L326" i="6"/>
  <c r="O326" i="6"/>
  <c r="AD175" i="6"/>
  <c r="AH175" i="6"/>
  <c r="W175" i="6"/>
  <c r="C331" i="6"/>
  <c r="P176" i="6"/>
  <c r="N176" i="6"/>
  <c r="R176" i="6" s="1"/>
  <c r="T176" i="6" s="1"/>
  <c r="M176" i="6"/>
  <c r="Z176" i="6"/>
  <c r="K177" i="6" l="1"/>
  <c r="AB177" i="6"/>
  <c r="Q176" i="6"/>
  <c r="U176" i="6" s="1"/>
  <c r="C332" i="6"/>
  <c r="F328" i="6"/>
  <c r="L327" i="6"/>
  <c r="O327" i="6"/>
  <c r="F33" i="26" s="1"/>
  <c r="F329" i="6" l="1"/>
  <c r="L328" i="6"/>
  <c r="O328" i="6"/>
  <c r="C333" i="6"/>
  <c r="AD176" i="6"/>
  <c r="W176" i="6"/>
  <c r="AH176" i="6"/>
  <c r="P177" i="6"/>
  <c r="N177" i="6"/>
  <c r="R177" i="6" s="1"/>
  <c r="T177" i="6" s="1"/>
  <c r="Z177" i="6"/>
  <c r="M177" i="6"/>
  <c r="C334" i="6" l="1"/>
  <c r="K178" i="6"/>
  <c r="AB178" i="6"/>
  <c r="Q177" i="6"/>
  <c r="U177" i="6" s="1"/>
  <c r="F330" i="6"/>
  <c r="L329" i="6"/>
  <c r="O329" i="6"/>
  <c r="F331" i="6" l="1"/>
  <c r="L330" i="6"/>
  <c r="O330" i="6"/>
  <c r="W177" i="6"/>
  <c r="AH177" i="6"/>
  <c r="AD177" i="6"/>
  <c r="P178" i="6"/>
  <c r="N178" i="6"/>
  <c r="R178" i="6" s="1"/>
  <c r="T178" i="6" s="1"/>
  <c r="Z178" i="6"/>
  <c r="M178" i="6"/>
  <c r="C335" i="6"/>
  <c r="C336" i="6" l="1"/>
  <c r="K179" i="6"/>
  <c r="AB179" i="6"/>
  <c r="Q178" i="6"/>
  <c r="U178" i="6" s="1"/>
  <c r="F332" i="6"/>
  <c r="L331" i="6"/>
  <c r="O331" i="6"/>
  <c r="F333" i="6" l="1"/>
  <c r="L332" i="6"/>
  <c r="O332" i="6"/>
  <c r="W178" i="6"/>
  <c r="AD178" i="6"/>
  <c r="AH178" i="6"/>
  <c r="P179" i="6"/>
  <c r="N179" i="6"/>
  <c r="R179" i="6" s="1"/>
  <c r="T179" i="6" s="1"/>
  <c r="Z179" i="6"/>
  <c r="M179" i="6"/>
  <c r="C337" i="6"/>
  <c r="C338" i="6" l="1"/>
  <c r="K180" i="6"/>
  <c r="AB180" i="6"/>
  <c r="Q179" i="6"/>
  <c r="U179" i="6" s="1"/>
  <c r="F334" i="6"/>
  <c r="L333" i="6"/>
  <c r="O333" i="6"/>
  <c r="F335" i="6" l="1"/>
  <c r="L334" i="6"/>
  <c r="O334" i="6"/>
  <c r="AH179" i="6"/>
  <c r="W179" i="6"/>
  <c r="AD179" i="6"/>
  <c r="P180" i="6"/>
  <c r="N180" i="6"/>
  <c r="R180" i="6" s="1"/>
  <c r="T180" i="6" s="1"/>
  <c r="M180" i="6"/>
  <c r="Z180" i="6"/>
  <c r="C339" i="6"/>
  <c r="C340" i="6" l="1"/>
  <c r="B34" i="26"/>
  <c r="K181" i="6"/>
  <c r="AB181" i="6"/>
  <c r="Q180" i="6"/>
  <c r="U180" i="6" s="1"/>
  <c r="F336" i="6"/>
  <c r="L335" i="6"/>
  <c r="O335" i="6"/>
  <c r="F337" i="6" l="1"/>
  <c r="L336" i="6"/>
  <c r="O336" i="6"/>
  <c r="W180" i="6"/>
  <c r="AH180" i="6"/>
  <c r="AD180" i="6"/>
  <c r="P181" i="6"/>
  <c r="N181" i="6"/>
  <c r="R181" i="6" s="1"/>
  <c r="T181" i="6" s="1"/>
  <c r="Z181" i="6"/>
  <c r="M181" i="6"/>
  <c r="C341" i="6"/>
  <c r="C342" i="6" l="1"/>
  <c r="K182" i="6"/>
  <c r="AB182" i="6"/>
  <c r="Q181" i="6"/>
  <c r="U181" i="6" s="1"/>
  <c r="F338" i="6"/>
  <c r="L337" i="6"/>
  <c r="O337" i="6"/>
  <c r="F339" i="6" l="1"/>
  <c r="L338" i="6"/>
  <c r="O338" i="6"/>
  <c r="AD181" i="6"/>
  <c r="AH181" i="6"/>
  <c r="W181" i="6"/>
  <c r="P182" i="6"/>
  <c r="N182" i="6"/>
  <c r="R182" i="6" s="1"/>
  <c r="T182" i="6" s="1"/>
  <c r="Z182" i="6"/>
  <c r="M182" i="6"/>
  <c r="C343" i="6"/>
  <c r="C344" i="6" l="1"/>
  <c r="K183" i="6"/>
  <c r="AB183" i="6"/>
  <c r="Q182" i="6"/>
  <c r="U182" i="6" s="1"/>
  <c r="F340" i="6"/>
  <c r="L339" i="6"/>
  <c r="O339" i="6"/>
  <c r="F34" i="26" s="1"/>
  <c r="W182" i="6" l="1"/>
  <c r="AD182" i="6"/>
  <c r="AH182" i="6"/>
  <c r="F341" i="6"/>
  <c r="L340" i="6"/>
  <c r="O340" i="6"/>
  <c r="S21" i="26"/>
  <c r="AC183" i="6"/>
  <c r="P183" i="6"/>
  <c r="N183" i="6"/>
  <c r="R183" i="6" s="1"/>
  <c r="E21" i="26"/>
  <c r="Z183" i="6"/>
  <c r="Q21" i="26" s="1"/>
  <c r="M183" i="6"/>
  <c r="C345" i="6"/>
  <c r="F342" i="6" l="1"/>
  <c r="L341" i="6"/>
  <c r="O341" i="6"/>
  <c r="I21" i="26"/>
  <c r="K184" i="6"/>
  <c r="AB184" i="6"/>
  <c r="G21" i="26"/>
  <c r="Q183" i="6"/>
  <c r="T21" i="26"/>
  <c r="Y183" i="6"/>
  <c r="C346" i="6"/>
  <c r="P184" i="6" l="1"/>
  <c r="N184" i="6"/>
  <c r="R184" i="6" s="1"/>
  <c r="Z184" i="6"/>
  <c r="M184" i="6"/>
  <c r="C347" i="6"/>
  <c r="H21" i="26"/>
  <c r="S183" i="6" a="1"/>
  <c r="S183" i="6" s="1"/>
  <c r="P21" i="26"/>
  <c r="F343" i="6"/>
  <c r="L342" i="6"/>
  <c r="O342" i="6"/>
  <c r="C348" i="6" l="1"/>
  <c r="F344" i="6"/>
  <c r="L343" i="6"/>
  <c r="O343" i="6"/>
  <c r="J21" i="26"/>
  <c r="T183" i="6"/>
  <c r="K185" i="6"/>
  <c r="AB185" i="6"/>
  <c r="Q184" i="6"/>
  <c r="F345" i="6" l="1"/>
  <c r="L344" i="6"/>
  <c r="O344" i="6"/>
  <c r="P185" i="6"/>
  <c r="N185" i="6"/>
  <c r="R185" i="6" s="1"/>
  <c r="Z185" i="6"/>
  <c r="M185" i="6"/>
  <c r="T184" i="6"/>
  <c r="K21" i="26"/>
  <c r="U183" i="6"/>
  <c r="C349" i="6"/>
  <c r="T185" i="6" l="1"/>
  <c r="K186" i="6"/>
  <c r="AB186" i="6"/>
  <c r="Q185" i="6"/>
  <c r="C350" i="6"/>
  <c r="V183" i="6"/>
  <c r="AD183" i="6"/>
  <c r="U21" i="26" s="1"/>
  <c r="W183" i="6"/>
  <c r="N21" i="26" s="1"/>
  <c r="AH183" i="6"/>
  <c r="L21" i="26"/>
  <c r="F346" i="6"/>
  <c r="L345" i="6"/>
  <c r="O345" i="6"/>
  <c r="U184" i="6"/>
  <c r="U185" i="6" l="1"/>
  <c r="W185" i="6" s="1"/>
  <c r="C351" i="6"/>
  <c r="X183" i="6"/>
  <c r="O21" i="26" s="1"/>
  <c r="M21" i="26"/>
  <c r="F347" i="6"/>
  <c r="L346" i="6"/>
  <c r="O346" i="6"/>
  <c r="P186" i="6"/>
  <c r="N186" i="6"/>
  <c r="R186" i="6" s="1"/>
  <c r="T186" i="6" s="1"/>
  <c r="Z186" i="6"/>
  <c r="M186" i="6"/>
  <c r="AH184" i="6"/>
  <c r="W184" i="6"/>
  <c r="AD184" i="6"/>
  <c r="AD185" i="6" l="1"/>
  <c r="AH185" i="6"/>
  <c r="K187" i="6"/>
  <c r="AB187" i="6"/>
  <c r="Q186" i="6"/>
  <c r="U186" i="6" s="1"/>
  <c r="F348" i="6"/>
  <c r="L347" i="6"/>
  <c r="O347" i="6"/>
  <c r="C352" i="6"/>
  <c r="B35" i="26"/>
  <c r="AD186" i="6" l="1"/>
  <c r="W186" i="6"/>
  <c r="AH186" i="6"/>
  <c r="C353" i="6"/>
  <c r="P187" i="6"/>
  <c r="N187" i="6"/>
  <c r="R187" i="6" s="1"/>
  <c r="T187" i="6" s="1"/>
  <c r="Z187" i="6"/>
  <c r="M187" i="6"/>
  <c r="F349" i="6"/>
  <c r="L348" i="6"/>
  <c r="O348" i="6"/>
  <c r="C354" i="6" l="1"/>
  <c r="F350" i="6"/>
  <c r="L349" i="6"/>
  <c r="O349" i="6"/>
  <c r="K188" i="6"/>
  <c r="AB188" i="6"/>
  <c r="Q187" i="6"/>
  <c r="U187" i="6" s="1"/>
  <c r="F351" i="6" l="1"/>
  <c r="L350" i="6"/>
  <c r="O350" i="6"/>
  <c r="AD187" i="6"/>
  <c r="AH187" i="6"/>
  <c r="W187" i="6"/>
  <c r="P188" i="6"/>
  <c r="N188" i="6"/>
  <c r="R188" i="6" s="1"/>
  <c r="T188" i="6" s="1"/>
  <c r="M188" i="6"/>
  <c r="Z188" i="6"/>
  <c r="C355" i="6"/>
  <c r="C356" i="6" l="1"/>
  <c r="K189" i="6"/>
  <c r="AB189" i="6"/>
  <c r="Q188" i="6"/>
  <c r="U188" i="6" s="1"/>
  <c r="F352" i="6"/>
  <c r="L351" i="6"/>
  <c r="O351" i="6"/>
  <c r="F35" i="26" s="1"/>
  <c r="W188" i="6" l="1"/>
  <c r="AH188" i="6"/>
  <c r="AD188" i="6"/>
  <c r="F353" i="6"/>
  <c r="L352" i="6"/>
  <c r="O352" i="6"/>
  <c r="P189" i="6"/>
  <c r="N189" i="6"/>
  <c r="R189" i="6" s="1"/>
  <c r="T189" i="6" s="1"/>
  <c r="Z189" i="6"/>
  <c r="M189" i="6"/>
  <c r="C357" i="6"/>
  <c r="F354" i="6" l="1"/>
  <c r="L353" i="6"/>
  <c r="O353" i="6"/>
  <c r="C358" i="6"/>
  <c r="K190" i="6"/>
  <c r="AB190" i="6"/>
  <c r="Q189" i="6"/>
  <c r="U189" i="6" s="1"/>
  <c r="C359" i="6" l="1"/>
  <c r="W189" i="6"/>
  <c r="AH189" i="6"/>
  <c r="AD189" i="6"/>
  <c r="P190" i="6"/>
  <c r="N190" i="6"/>
  <c r="R190" i="6" s="1"/>
  <c r="T190" i="6" s="1"/>
  <c r="Z190" i="6"/>
  <c r="M190" i="6"/>
  <c r="F355" i="6"/>
  <c r="L354" i="6"/>
  <c r="O354" i="6"/>
  <c r="K191" i="6" l="1"/>
  <c r="AB191" i="6"/>
  <c r="Q190" i="6"/>
  <c r="U190" i="6" s="1"/>
  <c r="F356" i="6"/>
  <c r="L355" i="6"/>
  <c r="O355" i="6"/>
  <c r="C360" i="6"/>
  <c r="F357" i="6" l="1"/>
  <c r="L356" i="6"/>
  <c r="O356" i="6"/>
  <c r="W190" i="6"/>
  <c r="AH190" i="6"/>
  <c r="AD190" i="6"/>
  <c r="C361" i="6"/>
  <c r="P191" i="6"/>
  <c r="N191" i="6"/>
  <c r="R191" i="6" s="1"/>
  <c r="T191" i="6" s="1"/>
  <c r="M191" i="6"/>
  <c r="Z191" i="6"/>
  <c r="K192" i="6" l="1"/>
  <c r="AB192" i="6"/>
  <c r="Q191" i="6"/>
  <c r="U191" i="6" s="1"/>
  <c r="C362" i="6"/>
  <c r="F358" i="6"/>
  <c r="L357" i="6"/>
  <c r="O357" i="6"/>
  <c r="F359" i="6" l="1"/>
  <c r="L358" i="6"/>
  <c r="O358" i="6"/>
  <c r="AD191" i="6"/>
  <c r="W191" i="6"/>
  <c r="AH191" i="6"/>
  <c r="C363" i="6"/>
  <c r="P192" i="6"/>
  <c r="N192" i="6"/>
  <c r="R192" i="6" s="1"/>
  <c r="T192" i="6" s="1"/>
  <c r="Z192" i="6"/>
  <c r="M192" i="6"/>
  <c r="K193" i="6" l="1"/>
  <c r="AB193" i="6"/>
  <c r="Q192" i="6"/>
  <c r="U192" i="6" s="1"/>
  <c r="C364" i="6"/>
  <c r="B36" i="26"/>
  <c r="F360" i="6"/>
  <c r="L359" i="6"/>
  <c r="O359" i="6"/>
  <c r="F361" i="6" l="1"/>
  <c r="L360" i="6"/>
  <c r="O360" i="6"/>
  <c r="C365" i="6"/>
  <c r="AH192" i="6"/>
  <c r="AD192" i="6"/>
  <c r="W192" i="6"/>
  <c r="P193" i="6"/>
  <c r="N193" i="6"/>
  <c r="R193" i="6" s="1"/>
  <c r="T193" i="6" s="1"/>
  <c r="Z193" i="6"/>
  <c r="M193" i="6"/>
  <c r="K194" i="6" l="1"/>
  <c r="AB194" i="6"/>
  <c r="Q193" i="6"/>
  <c r="U193" i="6" s="1"/>
  <c r="C366" i="6"/>
  <c r="F362" i="6"/>
  <c r="L361" i="6"/>
  <c r="O361" i="6"/>
  <c r="W193" i="6" l="1"/>
  <c r="AH193" i="6"/>
  <c r="AD193" i="6"/>
  <c r="F363" i="6"/>
  <c r="L362" i="6"/>
  <c r="O362" i="6"/>
  <c r="C367" i="6"/>
  <c r="P194" i="6"/>
  <c r="N194" i="6"/>
  <c r="R194" i="6" s="1"/>
  <c r="T194" i="6" s="1"/>
  <c r="Z194" i="6"/>
  <c r="M194" i="6"/>
  <c r="K195" i="6" l="1"/>
  <c r="AB195" i="6"/>
  <c r="Q194" i="6"/>
  <c r="U194" i="6" s="1"/>
  <c r="F364" i="6"/>
  <c r="L363" i="6"/>
  <c r="O363" i="6"/>
  <c r="F36" i="26" s="1"/>
  <c r="C368" i="6"/>
  <c r="S22" i="26" l="1"/>
  <c r="AC195" i="6"/>
  <c r="P195" i="6"/>
  <c r="N195" i="6"/>
  <c r="R195" i="6" s="1"/>
  <c r="E22" i="26"/>
  <c r="Z195" i="6"/>
  <c r="Q22" i="26" s="1"/>
  <c r="M195" i="6"/>
  <c r="F365" i="6"/>
  <c r="L364" i="6"/>
  <c r="O364" i="6"/>
  <c r="W194" i="6"/>
  <c r="AH194" i="6"/>
  <c r="AD194" i="6"/>
  <c r="C369" i="6"/>
  <c r="F366" i="6" l="1"/>
  <c r="L365" i="6"/>
  <c r="O365" i="6"/>
  <c r="C370" i="6"/>
  <c r="I22" i="26"/>
  <c r="Y195" i="6"/>
  <c r="T22" i="26"/>
  <c r="K196" i="6"/>
  <c r="AB196" i="6"/>
  <c r="G22" i="26"/>
  <c r="Q195" i="6"/>
  <c r="P196" i="6" l="1"/>
  <c r="N196" i="6"/>
  <c r="R196" i="6" s="1"/>
  <c r="Z196" i="6"/>
  <c r="M196" i="6"/>
  <c r="S195" i="6" a="1"/>
  <c r="S195" i="6" s="1"/>
  <c r="P22" i="26"/>
  <c r="H22" i="26"/>
  <c r="C371" i="6"/>
  <c r="F367" i="6"/>
  <c r="L366" i="6"/>
  <c r="O366" i="6"/>
  <c r="F368" i="6" l="1"/>
  <c r="L367" i="6"/>
  <c r="O367" i="6"/>
  <c r="K197" i="6"/>
  <c r="AB197" i="6"/>
  <c r="Q196" i="6"/>
  <c r="J22" i="26"/>
  <c r="T195" i="6"/>
  <c r="C372" i="6"/>
  <c r="K22" i="26" l="1"/>
  <c r="T196" i="6"/>
  <c r="U196" i="6" s="1"/>
  <c r="U195" i="6"/>
  <c r="P197" i="6"/>
  <c r="N197" i="6"/>
  <c r="R197" i="6" s="1"/>
  <c r="Z197" i="6"/>
  <c r="M197" i="6"/>
  <c r="C373" i="6"/>
  <c r="F369" i="6"/>
  <c r="L368" i="6"/>
  <c r="O368" i="6"/>
  <c r="K198" i="6" l="1"/>
  <c r="AB198" i="6"/>
  <c r="Q197" i="6"/>
  <c r="F370" i="6"/>
  <c r="L369" i="6"/>
  <c r="O369" i="6"/>
  <c r="V195" i="6"/>
  <c r="AH195" i="6"/>
  <c r="AD195" i="6"/>
  <c r="U22" i="26" s="1"/>
  <c r="L22" i="26"/>
  <c r="W195" i="6"/>
  <c r="N22" i="26" s="1"/>
  <c r="C374" i="6"/>
  <c r="AH196" i="6"/>
  <c r="AD196" i="6"/>
  <c r="W196" i="6"/>
  <c r="T197" i="6"/>
  <c r="F371" i="6" l="1"/>
  <c r="L370" i="6"/>
  <c r="O370" i="6"/>
  <c r="C375" i="6"/>
  <c r="U197" i="6"/>
  <c r="X195" i="6"/>
  <c r="O22" i="26" s="1"/>
  <c r="M22" i="26"/>
  <c r="P198" i="6"/>
  <c r="N198" i="6"/>
  <c r="R198" i="6" s="1"/>
  <c r="T198" i="6" s="1"/>
  <c r="Z198" i="6"/>
  <c r="M198" i="6"/>
  <c r="C376" i="6" l="1"/>
  <c r="B37" i="26"/>
  <c r="K199" i="6"/>
  <c r="AB199" i="6"/>
  <c r="Q198" i="6"/>
  <c r="U198" i="6" s="1"/>
  <c r="AH197" i="6"/>
  <c r="W197" i="6"/>
  <c r="AD197" i="6"/>
  <c r="F372" i="6"/>
  <c r="L371" i="6"/>
  <c r="O371" i="6"/>
  <c r="P199" i="6" l="1"/>
  <c r="N199" i="6"/>
  <c r="R199" i="6" s="1"/>
  <c r="T199" i="6" s="1"/>
  <c r="Z199" i="6"/>
  <c r="M199" i="6"/>
  <c r="W198" i="6"/>
  <c r="AH198" i="6"/>
  <c r="AD198" i="6"/>
  <c r="F373" i="6"/>
  <c r="L372" i="6"/>
  <c r="O372" i="6"/>
  <c r="C377" i="6"/>
  <c r="C378" i="6" l="1"/>
  <c r="F374" i="6"/>
  <c r="L373" i="6"/>
  <c r="O373" i="6"/>
  <c r="K200" i="6"/>
  <c r="AB200" i="6"/>
  <c r="Q199" i="6"/>
  <c r="U199" i="6" s="1"/>
  <c r="AH199" i="6" l="1"/>
  <c r="W199" i="6"/>
  <c r="AD199" i="6"/>
  <c r="F375" i="6"/>
  <c r="L374" i="6"/>
  <c r="O374" i="6"/>
  <c r="P200" i="6"/>
  <c r="N200" i="6"/>
  <c r="R200" i="6" s="1"/>
  <c r="T200" i="6" s="1"/>
  <c r="M200" i="6"/>
  <c r="Z200" i="6"/>
  <c r="C379" i="6"/>
  <c r="C380" i="6" l="1"/>
  <c r="F376" i="6"/>
  <c r="L375" i="6"/>
  <c r="O375" i="6"/>
  <c r="F37" i="26" s="1"/>
  <c r="K201" i="6"/>
  <c r="AB201" i="6"/>
  <c r="Q200" i="6"/>
  <c r="U200" i="6" s="1"/>
  <c r="W200" i="6" l="1"/>
  <c r="AH200" i="6"/>
  <c r="AD200" i="6"/>
  <c r="F377" i="6"/>
  <c r="L376" i="6"/>
  <c r="O376" i="6"/>
  <c r="P201" i="6"/>
  <c r="N201" i="6"/>
  <c r="R201" i="6" s="1"/>
  <c r="T201" i="6" s="1"/>
  <c r="M201" i="6"/>
  <c r="Z201" i="6"/>
  <c r="C381" i="6"/>
  <c r="C382" i="6" l="1"/>
  <c r="F378" i="6"/>
  <c r="L377" i="6"/>
  <c r="O377" i="6"/>
  <c r="K202" i="6"/>
  <c r="AB202" i="6"/>
  <c r="Q201" i="6"/>
  <c r="U201" i="6" s="1"/>
  <c r="AH201" i="6" l="1"/>
  <c r="W201" i="6"/>
  <c r="AD201" i="6"/>
  <c r="F379" i="6"/>
  <c r="L378" i="6"/>
  <c r="O378" i="6"/>
  <c r="P202" i="6"/>
  <c r="N202" i="6"/>
  <c r="R202" i="6" s="1"/>
  <c r="T202" i="6" s="1"/>
  <c r="Z202" i="6"/>
  <c r="M202" i="6"/>
  <c r="C383" i="6"/>
  <c r="C384" i="6" l="1"/>
  <c r="F380" i="6"/>
  <c r="L379" i="6"/>
  <c r="O379" i="6"/>
  <c r="K203" i="6"/>
  <c r="AB203" i="6"/>
  <c r="Q202" i="6"/>
  <c r="U202" i="6" s="1"/>
  <c r="AD202" i="6" l="1"/>
  <c r="AH202" i="6"/>
  <c r="W202" i="6"/>
  <c r="F381" i="6"/>
  <c r="L380" i="6"/>
  <c r="O380" i="6"/>
  <c r="P203" i="6"/>
  <c r="N203" i="6"/>
  <c r="R203" i="6" s="1"/>
  <c r="T203" i="6" s="1"/>
  <c r="Z203" i="6"/>
  <c r="M203" i="6"/>
  <c r="C385" i="6"/>
  <c r="C386" i="6" l="1"/>
  <c r="F382" i="6"/>
  <c r="L381" i="6"/>
  <c r="O381" i="6"/>
  <c r="K204" i="6"/>
  <c r="AB204" i="6"/>
  <c r="Q203" i="6"/>
  <c r="U203" i="6" s="1"/>
  <c r="W203" i="6" l="1"/>
  <c r="AD203" i="6"/>
  <c r="AH203" i="6"/>
  <c r="F383" i="6"/>
  <c r="L382" i="6"/>
  <c r="O382" i="6"/>
  <c r="P204" i="6"/>
  <c r="N204" i="6"/>
  <c r="R204" i="6" s="1"/>
  <c r="T204" i="6" s="1"/>
  <c r="Z204" i="6"/>
  <c r="M204" i="6"/>
  <c r="C387" i="6"/>
  <c r="F384" i="6" l="1"/>
  <c r="L383" i="6"/>
  <c r="O383" i="6"/>
  <c r="C388" i="6"/>
  <c r="B38" i="26"/>
  <c r="K205" i="6"/>
  <c r="AB205" i="6"/>
  <c r="Q204" i="6"/>
  <c r="U204" i="6" s="1"/>
  <c r="P205" i="6" l="1"/>
  <c r="N205" i="6"/>
  <c r="R205" i="6" s="1"/>
  <c r="T205" i="6" s="1"/>
  <c r="M205" i="6"/>
  <c r="Z205" i="6"/>
  <c r="C389" i="6"/>
  <c r="AD204" i="6"/>
  <c r="W204" i="6"/>
  <c r="AH204" i="6"/>
  <c r="F385" i="6"/>
  <c r="L384" i="6"/>
  <c r="O384" i="6"/>
  <c r="C390" i="6" l="1"/>
  <c r="F386" i="6"/>
  <c r="L385" i="6"/>
  <c r="O385" i="6"/>
  <c r="K206" i="6"/>
  <c r="AB206" i="6"/>
  <c r="Q205" i="6"/>
  <c r="U205" i="6" s="1"/>
  <c r="F387" i="6" l="1"/>
  <c r="L386" i="6"/>
  <c r="O386" i="6"/>
  <c r="W205" i="6"/>
  <c r="AD205" i="6"/>
  <c r="AH205" i="6"/>
  <c r="C391" i="6"/>
  <c r="P206" i="6"/>
  <c r="N206" i="6"/>
  <c r="R206" i="6" s="1"/>
  <c r="T206" i="6" s="1"/>
  <c r="Z206" i="6"/>
  <c r="M206" i="6"/>
  <c r="K207" i="6" l="1"/>
  <c r="AB207" i="6"/>
  <c r="Q206" i="6"/>
  <c r="U206" i="6" s="1"/>
  <c r="C392" i="6"/>
  <c r="F388" i="6"/>
  <c r="L387" i="6"/>
  <c r="O387" i="6"/>
  <c r="G35" i="24"/>
  <c r="C393" i="6" l="1"/>
  <c r="F38" i="26"/>
  <c r="D35" i="24"/>
  <c r="W206" i="6"/>
  <c r="AH206" i="6"/>
  <c r="AD206" i="6"/>
  <c r="F389" i="6"/>
  <c r="L388" i="6"/>
  <c r="O388" i="6"/>
  <c r="S23" i="26"/>
  <c r="AC207" i="6"/>
  <c r="P207" i="6"/>
  <c r="N207" i="6"/>
  <c r="R207" i="6" s="1"/>
  <c r="E23" i="26"/>
  <c r="Z207" i="6"/>
  <c r="Q23" i="26" s="1"/>
  <c r="M207" i="6"/>
  <c r="F390" i="6" l="1"/>
  <c r="L389" i="6"/>
  <c r="O389" i="6"/>
  <c r="K208" i="6"/>
  <c r="AB208" i="6"/>
  <c r="G23" i="26"/>
  <c r="Q207" i="6"/>
  <c r="Y207" i="6"/>
  <c r="T23" i="26"/>
  <c r="I23" i="26"/>
  <c r="C394" i="6"/>
  <c r="C395" i="6" l="1"/>
  <c r="P208" i="6"/>
  <c r="N208" i="6"/>
  <c r="R208" i="6" s="1"/>
  <c r="Z208" i="6"/>
  <c r="M208" i="6"/>
  <c r="S207" i="6" a="1"/>
  <c r="S207" i="6" s="1"/>
  <c r="P23" i="26"/>
  <c r="H23" i="26"/>
  <c r="F391" i="6"/>
  <c r="L390" i="6"/>
  <c r="O390" i="6"/>
  <c r="K209" i="6" l="1"/>
  <c r="AB209" i="6"/>
  <c r="Q208" i="6"/>
  <c r="J23" i="26"/>
  <c r="T207" i="6"/>
  <c r="F392" i="6"/>
  <c r="L391" i="6"/>
  <c r="O391" i="6"/>
  <c r="C396" i="6"/>
  <c r="F393" i="6" l="1"/>
  <c r="L392" i="6"/>
  <c r="O392" i="6"/>
  <c r="C397" i="6"/>
  <c r="T208" i="6"/>
  <c r="K23" i="26"/>
  <c r="U207" i="6"/>
  <c r="P209" i="6"/>
  <c r="N209" i="6"/>
  <c r="R209" i="6" s="1"/>
  <c r="M209" i="6"/>
  <c r="Z209" i="6"/>
  <c r="C398" i="6" l="1"/>
  <c r="K210" i="6"/>
  <c r="AB210" i="6"/>
  <c r="Q209" i="6"/>
  <c r="AH207" i="6"/>
  <c r="L23" i="26"/>
  <c r="V207" i="6"/>
  <c r="W207" i="6"/>
  <c r="N23" i="26" s="1"/>
  <c r="AD207" i="6"/>
  <c r="U23" i="26" s="1"/>
  <c r="T209" i="6"/>
  <c r="U208" i="6"/>
  <c r="F394" i="6"/>
  <c r="L393" i="6"/>
  <c r="O393" i="6"/>
  <c r="U209" i="6" l="1"/>
  <c r="AH209" i="6" s="1"/>
  <c r="W208" i="6"/>
  <c r="AD208" i="6"/>
  <c r="AH208" i="6"/>
  <c r="M23" i="26"/>
  <c r="X207" i="6"/>
  <c r="O23" i="26" s="1"/>
  <c r="F395" i="6"/>
  <c r="L394" i="6"/>
  <c r="O394" i="6"/>
  <c r="P210" i="6"/>
  <c r="N210" i="6"/>
  <c r="R210" i="6" s="1"/>
  <c r="T210" i="6" s="1"/>
  <c r="Z210" i="6"/>
  <c r="M210" i="6"/>
  <c r="C399" i="6"/>
  <c r="W209" i="6" l="1"/>
  <c r="AD209" i="6"/>
  <c r="C400" i="6"/>
  <c r="K211" i="6"/>
  <c r="AB211" i="6"/>
  <c r="Q210" i="6"/>
  <c r="U210" i="6" s="1"/>
  <c r="F396" i="6"/>
  <c r="L395" i="6"/>
  <c r="O395" i="6"/>
  <c r="F397" i="6" l="1"/>
  <c r="L396" i="6"/>
  <c r="O396" i="6"/>
  <c r="AH210" i="6"/>
  <c r="AD210" i="6"/>
  <c r="W210" i="6"/>
  <c r="P211" i="6"/>
  <c r="N211" i="6"/>
  <c r="R211" i="6" s="1"/>
  <c r="T211" i="6" s="1"/>
  <c r="M211" i="6"/>
  <c r="Z211" i="6"/>
  <c r="C401" i="6"/>
  <c r="C402" i="6" l="1"/>
  <c r="K212" i="6"/>
  <c r="AB212" i="6"/>
  <c r="Q211" i="6"/>
  <c r="U211" i="6" s="1"/>
  <c r="F398" i="6"/>
  <c r="L397" i="6"/>
  <c r="O397" i="6"/>
  <c r="F399" i="6" l="1"/>
  <c r="L398" i="6"/>
  <c r="O398" i="6"/>
  <c r="AH211" i="6"/>
  <c r="W211" i="6"/>
  <c r="AD211" i="6"/>
  <c r="P212" i="6"/>
  <c r="N212" i="6"/>
  <c r="R212" i="6" s="1"/>
  <c r="T212" i="6" s="1"/>
  <c r="Z212" i="6"/>
  <c r="M212" i="6"/>
  <c r="C403" i="6"/>
  <c r="C404" i="6" l="1"/>
  <c r="K213" i="6"/>
  <c r="AB213" i="6"/>
  <c r="Q212" i="6"/>
  <c r="U212" i="6" s="1"/>
  <c r="F400" i="6"/>
  <c r="L399" i="6"/>
  <c r="O399" i="6"/>
  <c r="W212" i="6" l="1"/>
  <c r="AH212" i="6"/>
  <c r="AD212" i="6"/>
  <c r="F401" i="6"/>
  <c r="L400" i="6"/>
  <c r="O400" i="6"/>
  <c r="P213" i="6"/>
  <c r="N213" i="6"/>
  <c r="R213" i="6" s="1"/>
  <c r="T213" i="6" s="1"/>
  <c r="Z213" i="6"/>
  <c r="M213" i="6"/>
  <c r="C405" i="6"/>
  <c r="C406" i="6" l="1"/>
  <c r="F402" i="6"/>
  <c r="L401" i="6"/>
  <c r="O401" i="6"/>
  <c r="K214" i="6"/>
  <c r="AB214" i="6"/>
  <c r="Q213" i="6"/>
  <c r="U213" i="6" s="1"/>
  <c r="F403" i="6" l="1"/>
  <c r="L402" i="6"/>
  <c r="O402" i="6"/>
  <c r="AD213" i="6"/>
  <c r="W213" i="6"/>
  <c r="AH213" i="6"/>
  <c r="C407" i="6"/>
  <c r="P214" i="6"/>
  <c r="N214" i="6"/>
  <c r="R214" i="6" s="1"/>
  <c r="T214" i="6" s="1"/>
  <c r="Z214" i="6"/>
  <c r="M214" i="6"/>
  <c r="C408" i="6" l="1"/>
  <c r="K215" i="6"/>
  <c r="AB215" i="6"/>
  <c r="Q214" i="6"/>
  <c r="U214" i="6" s="1"/>
  <c r="F404" i="6"/>
  <c r="L403" i="6"/>
  <c r="O403" i="6"/>
  <c r="F405" i="6" l="1"/>
  <c r="L404" i="6"/>
  <c r="O404" i="6"/>
  <c r="AH214" i="6"/>
  <c r="W214" i="6"/>
  <c r="AD214" i="6"/>
  <c r="P215" i="6"/>
  <c r="N215" i="6"/>
  <c r="R215" i="6" s="1"/>
  <c r="T215" i="6" s="1"/>
  <c r="Z215" i="6"/>
  <c r="M215" i="6"/>
  <c r="C409" i="6"/>
  <c r="C410" i="6" l="1"/>
  <c r="K216" i="6"/>
  <c r="AB216" i="6"/>
  <c r="Q215" i="6"/>
  <c r="U215" i="6" s="1"/>
  <c r="F406" i="6"/>
  <c r="L405" i="6"/>
  <c r="O405" i="6"/>
  <c r="F407" i="6" l="1"/>
  <c r="L406" i="6"/>
  <c r="O406" i="6"/>
  <c r="AD215" i="6"/>
  <c r="W215" i="6"/>
  <c r="AH215" i="6"/>
  <c r="P216" i="6"/>
  <c r="N216" i="6"/>
  <c r="R216" i="6" s="1"/>
  <c r="T216" i="6" s="1"/>
  <c r="Z216" i="6"/>
  <c r="M216" i="6"/>
  <c r="C411" i="6"/>
  <c r="C412" i="6" l="1"/>
  <c r="K217" i="6"/>
  <c r="AB217" i="6"/>
  <c r="Q216" i="6"/>
  <c r="U216" i="6" s="1"/>
  <c r="F408" i="6"/>
  <c r="L407" i="6"/>
  <c r="O407" i="6"/>
  <c r="F409" i="6" l="1"/>
  <c r="L408" i="6"/>
  <c r="O408" i="6"/>
  <c r="AH216" i="6"/>
  <c r="AD216" i="6"/>
  <c r="W216" i="6"/>
  <c r="P217" i="6"/>
  <c r="N217" i="6"/>
  <c r="R217" i="6" s="1"/>
  <c r="T217" i="6" s="1"/>
  <c r="Z217" i="6"/>
  <c r="M217" i="6"/>
  <c r="C413" i="6"/>
  <c r="C414" i="6" l="1"/>
  <c r="K218" i="6"/>
  <c r="AB218" i="6"/>
  <c r="Q217" i="6"/>
  <c r="U217" i="6" s="1"/>
  <c r="F410" i="6"/>
  <c r="L409" i="6"/>
  <c r="O409" i="6"/>
  <c r="F411" i="6" l="1"/>
  <c r="L410" i="6"/>
  <c r="O410" i="6"/>
  <c r="AD217" i="6"/>
  <c r="W217" i="6"/>
  <c r="AH217" i="6"/>
  <c r="P218" i="6"/>
  <c r="N218" i="6"/>
  <c r="R218" i="6" s="1"/>
  <c r="T218" i="6" s="1"/>
  <c r="Z218" i="6"/>
  <c r="M218" i="6"/>
  <c r="C415" i="6"/>
  <c r="C416" i="6" l="1"/>
  <c r="K219" i="6"/>
  <c r="AB219" i="6"/>
  <c r="Q218" i="6"/>
  <c r="U218" i="6" s="1"/>
  <c r="F412" i="6"/>
  <c r="L411" i="6"/>
  <c r="O411" i="6"/>
  <c r="S24" i="26" l="1"/>
  <c r="AC219" i="6"/>
  <c r="F413" i="6"/>
  <c r="L412" i="6"/>
  <c r="O412" i="6"/>
  <c r="AH218" i="6"/>
  <c r="AD218" i="6"/>
  <c r="W218" i="6"/>
  <c r="P219" i="6"/>
  <c r="N219" i="6"/>
  <c r="R219" i="6" s="1"/>
  <c r="E24" i="26"/>
  <c r="M219" i="6"/>
  <c r="Z219" i="6"/>
  <c r="Q24" i="26" s="1"/>
  <c r="C417" i="6"/>
  <c r="C418" i="6" l="1"/>
  <c r="I24" i="26"/>
  <c r="L413" i="6"/>
  <c r="F414" i="6"/>
  <c r="O413" i="6"/>
  <c r="T24" i="26"/>
  <c r="Y219" i="6"/>
  <c r="K220" i="6"/>
  <c r="AB220" i="6"/>
  <c r="G24" i="26"/>
  <c r="Q219" i="6"/>
  <c r="H24" i="26" l="1"/>
  <c r="F415" i="6"/>
  <c r="L414" i="6"/>
  <c r="O414" i="6"/>
  <c r="P220" i="6"/>
  <c r="N220" i="6"/>
  <c r="R220" i="6" s="1"/>
  <c r="Z220" i="6"/>
  <c r="M220" i="6"/>
  <c r="C419" i="6"/>
  <c r="S219" i="6" a="1"/>
  <c r="S219" i="6" s="1"/>
  <c r="P24" i="26"/>
  <c r="K221" i="6" l="1"/>
  <c r="AB221" i="6"/>
  <c r="Q220" i="6"/>
  <c r="J24" i="26"/>
  <c r="T219" i="6"/>
  <c r="C420" i="6"/>
  <c r="L415" i="6"/>
  <c r="F416" i="6"/>
  <c r="O415" i="6"/>
  <c r="T220" i="6" l="1"/>
  <c r="U220" i="6" s="1"/>
  <c r="K24" i="26"/>
  <c r="U219" i="6"/>
  <c r="C421" i="6"/>
  <c r="F417" i="6"/>
  <c r="L416" i="6"/>
  <c r="O416" i="6"/>
  <c r="P221" i="6"/>
  <c r="N221" i="6"/>
  <c r="R221" i="6" s="1"/>
  <c r="Z221" i="6"/>
  <c r="M221" i="6"/>
  <c r="L417" i="6" l="1"/>
  <c r="F418" i="6"/>
  <c r="O417" i="6"/>
  <c r="AD220" i="6"/>
  <c r="AH220" i="6"/>
  <c r="W220" i="6"/>
  <c r="K222" i="6"/>
  <c r="AB222" i="6"/>
  <c r="Q221" i="6"/>
  <c r="C422" i="6"/>
  <c r="V219" i="6"/>
  <c r="AD219" i="6"/>
  <c r="U24" i="26" s="1"/>
  <c r="L24" i="26"/>
  <c r="AH219" i="6"/>
  <c r="W219" i="6"/>
  <c r="N24" i="26" s="1"/>
  <c r="T221" i="6"/>
  <c r="X219" i="6" l="1"/>
  <c r="O24" i="26" s="1"/>
  <c r="M24" i="26"/>
  <c r="F419" i="6"/>
  <c r="L418" i="6"/>
  <c r="O418" i="6"/>
  <c r="C423" i="6"/>
  <c r="U221" i="6"/>
  <c r="P222" i="6"/>
  <c r="N222" i="6"/>
  <c r="R222" i="6" s="1"/>
  <c r="T222" i="6" s="1"/>
  <c r="Z222" i="6"/>
  <c r="M222" i="6"/>
  <c r="K223" i="6" l="1"/>
  <c r="AB223" i="6"/>
  <c r="Q222" i="6"/>
  <c r="U222" i="6" s="1"/>
  <c r="F420" i="6"/>
  <c r="L419" i="6"/>
  <c r="O419" i="6"/>
  <c r="AH221" i="6"/>
  <c r="AD221" i="6"/>
  <c r="W221" i="6"/>
  <c r="C424" i="6"/>
  <c r="C425" i="6" l="1"/>
  <c r="F421" i="6"/>
  <c r="L420" i="6"/>
  <c r="O420" i="6"/>
  <c r="AD222" i="6"/>
  <c r="AH222" i="6"/>
  <c r="W222" i="6"/>
  <c r="P223" i="6"/>
  <c r="N223" i="6"/>
  <c r="R223" i="6" s="1"/>
  <c r="T223" i="6" s="1"/>
  <c r="Z223" i="6"/>
  <c r="M223" i="6"/>
  <c r="K224" i="6" l="1"/>
  <c r="AB224" i="6"/>
  <c r="Q223" i="6"/>
  <c r="U223" i="6" s="1"/>
  <c r="L421" i="6"/>
  <c r="F422" i="6"/>
  <c r="O421" i="6"/>
  <c r="C426" i="6"/>
  <c r="F423" i="6" l="1"/>
  <c r="L422" i="6"/>
  <c r="O422" i="6"/>
  <c r="W223" i="6"/>
  <c r="AH223" i="6"/>
  <c r="AD223" i="6"/>
  <c r="C427" i="6"/>
  <c r="P224" i="6"/>
  <c r="N224" i="6"/>
  <c r="R224" i="6" s="1"/>
  <c r="T224" i="6" s="1"/>
  <c r="Z224" i="6"/>
  <c r="M224" i="6"/>
  <c r="K225" i="6" l="1"/>
  <c r="AB225" i="6"/>
  <c r="Q224" i="6"/>
  <c r="U224" i="6" s="1"/>
  <c r="C428" i="6"/>
  <c r="L423" i="6"/>
  <c r="F424" i="6"/>
  <c r="O423" i="6"/>
  <c r="F425" i="6" l="1"/>
  <c r="L424" i="6"/>
  <c r="O424" i="6"/>
  <c r="AH224" i="6"/>
  <c r="W224" i="6"/>
  <c r="AD224" i="6"/>
  <c r="C429" i="6"/>
  <c r="P225" i="6"/>
  <c r="N225" i="6"/>
  <c r="R225" i="6" s="1"/>
  <c r="T225" i="6" s="1"/>
  <c r="M225" i="6"/>
  <c r="Z225" i="6"/>
  <c r="K226" i="6" l="1"/>
  <c r="AB226" i="6"/>
  <c r="Q225" i="6"/>
  <c r="U225" i="6" s="1"/>
  <c r="C430" i="6"/>
  <c r="L425" i="6"/>
  <c r="F426" i="6"/>
  <c r="O425" i="6"/>
  <c r="C431" i="6" l="1"/>
  <c r="F427" i="6"/>
  <c r="L426" i="6"/>
  <c r="O426" i="6"/>
  <c r="AH225" i="6"/>
  <c r="AD225" i="6"/>
  <c r="W225" i="6"/>
  <c r="P226" i="6"/>
  <c r="N226" i="6"/>
  <c r="R226" i="6" s="1"/>
  <c r="T226" i="6" s="1"/>
  <c r="M226" i="6"/>
  <c r="Z226" i="6"/>
  <c r="K227" i="6" l="1"/>
  <c r="AB227" i="6"/>
  <c r="Q226" i="6"/>
  <c r="U226" i="6" s="1"/>
  <c r="F428" i="6"/>
  <c r="L427" i="6"/>
  <c r="O427" i="6"/>
  <c r="C432" i="6"/>
  <c r="AH226" i="6" l="1"/>
  <c r="AD226" i="6"/>
  <c r="W226" i="6"/>
  <c r="C433" i="6"/>
  <c r="P227" i="6"/>
  <c r="N227" i="6"/>
  <c r="R227" i="6" s="1"/>
  <c r="T227" i="6" s="1"/>
  <c r="Z227" i="6"/>
  <c r="M227" i="6"/>
  <c r="F429" i="6"/>
  <c r="L428" i="6"/>
  <c r="O428" i="6"/>
  <c r="K228" i="6" l="1"/>
  <c r="AB228" i="6"/>
  <c r="Q227" i="6"/>
  <c r="U227" i="6" s="1"/>
  <c r="C434" i="6"/>
  <c r="L429" i="6"/>
  <c r="F430" i="6"/>
  <c r="O429" i="6"/>
  <c r="F431" i="6" l="1"/>
  <c r="L430" i="6"/>
  <c r="O430" i="6"/>
  <c r="C435" i="6"/>
  <c r="AH227" i="6"/>
  <c r="AD227" i="6"/>
  <c r="W227" i="6"/>
  <c r="P228" i="6"/>
  <c r="N228" i="6"/>
  <c r="R228" i="6" s="1"/>
  <c r="T228" i="6" s="1"/>
  <c r="Z228" i="6"/>
  <c r="M228" i="6"/>
  <c r="C436" i="6" l="1"/>
  <c r="K229" i="6"/>
  <c r="AB229" i="6"/>
  <c r="Q228" i="6"/>
  <c r="U228" i="6" s="1"/>
  <c r="L431" i="6"/>
  <c r="F432" i="6"/>
  <c r="O431" i="6"/>
  <c r="F433" i="6" l="1"/>
  <c r="L432" i="6"/>
  <c r="O432" i="6"/>
  <c r="AD228" i="6"/>
  <c r="W228" i="6"/>
  <c r="AH228" i="6"/>
  <c r="P229" i="6"/>
  <c r="N229" i="6"/>
  <c r="R229" i="6" s="1"/>
  <c r="T229" i="6" s="1"/>
  <c r="M229" i="6"/>
  <c r="Z229" i="6"/>
  <c r="C437" i="6"/>
  <c r="C438" i="6" l="1"/>
  <c r="K230" i="6"/>
  <c r="AB230" i="6"/>
  <c r="Q229" i="6"/>
  <c r="U229" i="6" s="1"/>
  <c r="L433" i="6"/>
  <c r="F434" i="6"/>
  <c r="O433" i="6"/>
  <c r="F435" i="6" l="1"/>
  <c r="L434" i="6"/>
  <c r="O434" i="6"/>
  <c r="W229" i="6"/>
  <c r="AD229" i="6"/>
  <c r="AH229" i="6"/>
  <c r="P230" i="6"/>
  <c r="N230" i="6"/>
  <c r="R230" i="6" s="1"/>
  <c r="T230" i="6" s="1"/>
  <c r="Z230" i="6"/>
  <c r="M230" i="6"/>
  <c r="C439" i="6"/>
  <c r="C440" i="6" l="1"/>
  <c r="K231" i="6"/>
  <c r="AB231" i="6"/>
  <c r="Q230" i="6"/>
  <c r="U230" i="6" s="1"/>
  <c r="F436" i="6"/>
  <c r="L435" i="6"/>
  <c r="O435" i="6"/>
  <c r="F437" i="6" l="1"/>
  <c r="L436" i="6"/>
  <c r="O436" i="6"/>
  <c r="AD230" i="6"/>
  <c r="AH230" i="6"/>
  <c r="W230" i="6"/>
  <c r="P231" i="6"/>
  <c r="N231" i="6"/>
  <c r="R231" i="6" s="1"/>
  <c r="E25" i="26"/>
  <c r="Z231" i="6"/>
  <c r="Q25" i="26" s="1"/>
  <c r="M231" i="6"/>
  <c r="S25" i="26"/>
  <c r="AC231" i="6"/>
  <c r="C441" i="6"/>
  <c r="I25" i="26" l="1"/>
  <c r="C442" i="6"/>
  <c r="Y231" i="6"/>
  <c r="T25" i="26"/>
  <c r="K232" i="6"/>
  <c r="AB232" i="6"/>
  <c r="G25" i="26"/>
  <c r="Q231" i="6"/>
  <c r="L437" i="6"/>
  <c r="F438" i="6"/>
  <c r="O437" i="6"/>
  <c r="F439" i="6" l="1"/>
  <c r="L438" i="6"/>
  <c r="O438" i="6"/>
  <c r="P232" i="6"/>
  <c r="N232" i="6"/>
  <c r="R232" i="6" s="1"/>
  <c r="Z232" i="6"/>
  <c r="M232" i="6"/>
  <c r="P25" i="26"/>
  <c r="S231" i="6" a="1"/>
  <c r="S231" i="6" s="1"/>
  <c r="C443" i="6"/>
  <c r="H25" i="26"/>
  <c r="K233" i="6" l="1"/>
  <c r="AB233" i="6"/>
  <c r="Q232" i="6"/>
  <c r="J25" i="26"/>
  <c r="T231" i="6"/>
  <c r="L439" i="6"/>
  <c r="F440" i="6"/>
  <c r="O439" i="6"/>
  <c r="C444" i="6"/>
  <c r="K25" i="26" l="1"/>
  <c r="T232" i="6"/>
  <c r="U232" i="6" s="1"/>
  <c r="U231" i="6"/>
  <c r="C445" i="6"/>
  <c r="F441" i="6"/>
  <c r="L440" i="6"/>
  <c r="O440" i="6"/>
  <c r="P233" i="6"/>
  <c r="N233" i="6"/>
  <c r="R233" i="6" s="1"/>
  <c r="Z233" i="6"/>
  <c r="M233" i="6"/>
  <c r="L441" i="6" l="1"/>
  <c r="F442" i="6"/>
  <c r="O441" i="6"/>
  <c r="K234" i="6"/>
  <c r="AB234" i="6"/>
  <c r="Q233" i="6"/>
  <c r="C446" i="6"/>
  <c r="T233" i="6"/>
  <c r="AD232" i="6"/>
  <c r="W232" i="6"/>
  <c r="AH232" i="6"/>
  <c r="AH231" i="6"/>
  <c r="L25" i="26"/>
  <c r="V231" i="6"/>
  <c r="AD231" i="6"/>
  <c r="U25" i="26" s="1"/>
  <c r="W231" i="6"/>
  <c r="N25" i="26" s="1"/>
  <c r="U233" i="6" l="1"/>
  <c r="AH233" i="6" s="1"/>
  <c r="P234" i="6"/>
  <c r="N234" i="6"/>
  <c r="R234" i="6" s="1"/>
  <c r="T234" i="6" s="1"/>
  <c r="Z234" i="6"/>
  <c r="M234" i="6"/>
  <c r="F443" i="6"/>
  <c r="L442" i="6"/>
  <c r="O442" i="6"/>
  <c r="M25" i="26"/>
  <c r="X231" i="6"/>
  <c r="O25" i="26" s="1"/>
  <c r="C447" i="6"/>
  <c r="W233" i="6" l="1"/>
  <c r="AD233" i="6"/>
  <c r="K235" i="6"/>
  <c r="AB235" i="6"/>
  <c r="Q234" i="6"/>
  <c r="U234" i="6" s="1"/>
  <c r="C448" i="6"/>
  <c r="F444" i="6"/>
  <c r="L443" i="6"/>
  <c r="O443" i="6"/>
  <c r="C449" i="6" l="1"/>
  <c r="F445" i="6"/>
  <c r="L444" i="6"/>
  <c r="O444" i="6"/>
  <c r="AD234" i="6"/>
  <c r="W234" i="6"/>
  <c r="AH234" i="6"/>
  <c r="P235" i="6"/>
  <c r="N235" i="6"/>
  <c r="R235" i="6" s="1"/>
  <c r="T235" i="6" s="1"/>
  <c r="Z235" i="6"/>
  <c r="M235" i="6"/>
  <c r="L445" i="6" l="1"/>
  <c r="F446" i="6"/>
  <c r="O445" i="6"/>
  <c r="K236" i="6"/>
  <c r="AB236" i="6"/>
  <c r="Q235" i="6"/>
  <c r="U235" i="6" s="1"/>
  <c r="C450" i="6"/>
  <c r="P236" i="6" l="1"/>
  <c r="N236" i="6"/>
  <c r="R236" i="6" s="1"/>
  <c r="T236" i="6" s="1"/>
  <c r="M236" i="6"/>
  <c r="Z236" i="6"/>
  <c r="F447" i="6"/>
  <c r="L446" i="6"/>
  <c r="O446" i="6"/>
  <c r="C451" i="6"/>
  <c r="AD235" i="6"/>
  <c r="W235" i="6"/>
  <c r="AH235" i="6"/>
  <c r="L447" i="6" l="1"/>
  <c r="F448" i="6"/>
  <c r="O447" i="6"/>
  <c r="C452" i="6"/>
  <c r="K237" i="6"/>
  <c r="AB237" i="6"/>
  <c r="Q236" i="6"/>
  <c r="U236" i="6" s="1"/>
  <c r="C453" i="6" l="1"/>
  <c r="AH236" i="6"/>
  <c r="AD236" i="6"/>
  <c r="W236" i="6"/>
  <c r="F449" i="6"/>
  <c r="L448" i="6"/>
  <c r="O448" i="6"/>
  <c r="P237" i="6"/>
  <c r="N237" i="6"/>
  <c r="R237" i="6" s="1"/>
  <c r="T237" i="6" s="1"/>
  <c r="Z237" i="6"/>
  <c r="M237" i="6"/>
  <c r="L449" i="6" l="1"/>
  <c r="F450" i="6"/>
  <c r="O449" i="6"/>
  <c r="K238" i="6"/>
  <c r="AB238" i="6"/>
  <c r="Q237" i="6"/>
  <c r="U237" i="6" s="1"/>
  <c r="C454" i="6"/>
  <c r="AD237" i="6" l="1"/>
  <c r="AH237" i="6"/>
  <c r="W237" i="6"/>
  <c r="C455" i="6"/>
  <c r="P238" i="6"/>
  <c r="N238" i="6"/>
  <c r="R238" i="6" s="1"/>
  <c r="T238" i="6" s="1"/>
  <c r="Z238" i="6"/>
  <c r="M238" i="6"/>
  <c r="F451" i="6"/>
  <c r="L450" i="6"/>
  <c r="O450" i="6"/>
  <c r="K239" i="6" l="1"/>
  <c r="AB239" i="6"/>
  <c r="Q238" i="6"/>
  <c r="U238" i="6" s="1"/>
  <c r="C456" i="6"/>
  <c r="F452" i="6"/>
  <c r="L451" i="6"/>
  <c r="O451" i="6"/>
  <c r="F453" i="6" l="1"/>
  <c r="L452" i="6"/>
  <c r="O452" i="6"/>
  <c r="C457" i="6"/>
  <c r="AH238" i="6"/>
  <c r="AD238" i="6"/>
  <c r="W238" i="6"/>
  <c r="P239" i="6"/>
  <c r="N239" i="6"/>
  <c r="R239" i="6" s="1"/>
  <c r="T239" i="6" s="1"/>
  <c r="Z239" i="6"/>
  <c r="M239" i="6"/>
  <c r="C458" i="6" l="1"/>
  <c r="K240" i="6"/>
  <c r="AB240" i="6"/>
  <c r="Q239" i="6"/>
  <c r="U239" i="6" s="1"/>
  <c r="L453" i="6"/>
  <c r="F454" i="6"/>
  <c r="O453" i="6"/>
  <c r="F455" i="6" l="1"/>
  <c r="L454" i="6"/>
  <c r="O454" i="6"/>
  <c r="AH239" i="6"/>
  <c r="AD239" i="6"/>
  <c r="W239" i="6"/>
  <c r="P240" i="6"/>
  <c r="N240" i="6"/>
  <c r="R240" i="6" s="1"/>
  <c r="T240" i="6" s="1"/>
  <c r="M240" i="6"/>
  <c r="Z240" i="6"/>
  <c r="C459" i="6"/>
  <c r="C460" i="6" l="1"/>
  <c r="K241" i="6"/>
  <c r="AB241" i="6"/>
  <c r="Q240" i="6"/>
  <c r="U240" i="6" s="1"/>
  <c r="L455" i="6"/>
  <c r="F456" i="6"/>
  <c r="O455" i="6"/>
  <c r="F457" i="6" l="1"/>
  <c r="L456" i="6"/>
  <c r="O456" i="6"/>
  <c r="W240" i="6"/>
  <c r="AH240" i="6"/>
  <c r="AD240" i="6"/>
  <c r="P241" i="6"/>
  <c r="N241" i="6"/>
  <c r="R241" i="6" s="1"/>
  <c r="T241" i="6" s="1"/>
  <c r="M241" i="6"/>
  <c r="Z241" i="6"/>
  <c r="C461" i="6"/>
  <c r="C462" i="6" l="1"/>
  <c r="K242" i="6"/>
  <c r="AB242" i="6"/>
  <c r="Q241" i="6"/>
  <c r="U241" i="6" s="1"/>
  <c r="L457" i="6"/>
  <c r="F458" i="6"/>
  <c r="O457" i="6"/>
  <c r="F459" i="6" l="1"/>
  <c r="L458" i="6"/>
  <c r="O458" i="6"/>
  <c r="W241" i="6"/>
  <c r="AD241" i="6"/>
  <c r="AH241" i="6"/>
  <c r="P242" i="6"/>
  <c r="N242" i="6"/>
  <c r="R242" i="6" s="1"/>
  <c r="T242" i="6" s="1"/>
  <c r="Z242" i="6"/>
  <c r="M242" i="6"/>
  <c r="C463" i="6"/>
  <c r="C464" i="6" l="1"/>
  <c r="K243" i="6"/>
  <c r="AB243" i="6"/>
  <c r="Q242" i="6"/>
  <c r="U242" i="6" s="1"/>
  <c r="F460" i="6"/>
  <c r="L459" i="6"/>
  <c r="O459" i="6"/>
  <c r="S26" i="26" l="1"/>
  <c r="AC243" i="6"/>
  <c r="F461" i="6"/>
  <c r="L460" i="6"/>
  <c r="O460" i="6"/>
  <c r="AD242" i="6"/>
  <c r="AH242" i="6"/>
  <c r="W242" i="6"/>
  <c r="P243" i="6"/>
  <c r="N243" i="6"/>
  <c r="R243" i="6" s="1"/>
  <c r="E26" i="26"/>
  <c r="Z243" i="6"/>
  <c r="Q26" i="26" s="1"/>
  <c r="M243" i="6"/>
  <c r="C465" i="6"/>
  <c r="I26" i="26" l="1"/>
  <c r="L461" i="6"/>
  <c r="F462" i="6"/>
  <c r="O461" i="6"/>
  <c r="C466" i="6"/>
  <c r="Y243" i="6"/>
  <c r="T26" i="26"/>
  <c r="K244" i="6"/>
  <c r="AB244" i="6"/>
  <c r="G26" i="26"/>
  <c r="Q243" i="6"/>
  <c r="C467" i="6" l="1"/>
  <c r="P244" i="6"/>
  <c r="N244" i="6"/>
  <c r="R244" i="6" s="1"/>
  <c r="M244" i="6"/>
  <c r="Z244" i="6"/>
  <c r="F463" i="6"/>
  <c r="L462" i="6"/>
  <c r="O462" i="6"/>
  <c r="S243" i="6" a="1"/>
  <c r="S243" i="6" s="1"/>
  <c r="P26" i="26"/>
  <c r="H26" i="26"/>
  <c r="L463" i="6" l="1"/>
  <c r="F464" i="6"/>
  <c r="O463" i="6"/>
  <c r="J26" i="26"/>
  <c r="T243" i="6"/>
  <c r="K245" i="6"/>
  <c r="AB245" i="6"/>
  <c r="Q244" i="6"/>
  <c r="C468" i="6"/>
  <c r="C469" i="6" l="1"/>
  <c r="F465" i="6"/>
  <c r="L464" i="6"/>
  <c r="O464" i="6"/>
  <c r="P245" i="6"/>
  <c r="N245" i="6"/>
  <c r="R245" i="6" s="1"/>
  <c r="Z245" i="6"/>
  <c r="M245" i="6"/>
  <c r="T244" i="6"/>
  <c r="K26" i="26"/>
  <c r="U243" i="6"/>
  <c r="T245" i="6" l="1"/>
  <c r="U244" i="6"/>
  <c r="V243" i="6"/>
  <c r="AH243" i="6"/>
  <c r="AD243" i="6"/>
  <c r="U26" i="26" s="1"/>
  <c r="W243" i="6"/>
  <c r="N26" i="26" s="1"/>
  <c r="L26" i="26"/>
  <c r="L465" i="6"/>
  <c r="F466" i="6"/>
  <c r="O465" i="6"/>
  <c r="C470" i="6"/>
  <c r="K246" i="6"/>
  <c r="AB246" i="6"/>
  <c r="Q245" i="6"/>
  <c r="U245" i="6" l="1"/>
  <c r="W245" i="6" s="1"/>
  <c r="C471" i="6"/>
  <c r="P246" i="6"/>
  <c r="N246" i="6"/>
  <c r="R246" i="6" s="1"/>
  <c r="T246" i="6" s="1"/>
  <c r="Z246" i="6"/>
  <c r="M246" i="6"/>
  <c r="X243" i="6"/>
  <c r="O26" i="26" s="1"/>
  <c r="M26" i="26"/>
  <c r="AH244" i="6"/>
  <c r="AD244" i="6"/>
  <c r="W244" i="6"/>
  <c r="F467" i="6"/>
  <c r="L466" i="6"/>
  <c r="O466" i="6"/>
  <c r="AD245" i="6" l="1"/>
  <c r="AH245" i="6"/>
  <c r="F468" i="6"/>
  <c r="L467" i="6"/>
  <c r="O467" i="6"/>
  <c r="K247" i="6"/>
  <c r="AB247" i="6"/>
  <c r="Q246" i="6"/>
  <c r="U246" i="6" s="1"/>
  <c r="C472" i="6"/>
  <c r="P247" i="6" l="1"/>
  <c r="N247" i="6"/>
  <c r="R247" i="6" s="1"/>
  <c r="T247" i="6" s="1"/>
  <c r="Z247" i="6"/>
  <c r="M247" i="6"/>
  <c r="C473" i="6"/>
  <c r="AD246" i="6"/>
  <c r="W246" i="6"/>
  <c r="AH246" i="6"/>
  <c r="F469" i="6"/>
  <c r="L468" i="6"/>
  <c r="O468" i="6"/>
  <c r="C474" i="6" l="1"/>
  <c r="L469" i="6"/>
  <c r="F470" i="6"/>
  <c r="O469" i="6"/>
  <c r="K248" i="6"/>
  <c r="AB248" i="6"/>
  <c r="Q247" i="6"/>
  <c r="U247" i="6" s="1"/>
  <c r="F471" i="6" l="1"/>
  <c r="L470" i="6"/>
  <c r="O470" i="6"/>
  <c r="AH247" i="6"/>
  <c r="AD247" i="6"/>
  <c r="W247" i="6"/>
  <c r="C475" i="6"/>
  <c r="P248" i="6"/>
  <c r="N248" i="6"/>
  <c r="R248" i="6" s="1"/>
  <c r="T248" i="6" s="1"/>
  <c r="M248" i="6"/>
  <c r="Z248" i="6"/>
  <c r="K249" i="6" l="1"/>
  <c r="AB249" i="6"/>
  <c r="Q248" i="6"/>
  <c r="U248" i="6" s="1"/>
  <c r="C476" i="6"/>
  <c r="L471" i="6"/>
  <c r="F472" i="6"/>
  <c r="O471" i="6"/>
  <c r="F473" i="6" l="1"/>
  <c r="L472" i="6"/>
  <c r="O472" i="6"/>
  <c r="C477" i="6"/>
  <c r="W248" i="6"/>
  <c r="AH248" i="6"/>
  <c r="AD248" i="6"/>
  <c r="P249" i="6"/>
  <c r="N249" i="6"/>
  <c r="R249" i="6" s="1"/>
  <c r="T249" i="6" s="1"/>
  <c r="Z249" i="6"/>
  <c r="M249" i="6"/>
  <c r="C478" i="6" l="1"/>
  <c r="K250" i="6"/>
  <c r="AB250" i="6"/>
  <c r="Q249" i="6"/>
  <c r="U249" i="6" s="1"/>
  <c r="L473" i="6"/>
  <c r="F474" i="6"/>
  <c r="O473" i="6"/>
  <c r="F475" i="6" l="1"/>
  <c r="L474" i="6"/>
  <c r="O474" i="6"/>
  <c r="AH249" i="6"/>
  <c r="AD249" i="6"/>
  <c r="W249" i="6"/>
  <c r="P250" i="6"/>
  <c r="N250" i="6"/>
  <c r="R250" i="6" s="1"/>
  <c r="T250" i="6" s="1"/>
  <c r="Z250" i="6"/>
  <c r="M250" i="6"/>
  <c r="C479" i="6"/>
  <c r="C480" i="6" l="1"/>
  <c r="K251" i="6"/>
  <c r="AB251" i="6"/>
  <c r="Q250" i="6"/>
  <c r="U250" i="6" s="1"/>
  <c r="F476" i="6"/>
  <c r="L475" i="6"/>
  <c r="O475" i="6"/>
  <c r="F477" i="6" l="1"/>
  <c r="L476" i="6"/>
  <c r="O476" i="6"/>
  <c r="AD250" i="6"/>
  <c r="AH250" i="6"/>
  <c r="W250" i="6"/>
  <c r="P251" i="6"/>
  <c r="N251" i="6"/>
  <c r="R251" i="6" s="1"/>
  <c r="T251" i="6" s="1"/>
  <c r="Z251" i="6"/>
  <c r="M251" i="6"/>
  <c r="C481" i="6"/>
  <c r="C482" i="6" l="1"/>
  <c r="K252" i="6"/>
  <c r="AB252" i="6"/>
  <c r="Q251" i="6"/>
  <c r="U251" i="6" s="1"/>
  <c r="L477" i="6"/>
  <c r="F478" i="6"/>
  <c r="O477" i="6"/>
  <c r="F479" i="6" l="1"/>
  <c r="L478" i="6"/>
  <c r="O478" i="6"/>
  <c r="AD251" i="6"/>
  <c r="AH251" i="6"/>
  <c r="W251" i="6"/>
  <c r="P252" i="6"/>
  <c r="N252" i="6"/>
  <c r="R252" i="6" s="1"/>
  <c r="T252" i="6" s="1"/>
  <c r="M252" i="6"/>
  <c r="Z252" i="6"/>
  <c r="C483" i="6"/>
  <c r="C484" i="6" l="1"/>
  <c r="K253" i="6"/>
  <c r="AB253" i="6"/>
  <c r="Q252" i="6"/>
  <c r="U252" i="6" s="1"/>
  <c r="L479" i="6"/>
  <c r="F480" i="6"/>
  <c r="O479" i="6"/>
  <c r="F481" i="6" l="1"/>
  <c r="L480" i="6"/>
  <c r="O480" i="6"/>
  <c r="AH252" i="6"/>
  <c r="W252" i="6"/>
  <c r="AD252" i="6"/>
  <c r="P253" i="6"/>
  <c r="N253" i="6"/>
  <c r="R253" i="6" s="1"/>
  <c r="T253" i="6" s="1"/>
  <c r="Z253" i="6"/>
  <c r="M253" i="6"/>
  <c r="C485" i="6"/>
  <c r="C486" i="6" l="1"/>
  <c r="K254" i="6"/>
  <c r="AB254" i="6"/>
  <c r="Q253" i="6"/>
  <c r="U253" i="6" s="1"/>
  <c r="L481" i="6"/>
  <c r="F482" i="6"/>
  <c r="O481" i="6"/>
  <c r="F483" i="6" l="1"/>
  <c r="L482" i="6"/>
  <c r="O482" i="6"/>
  <c r="W253" i="6"/>
  <c r="AD253" i="6"/>
  <c r="AH253" i="6"/>
  <c r="P254" i="6"/>
  <c r="N254" i="6"/>
  <c r="R254" i="6" s="1"/>
  <c r="T254" i="6" s="1"/>
  <c r="Z254" i="6"/>
  <c r="M254" i="6"/>
  <c r="C487" i="6"/>
  <c r="C488" i="6" l="1"/>
  <c r="K255" i="6"/>
  <c r="AB255" i="6"/>
  <c r="Q254" i="6"/>
  <c r="U254" i="6" s="1"/>
  <c r="F484" i="6"/>
  <c r="L483" i="6"/>
  <c r="O483" i="6"/>
  <c r="S27" i="26" l="1"/>
  <c r="AC255" i="6"/>
  <c r="F485" i="6"/>
  <c r="L484" i="6"/>
  <c r="O484" i="6"/>
  <c r="AD254" i="6"/>
  <c r="W254" i="6"/>
  <c r="AH254" i="6"/>
  <c r="P255" i="6"/>
  <c r="N255" i="6"/>
  <c r="R255" i="6" s="1"/>
  <c r="E27" i="26"/>
  <c r="Z255" i="6"/>
  <c r="Q27" i="26" s="1"/>
  <c r="M255" i="6"/>
  <c r="C489" i="6"/>
  <c r="I27" i="26" l="1"/>
  <c r="K256" i="6"/>
  <c r="AB256" i="6"/>
  <c r="G27" i="26"/>
  <c r="Q255" i="6"/>
  <c r="L485" i="6"/>
  <c r="F486" i="6"/>
  <c r="O485" i="6"/>
  <c r="Y255" i="6"/>
  <c r="T27" i="26"/>
  <c r="C490" i="6"/>
  <c r="F487" i="6" l="1"/>
  <c r="L486" i="6"/>
  <c r="O486" i="6"/>
  <c r="C491" i="6"/>
  <c r="H27" i="26"/>
  <c r="P27" i="26"/>
  <c r="S255" i="6" a="1"/>
  <c r="S255" i="6" s="1"/>
  <c r="P256" i="6"/>
  <c r="N256" i="6"/>
  <c r="R256" i="6" s="1"/>
  <c r="Z256" i="6"/>
  <c r="M256" i="6"/>
  <c r="K257" i="6" l="1"/>
  <c r="AB257" i="6"/>
  <c r="Q256" i="6"/>
  <c r="J27" i="26"/>
  <c r="T255" i="6"/>
  <c r="C492" i="6"/>
  <c r="L487" i="6"/>
  <c r="F488" i="6"/>
  <c r="O487" i="6"/>
  <c r="K27" i="26" l="1"/>
  <c r="T256" i="6"/>
  <c r="U256" i="6" s="1"/>
  <c r="U255" i="6"/>
  <c r="C493" i="6"/>
  <c r="F489" i="6"/>
  <c r="L488" i="6"/>
  <c r="O488" i="6"/>
  <c r="P257" i="6"/>
  <c r="N257" i="6"/>
  <c r="R257" i="6" s="1"/>
  <c r="Z257" i="6"/>
  <c r="M257" i="6"/>
  <c r="AH256" i="6" l="1"/>
  <c r="W256" i="6"/>
  <c r="AD256" i="6"/>
  <c r="L489" i="6"/>
  <c r="F490" i="6"/>
  <c r="O489" i="6"/>
  <c r="K258" i="6"/>
  <c r="AB258" i="6"/>
  <c r="Q257" i="6"/>
  <c r="T257" i="6"/>
  <c r="C494" i="6"/>
  <c r="V255" i="6"/>
  <c r="AH255" i="6"/>
  <c r="AD255" i="6"/>
  <c r="U27" i="26" s="1"/>
  <c r="L27" i="26"/>
  <c r="W255" i="6"/>
  <c r="N27" i="26" s="1"/>
  <c r="X255" i="6" l="1"/>
  <c r="O27" i="26" s="1"/>
  <c r="M27" i="26"/>
  <c r="U257" i="6"/>
  <c r="C495" i="6"/>
  <c r="F491" i="6"/>
  <c r="L490" i="6"/>
  <c r="O490" i="6"/>
  <c r="P258" i="6"/>
  <c r="N258" i="6"/>
  <c r="R258" i="6" s="1"/>
  <c r="T258" i="6" s="1"/>
  <c r="M258" i="6"/>
  <c r="Z258" i="6"/>
  <c r="K259" i="6" l="1"/>
  <c r="AB259" i="6"/>
  <c r="Q258" i="6"/>
  <c r="U258" i="6" s="1"/>
  <c r="W257" i="6"/>
  <c r="AD257" i="6"/>
  <c r="AH257" i="6"/>
  <c r="F492" i="6"/>
  <c r="L491" i="6"/>
  <c r="O491" i="6"/>
  <c r="C496" i="6"/>
  <c r="W258" i="6" l="1"/>
  <c r="AD258" i="6"/>
  <c r="AH258" i="6"/>
  <c r="P259" i="6"/>
  <c r="N259" i="6"/>
  <c r="R259" i="6" s="1"/>
  <c r="T259" i="6" s="1"/>
  <c r="Z259" i="6"/>
  <c r="M259" i="6"/>
  <c r="F493" i="6"/>
  <c r="L492" i="6"/>
  <c r="O492" i="6"/>
  <c r="C497" i="6"/>
  <c r="C498" i="6" l="1"/>
  <c r="L493" i="6"/>
  <c r="F494" i="6"/>
  <c r="O493" i="6"/>
  <c r="K260" i="6"/>
  <c r="AB260" i="6"/>
  <c r="Q259" i="6"/>
  <c r="U259" i="6" s="1"/>
  <c r="P260" i="6" l="1"/>
  <c r="N260" i="6"/>
  <c r="R260" i="6" s="1"/>
  <c r="T260" i="6" s="1"/>
  <c r="Z260" i="6"/>
  <c r="M260" i="6"/>
  <c r="F495" i="6"/>
  <c r="L494" i="6"/>
  <c r="O494" i="6"/>
  <c r="W259" i="6"/>
  <c r="AD259" i="6"/>
  <c r="AH259" i="6"/>
  <c r="C499" i="6"/>
  <c r="C500" i="6" l="1"/>
  <c r="L495" i="6"/>
  <c r="F496" i="6"/>
  <c r="O495" i="6"/>
  <c r="K261" i="6"/>
  <c r="AB261" i="6"/>
  <c r="Q260" i="6"/>
  <c r="U260" i="6" s="1"/>
  <c r="F497" i="6" l="1"/>
  <c r="L496" i="6"/>
  <c r="O496" i="6"/>
  <c r="AH260" i="6"/>
  <c r="AD260" i="6"/>
  <c r="W260" i="6"/>
  <c r="P261" i="6"/>
  <c r="N261" i="6"/>
  <c r="R261" i="6" s="1"/>
  <c r="T261" i="6" s="1"/>
  <c r="Z261" i="6"/>
  <c r="M261" i="6"/>
  <c r="C501" i="6"/>
  <c r="C502" i="6" l="1"/>
  <c r="K262" i="6"/>
  <c r="AB262" i="6"/>
  <c r="Q261" i="6"/>
  <c r="U261" i="6" s="1"/>
  <c r="L497" i="6"/>
  <c r="F498" i="6"/>
  <c r="O497" i="6"/>
  <c r="F499" i="6" l="1"/>
  <c r="L498" i="6"/>
  <c r="O498" i="6"/>
  <c r="AD261" i="6"/>
  <c r="AH261" i="6"/>
  <c r="W261" i="6"/>
  <c r="P262" i="6"/>
  <c r="N262" i="6"/>
  <c r="R262" i="6" s="1"/>
  <c r="T262" i="6" s="1"/>
  <c r="Z262" i="6"/>
  <c r="M262" i="6"/>
  <c r="C503" i="6"/>
  <c r="C504" i="6" l="1"/>
  <c r="K263" i="6"/>
  <c r="AB263" i="6"/>
  <c r="Q262" i="6"/>
  <c r="U262" i="6" s="1"/>
  <c r="F500" i="6"/>
  <c r="L499" i="6"/>
  <c r="O499" i="6"/>
  <c r="L500" i="6" l="1"/>
  <c r="F501" i="6"/>
  <c r="O500" i="6"/>
  <c r="W262" i="6"/>
  <c r="AD262" i="6"/>
  <c r="AH262" i="6"/>
  <c r="P263" i="6"/>
  <c r="N263" i="6"/>
  <c r="R263" i="6" s="1"/>
  <c r="T263" i="6" s="1"/>
  <c r="Z263" i="6"/>
  <c r="M263" i="6"/>
  <c r="C505" i="6"/>
  <c r="L501" i="6" l="1"/>
  <c r="F502" i="6"/>
  <c r="O501" i="6"/>
  <c r="C506" i="6"/>
  <c r="K264" i="6"/>
  <c r="AB264" i="6"/>
  <c r="Q263" i="6"/>
  <c r="U263" i="6" s="1"/>
  <c r="C507" i="6" l="1"/>
  <c r="AH263" i="6"/>
  <c r="W263" i="6"/>
  <c r="AD263" i="6"/>
  <c r="F503" i="6"/>
  <c r="L502" i="6"/>
  <c r="O502" i="6"/>
  <c r="P264" i="6"/>
  <c r="N264" i="6"/>
  <c r="R264" i="6" s="1"/>
  <c r="T264" i="6" s="1"/>
  <c r="Z264" i="6"/>
  <c r="M264" i="6"/>
  <c r="L503" i="6" l="1"/>
  <c r="F504" i="6"/>
  <c r="O503" i="6"/>
  <c r="K265" i="6"/>
  <c r="AB265" i="6"/>
  <c r="Q264" i="6"/>
  <c r="U264" i="6" s="1"/>
  <c r="AH264" i="6" l="1"/>
  <c r="W264" i="6"/>
  <c r="AD264" i="6"/>
  <c r="P265" i="6"/>
  <c r="N265" i="6"/>
  <c r="R265" i="6" s="1"/>
  <c r="T265" i="6" s="1"/>
  <c r="Z265" i="6"/>
  <c r="M265" i="6"/>
  <c r="F505" i="6"/>
  <c r="L504" i="6"/>
  <c r="O504" i="6"/>
  <c r="L505" i="6" l="1"/>
  <c r="F506" i="6"/>
  <c r="O505" i="6"/>
  <c r="K266" i="6"/>
  <c r="AB266" i="6"/>
  <c r="Q265" i="6"/>
  <c r="U265" i="6" s="1"/>
  <c r="W265" i="6" l="1"/>
  <c r="AH265" i="6"/>
  <c r="AD265" i="6"/>
  <c r="P266" i="6"/>
  <c r="N266" i="6"/>
  <c r="R266" i="6" s="1"/>
  <c r="T266" i="6" s="1"/>
  <c r="M266" i="6"/>
  <c r="Z266" i="6"/>
  <c r="F507" i="6"/>
  <c r="L506" i="6"/>
  <c r="O506" i="6"/>
  <c r="L507" i="6" l="1"/>
  <c r="O507" i="6"/>
  <c r="K267" i="6"/>
  <c r="AB267" i="6"/>
  <c r="Q266" i="6"/>
  <c r="U266" i="6" s="1"/>
  <c r="S28" i="26" l="1"/>
  <c r="AC267" i="6"/>
  <c r="AD266" i="6"/>
  <c r="AH266" i="6"/>
  <c r="W266" i="6"/>
  <c r="P267" i="6"/>
  <c r="N267" i="6"/>
  <c r="E28" i="26"/>
  <c r="M267" i="6"/>
  <c r="Z267" i="6"/>
  <c r="Q28" i="26" s="1"/>
  <c r="K268" i="6" l="1"/>
  <c r="G28" i="26"/>
  <c r="AB268" i="6"/>
  <c r="Q267" i="6"/>
  <c r="Y267" i="6"/>
  <c r="T28" i="26"/>
  <c r="R267" i="6"/>
  <c r="W41" i="16"/>
  <c r="I28" i="26" l="1"/>
  <c r="S267" i="6" a="1"/>
  <c r="S267" i="6" s="1"/>
  <c r="J28" i="26" s="1"/>
  <c r="P28" i="26"/>
  <c r="H28" i="26"/>
  <c r="W42" i="16"/>
  <c r="P268" i="6"/>
  <c r="N268" i="6"/>
  <c r="R268" i="6" s="1"/>
  <c r="M268" i="6"/>
  <c r="Z268" i="6"/>
  <c r="T267" i="6" l="1"/>
  <c r="K269" i="6"/>
  <c r="AB269" i="6"/>
  <c r="Q268" i="6"/>
  <c r="P269" i="6" l="1"/>
  <c r="N269" i="6"/>
  <c r="R269" i="6" s="1"/>
  <c r="Z269" i="6"/>
  <c r="M269" i="6"/>
  <c r="K28" i="26"/>
  <c r="W43" i="16"/>
  <c r="T268" i="6"/>
  <c r="U267" i="6"/>
  <c r="K270" i="6" l="1"/>
  <c r="AB270" i="6"/>
  <c r="Q269" i="6"/>
  <c r="L28" i="26"/>
  <c r="AH267" i="6"/>
  <c r="W267" i="6"/>
  <c r="AD267" i="6"/>
  <c r="U28" i="26" s="1"/>
  <c r="V267" i="6"/>
  <c r="W44" i="16"/>
  <c r="T269" i="6"/>
  <c r="U268" i="6"/>
  <c r="U269" i="6" l="1"/>
  <c r="AH269" i="6" s="1"/>
  <c r="M28" i="26"/>
  <c r="X267" i="6"/>
  <c r="O28" i="26" s="1"/>
  <c r="N28" i="26"/>
  <c r="W45" i="16"/>
  <c r="AH268" i="6"/>
  <c r="AD268" i="6"/>
  <c r="W268" i="6"/>
  <c r="W269" i="6"/>
  <c r="P270" i="6"/>
  <c r="N270" i="6"/>
  <c r="R270" i="6" s="1"/>
  <c r="T270" i="6" s="1"/>
  <c r="Z270" i="6"/>
  <c r="M270" i="6"/>
  <c r="AD269" i="6" l="1"/>
  <c r="K271" i="6"/>
  <c r="AB271" i="6"/>
  <c r="Q270" i="6"/>
  <c r="U270" i="6" s="1"/>
  <c r="AD270" i="6" l="1"/>
  <c r="AH270" i="6"/>
  <c r="W270" i="6"/>
  <c r="P271" i="6"/>
  <c r="N271" i="6"/>
  <c r="R271" i="6" s="1"/>
  <c r="T271" i="6" s="1"/>
  <c r="Z271" i="6"/>
  <c r="M271" i="6"/>
  <c r="K272" i="6" l="1"/>
  <c r="AB272" i="6"/>
  <c r="Q271" i="6"/>
  <c r="U271" i="6" s="1"/>
  <c r="AD271" i="6" l="1"/>
  <c r="W271" i="6"/>
  <c r="AH271" i="6"/>
  <c r="P272" i="6"/>
  <c r="N272" i="6"/>
  <c r="R272" i="6" s="1"/>
  <c r="T272" i="6" s="1"/>
  <c r="Z272" i="6"/>
  <c r="M272" i="6"/>
  <c r="K273" i="6" l="1"/>
  <c r="AB273" i="6"/>
  <c r="Q272" i="6"/>
  <c r="U272" i="6" s="1"/>
  <c r="AD272" i="6" l="1"/>
  <c r="W272" i="6"/>
  <c r="AH272" i="6"/>
  <c r="P273" i="6"/>
  <c r="N273" i="6"/>
  <c r="R273" i="6" s="1"/>
  <c r="T273" i="6" s="1"/>
  <c r="M273" i="6"/>
  <c r="Z273" i="6"/>
  <c r="K274" i="6" l="1"/>
  <c r="AB274" i="6"/>
  <c r="Q273" i="6"/>
  <c r="U273" i="6" s="1"/>
  <c r="AH273" i="6" l="1"/>
  <c r="W273" i="6"/>
  <c r="AD273" i="6"/>
  <c r="P274" i="6"/>
  <c r="N274" i="6"/>
  <c r="R274" i="6" s="1"/>
  <c r="T274" i="6" s="1"/>
  <c r="Z274" i="6"/>
  <c r="M274" i="6"/>
  <c r="K275" i="6" l="1"/>
  <c r="AB275" i="6"/>
  <c r="Q274" i="6"/>
  <c r="U274" i="6" s="1"/>
  <c r="W274" i="6" l="1"/>
  <c r="AD274" i="6"/>
  <c r="AH274" i="6"/>
  <c r="P275" i="6"/>
  <c r="N275" i="6"/>
  <c r="R275" i="6" s="1"/>
  <c r="T275" i="6" s="1"/>
  <c r="Z275" i="6"/>
  <c r="M275" i="6"/>
  <c r="K276" i="6" l="1"/>
  <c r="AB276" i="6"/>
  <c r="Q275" i="6"/>
  <c r="U275" i="6" s="1"/>
  <c r="AH275" i="6" l="1"/>
  <c r="W275" i="6"/>
  <c r="AD275" i="6"/>
  <c r="P276" i="6"/>
  <c r="N276" i="6"/>
  <c r="R276" i="6" s="1"/>
  <c r="T276" i="6" s="1"/>
  <c r="M276" i="6"/>
  <c r="Z276" i="6"/>
  <c r="K277" i="6" l="1"/>
  <c r="AB277" i="6"/>
  <c r="Q276" i="6"/>
  <c r="U276" i="6" s="1"/>
  <c r="W276" i="6" l="1"/>
  <c r="AH276" i="6"/>
  <c r="AD276" i="6"/>
  <c r="P277" i="6"/>
  <c r="N277" i="6"/>
  <c r="R277" i="6" s="1"/>
  <c r="T277" i="6" s="1"/>
  <c r="Z277" i="6"/>
  <c r="M277" i="6"/>
  <c r="K278" i="6" l="1"/>
  <c r="AB278" i="6"/>
  <c r="Q277" i="6"/>
  <c r="U277" i="6" s="1"/>
  <c r="AH277" i="6" l="1"/>
  <c r="W277" i="6"/>
  <c r="AD277" i="6"/>
  <c r="P278" i="6"/>
  <c r="N278" i="6"/>
  <c r="R278" i="6" s="1"/>
  <c r="T278" i="6" s="1"/>
  <c r="Z278" i="6"/>
  <c r="M278" i="6"/>
  <c r="K279" i="6" l="1"/>
  <c r="AB279" i="6"/>
  <c r="Q278" i="6"/>
  <c r="U278" i="6" s="1"/>
  <c r="S29" i="26" l="1"/>
  <c r="AC279" i="6"/>
  <c r="AH278" i="6"/>
  <c r="AD278" i="6"/>
  <c r="W278" i="6"/>
  <c r="P279" i="6"/>
  <c r="N279" i="6"/>
  <c r="R279" i="6" s="1"/>
  <c r="E29" i="26"/>
  <c r="Z279" i="6"/>
  <c r="Q29" i="26" s="1"/>
  <c r="M279" i="6"/>
  <c r="I29" i="26" l="1"/>
  <c r="Y279" i="6"/>
  <c r="T29" i="26"/>
  <c r="K280" i="6"/>
  <c r="AB280" i="6"/>
  <c r="G29" i="26"/>
  <c r="Q279" i="6"/>
  <c r="P280" i="6" l="1"/>
  <c r="N280" i="6"/>
  <c r="R280" i="6" s="1"/>
  <c r="Z280" i="6"/>
  <c r="M280" i="6"/>
  <c r="H29" i="26"/>
  <c r="S279" i="6" a="1"/>
  <c r="S279" i="6" s="1"/>
  <c r="P29" i="26"/>
  <c r="J29" i="26" l="1"/>
  <c r="T279" i="6"/>
  <c r="K281" i="6"/>
  <c r="AB281" i="6"/>
  <c r="Q280" i="6"/>
  <c r="P281" i="6" l="1"/>
  <c r="N281" i="6"/>
  <c r="R281" i="6" s="1"/>
  <c r="Z281" i="6"/>
  <c r="M281" i="6"/>
  <c r="K29" i="26"/>
  <c r="T280" i="6"/>
  <c r="U279" i="6"/>
  <c r="T281" i="6" l="1"/>
  <c r="K282" i="6"/>
  <c r="AB282" i="6"/>
  <c r="Q281" i="6"/>
  <c r="AH279" i="6"/>
  <c r="V279" i="6"/>
  <c r="L29" i="26"/>
  <c r="AD279" i="6"/>
  <c r="U29" i="26" s="1"/>
  <c r="W279" i="6"/>
  <c r="N29" i="26" s="1"/>
  <c r="U280" i="6"/>
  <c r="U281" i="6" l="1"/>
  <c r="AD281" i="6" s="1"/>
  <c r="X279" i="6"/>
  <c r="O29" i="26" s="1"/>
  <c r="M29" i="26"/>
  <c r="AH280" i="6"/>
  <c r="AD280" i="6"/>
  <c r="W280" i="6"/>
  <c r="P282" i="6"/>
  <c r="N282" i="6"/>
  <c r="R282" i="6" s="1"/>
  <c r="T282" i="6" s="1"/>
  <c r="M282" i="6"/>
  <c r="Z282" i="6"/>
  <c r="W281" i="6" l="1"/>
  <c r="AH281" i="6"/>
  <c r="K283" i="6"/>
  <c r="AB283" i="6"/>
  <c r="Q282" i="6"/>
  <c r="U282" i="6" s="1"/>
  <c r="W282" i="6" l="1"/>
  <c r="AH282" i="6"/>
  <c r="AD282" i="6"/>
  <c r="P283" i="6"/>
  <c r="N283" i="6"/>
  <c r="R283" i="6" s="1"/>
  <c r="T283" i="6" s="1"/>
  <c r="M283" i="6"/>
  <c r="Z283" i="6"/>
  <c r="K284" i="6" l="1"/>
  <c r="AB284" i="6"/>
  <c r="Q283" i="6"/>
  <c r="U283" i="6" s="1"/>
  <c r="AD283" i="6" l="1"/>
  <c r="W283" i="6"/>
  <c r="AH283" i="6"/>
  <c r="P284" i="6"/>
  <c r="N284" i="6"/>
  <c r="R284" i="6" s="1"/>
  <c r="T284" i="6" s="1"/>
  <c r="Z284" i="6"/>
  <c r="M284" i="6"/>
  <c r="K285" i="6" l="1"/>
  <c r="AB285" i="6"/>
  <c r="Q284" i="6"/>
  <c r="U284" i="6" s="1"/>
  <c r="W284" i="6" l="1"/>
  <c r="AH284" i="6"/>
  <c r="AD284" i="6"/>
  <c r="P285" i="6"/>
  <c r="N285" i="6"/>
  <c r="R285" i="6" s="1"/>
  <c r="T285" i="6" s="1"/>
  <c r="Z285" i="6"/>
  <c r="M285" i="6"/>
  <c r="K286" i="6" l="1"/>
  <c r="AB286" i="6"/>
  <c r="Q285" i="6"/>
  <c r="U285" i="6" s="1"/>
  <c r="W285" i="6" l="1"/>
  <c r="AH285" i="6"/>
  <c r="AD285" i="6"/>
  <c r="P286" i="6"/>
  <c r="N286" i="6"/>
  <c r="R286" i="6" s="1"/>
  <c r="T286" i="6" s="1"/>
  <c r="M286" i="6"/>
  <c r="Z286" i="6"/>
  <c r="K287" i="6" l="1"/>
  <c r="AB287" i="6"/>
  <c r="Q286" i="6"/>
  <c r="U286" i="6" s="1"/>
  <c r="AD286" i="6" l="1"/>
  <c r="W286" i="6"/>
  <c r="AH286" i="6"/>
  <c r="P287" i="6"/>
  <c r="N287" i="6"/>
  <c r="R287" i="6" s="1"/>
  <c r="T287" i="6" s="1"/>
  <c r="Z287" i="6"/>
  <c r="M287" i="6"/>
  <c r="K288" i="6" l="1"/>
  <c r="AB288" i="6"/>
  <c r="Q287" i="6"/>
  <c r="U287" i="6" s="1"/>
  <c r="W287" i="6" l="1"/>
  <c r="AD287" i="6"/>
  <c r="AH287" i="6"/>
  <c r="P288" i="6"/>
  <c r="N288" i="6"/>
  <c r="R288" i="6" s="1"/>
  <c r="T288" i="6" s="1"/>
  <c r="M288" i="6"/>
  <c r="Z288" i="6"/>
  <c r="K289" i="6" l="1"/>
  <c r="AB289" i="6"/>
  <c r="Q288" i="6"/>
  <c r="U288" i="6" s="1"/>
  <c r="AD288" i="6" l="1"/>
  <c r="AH288" i="6"/>
  <c r="W288" i="6"/>
  <c r="P289" i="6"/>
  <c r="N289" i="6"/>
  <c r="R289" i="6" s="1"/>
  <c r="T289" i="6" s="1"/>
  <c r="Z289" i="6"/>
  <c r="M289" i="6"/>
  <c r="K290" i="6" l="1"/>
  <c r="AB290" i="6"/>
  <c r="Q289" i="6"/>
  <c r="U289" i="6" s="1"/>
  <c r="W289" i="6" l="1"/>
  <c r="AH289" i="6"/>
  <c r="AD289" i="6"/>
  <c r="P290" i="6"/>
  <c r="N290" i="6"/>
  <c r="R290" i="6" s="1"/>
  <c r="T290" i="6" s="1"/>
  <c r="Z290" i="6"/>
  <c r="M290" i="6"/>
  <c r="K291" i="6" l="1"/>
  <c r="AB291" i="6"/>
  <c r="Q290" i="6"/>
  <c r="U290" i="6" s="1"/>
  <c r="AH290" i="6" l="1"/>
  <c r="AD290" i="6"/>
  <c r="W290" i="6"/>
  <c r="S30" i="26"/>
  <c r="AC291" i="6"/>
  <c r="P291" i="6"/>
  <c r="N291" i="6"/>
  <c r="R291" i="6" s="1"/>
  <c r="E30" i="26"/>
  <c r="Z291" i="6"/>
  <c r="Q30" i="26" s="1"/>
  <c r="M291" i="6"/>
  <c r="K292" i="6" l="1"/>
  <c r="AB292" i="6"/>
  <c r="G30" i="26"/>
  <c r="Q291" i="6"/>
  <c r="I30" i="26"/>
  <c r="Y291" i="6"/>
  <c r="T30" i="26"/>
  <c r="H30" i="26" l="1"/>
  <c r="S291" i="6" a="1"/>
  <c r="S291" i="6" s="1"/>
  <c r="P30" i="26"/>
  <c r="P292" i="6"/>
  <c r="N292" i="6"/>
  <c r="R292" i="6" s="1"/>
  <c r="Z292" i="6"/>
  <c r="M292" i="6"/>
  <c r="K293" i="6" l="1"/>
  <c r="AB293" i="6"/>
  <c r="Q292" i="6"/>
  <c r="J30" i="26"/>
  <c r="T291" i="6"/>
  <c r="T292" i="6" l="1"/>
  <c r="K30" i="26"/>
  <c r="U291" i="6"/>
  <c r="P293" i="6"/>
  <c r="N293" i="6"/>
  <c r="R293" i="6" s="1"/>
  <c r="Z293" i="6"/>
  <c r="M293" i="6"/>
  <c r="K294" i="6" l="1"/>
  <c r="AB294" i="6"/>
  <c r="Q293" i="6"/>
  <c r="V291" i="6"/>
  <c r="AD291" i="6"/>
  <c r="U30" i="26" s="1"/>
  <c r="AH291" i="6"/>
  <c r="L30" i="26"/>
  <c r="W291" i="6"/>
  <c r="N30" i="26" s="1"/>
  <c r="T293" i="6"/>
  <c r="U292" i="6"/>
  <c r="U293" i="6" l="1"/>
  <c r="AD293" i="6" s="1"/>
  <c r="X291" i="6"/>
  <c r="O30" i="26" s="1"/>
  <c r="M30" i="26"/>
  <c r="AD292" i="6"/>
  <c r="W292" i="6"/>
  <c r="AH292" i="6"/>
  <c r="P294" i="6"/>
  <c r="N294" i="6"/>
  <c r="R294" i="6" s="1"/>
  <c r="T294" i="6" s="1"/>
  <c r="Z294" i="6"/>
  <c r="M294" i="6"/>
  <c r="W293" i="6" l="1"/>
  <c r="AH293" i="6"/>
  <c r="K295" i="6"/>
  <c r="AB295" i="6"/>
  <c r="Q294" i="6"/>
  <c r="U294" i="6" s="1"/>
  <c r="AD294" i="6" l="1"/>
  <c r="AH294" i="6"/>
  <c r="W294" i="6"/>
  <c r="P295" i="6"/>
  <c r="N295" i="6"/>
  <c r="R295" i="6" s="1"/>
  <c r="T295" i="6" s="1"/>
  <c r="Z295" i="6"/>
  <c r="M295" i="6"/>
  <c r="K296" i="6" l="1"/>
  <c r="AB296" i="6"/>
  <c r="Q295" i="6"/>
  <c r="U295" i="6" s="1"/>
  <c r="AH295" i="6" l="1"/>
  <c r="AD295" i="6"/>
  <c r="W295" i="6"/>
  <c r="P296" i="6"/>
  <c r="N296" i="6"/>
  <c r="R296" i="6" s="1"/>
  <c r="T296" i="6" s="1"/>
  <c r="Z296" i="6"/>
  <c r="M296" i="6"/>
  <c r="K297" i="6" l="1"/>
  <c r="AB297" i="6"/>
  <c r="Q296" i="6"/>
  <c r="U296" i="6" s="1"/>
  <c r="W296" i="6" l="1"/>
  <c r="AH296" i="6"/>
  <c r="AD296" i="6"/>
  <c r="P297" i="6"/>
  <c r="N297" i="6"/>
  <c r="R297" i="6" s="1"/>
  <c r="T297" i="6" s="1"/>
  <c r="M297" i="6"/>
  <c r="Z297" i="6"/>
  <c r="K298" i="6" l="1"/>
  <c r="AB298" i="6"/>
  <c r="Q297" i="6"/>
  <c r="U297" i="6" s="1"/>
  <c r="AD297" i="6" l="1"/>
  <c r="W297" i="6"/>
  <c r="AH297" i="6"/>
  <c r="N298" i="6"/>
  <c r="R298" i="6" s="1"/>
  <c r="T298" i="6" s="1"/>
  <c r="P298" i="6"/>
  <c r="Z298" i="6"/>
  <c r="M298" i="6"/>
  <c r="K299" i="6" l="1"/>
  <c r="AB299" i="6"/>
  <c r="Q298" i="6"/>
  <c r="U298" i="6" s="1"/>
  <c r="AH298" i="6" l="1"/>
  <c r="AD298" i="6"/>
  <c r="W298" i="6"/>
  <c r="P299" i="6"/>
  <c r="N299" i="6"/>
  <c r="R299" i="6" s="1"/>
  <c r="T299" i="6" s="1"/>
  <c r="Z299" i="6"/>
  <c r="M299" i="6"/>
  <c r="K300" i="6" l="1"/>
  <c r="AB300" i="6"/>
  <c r="Q299" i="6"/>
  <c r="U299" i="6" s="1"/>
  <c r="AD299" i="6" l="1"/>
  <c r="W299" i="6"/>
  <c r="AH299" i="6"/>
  <c r="P300" i="6"/>
  <c r="N300" i="6"/>
  <c r="R300" i="6" s="1"/>
  <c r="T300" i="6" s="1"/>
  <c r="M300" i="6"/>
  <c r="Z300" i="6"/>
  <c r="K301" i="6" l="1"/>
  <c r="AB301" i="6"/>
  <c r="Q300" i="6"/>
  <c r="U300" i="6" s="1"/>
  <c r="W300" i="6" l="1"/>
  <c r="AH300" i="6"/>
  <c r="AD300" i="6"/>
  <c r="P301" i="6"/>
  <c r="N301" i="6"/>
  <c r="R301" i="6" s="1"/>
  <c r="T301" i="6" s="1"/>
  <c r="M301" i="6"/>
  <c r="Z301" i="6"/>
  <c r="K302" i="6" l="1"/>
  <c r="AB302" i="6"/>
  <c r="Q301" i="6"/>
  <c r="U301" i="6" s="1"/>
  <c r="W301" i="6" l="1"/>
  <c r="AH301" i="6"/>
  <c r="AD301" i="6"/>
  <c r="P302" i="6"/>
  <c r="N302" i="6"/>
  <c r="R302" i="6" s="1"/>
  <c r="T302" i="6" s="1"/>
  <c r="Z302" i="6"/>
  <c r="M302" i="6"/>
  <c r="K303" i="6" l="1"/>
  <c r="AB303" i="6"/>
  <c r="Q302" i="6"/>
  <c r="U302" i="6" s="1"/>
  <c r="W302" i="6" l="1"/>
  <c r="AH302" i="6"/>
  <c r="AD302" i="6"/>
  <c r="S31" i="26"/>
  <c r="AC303" i="6"/>
  <c r="P303" i="6"/>
  <c r="N303" i="6"/>
  <c r="R303" i="6" s="1"/>
  <c r="E31" i="26"/>
  <c r="Z303" i="6"/>
  <c r="Q31" i="26" s="1"/>
  <c r="M303" i="6"/>
  <c r="Y303" i="6" l="1"/>
  <c r="T31" i="26"/>
  <c r="I31" i="26"/>
  <c r="K304" i="6"/>
  <c r="AB304" i="6"/>
  <c r="G31" i="26"/>
  <c r="Q303" i="6"/>
  <c r="P304" i="6" l="1"/>
  <c r="N304" i="6"/>
  <c r="R304" i="6" s="1"/>
  <c r="Z304" i="6"/>
  <c r="M304" i="6"/>
  <c r="H31" i="26"/>
  <c r="S303" i="6" a="1"/>
  <c r="S303" i="6" s="1"/>
  <c r="P31" i="26"/>
  <c r="J31" i="26" l="1"/>
  <c r="T303" i="6"/>
  <c r="K305" i="6"/>
  <c r="AB305" i="6"/>
  <c r="Q304" i="6"/>
  <c r="P305" i="6" l="1"/>
  <c r="N305" i="6"/>
  <c r="R305" i="6" s="1"/>
  <c r="Z305" i="6"/>
  <c r="M305" i="6"/>
  <c r="T304" i="6"/>
  <c r="K31" i="26"/>
  <c r="U303" i="6"/>
  <c r="T305" i="6" l="1"/>
  <c r="U304" i="6"/>
  <c r="K306" i="6"/>
  <c r="AB306" i="6"/>
  <c r="Q305" i="6"/>
  <c r="L31" i="26"/>
  <c r="V303" i="6"/>
  <c r="AD303" i="6"/>
  <c r="U31" i="26" s="1"/>
  <c r="AH303" i="6"/>
  <c r="W303" i="6"/>
  <c r="N31" i="26" s="1"/>
  <c r="U305" i="6" l="1"/>
  <c r="AH305" i="6" s="1"/>
  <c r="X303" i="6"/>
  <c r="O31" i="26" s="1"/>
  <c r="M31" i="26"/>
  <c r="P306" i="6"/>
  <c r="N306" i="6"/>
  <c r="R306" i="6" s="1"/>
  <c r="T306" i="6" s="1"/>
  <c r="M306" i="6"/>
  <c r="Z306" i="6"/>
  <c r="W304" i="6"/>
  <c r="AD304" i="6"/>
  <c r="AH304" i="6"/>
  <c r="AD305" i="6" l="1"/>
  <c r="W305" i="6"/>
  <c r="K307" i="6"/>
  <c r="AB307" i="6"/>
  <c r="Q306" i="6"/>
  <c r="U306" i="6" s="1"/>
  <c r="AH306" i="6" l="1"/>
  <c r="AD306" i="6"/>
  <c r="W306" i="6"/>
  <c r="P307" i="6"/>
  <c r="N307" i="6"/>
  <c r="R307" i="6" s="1"/>
  <c r="T307" i="6" s="1"/>
  <c r="Z307" i="6"/>
  <c r="M307" i="6"/>
  <c r="K308" i="6" l="1"/>
  <c r="AB308" i="6"/>
  <c r="Q307" i="6"/>
  <c r="U307" i="6" s="1"/>
  <c r="AD307" i="6" l="1"/>
  <c r="W307" i="6"/>
  <c r="AH307" i="6"/>
  <c r="P308" i="6"/>
  <c r="N308" i="6"/>
  <c r="R308" i="6" s="1"/>
  <c r="T308" i="6" s="1"/>
  <c r="Z308" i="6"/>
  <c r="M308" i="6"/>
  <c r="K309" i="6" l="1"/>
  <c r="AB309" i="6"/>
  <c r="Q308" i="6"/>
  <c r="U308" i="6" s="1"/>
  <c r="AH308" i="6" l="1"/>
  <c r="AD308" i="6"/>
  <c r="W308" i="6"/>
  <c r="P309" i="6"/>
  <c r="N309" i="6"/>
  <c r="R309" i="6" s="1"/>
  <c r="T309" i="6" s="1"/>
  <c r="M309" i="6"/>
  <c r="Z309" i="6"/>
  <c r="K310" i="6" l="1"/>
  <c r="AB310" i="6"/>
  <c r="Q309" i="6"/>
  <c r="U309" i="6" s="1"/>
  <c r="AH309" i="6" l="1"/>
  <c r="W309" i="6"/>
  <c r="AD309" i="6"/>
  <c r="P310" i="6"/>
  <c r="N310" i="6"/>
  <c r="R310" i="6" s="1"/>
  <c r="T310" i="6" s="1"/>
  <c r="Z310" i="6"/>
  <c r="M310" i="6"/>
  <c r="K311" i="6" l="1"/>
  <c r="AB311" i="6"/>
  <c r="Q310" i="6"/>
  <c r="U310" i="6" s="1"/>
  <c r="W310" i="6" l="1"/>
  <c r="AD310" i="6"/>
  <c r="AH310" i="6"/>
  <c r="P311" i="6"/>
  <c r="N311" i="6"/>
  <c r="R311" i="6" s="1"/>
  <c r="T311" i="6" s="1"/>
  <c r="Z311" i="6"/>
  <c r="M311" i="6"/>
  <c r="K312" i="6" l="1"/>
  <c r="AB312" i="6"/>
  <c r="Q311" i="6"/>
  <c r="U311" i="6" s="1"/>
  <c r="AH311" i="6" l="1"/>
  <c r="W311" i="6"/>
  <c r="AD311" i="6"/>
  <c r="P312" i="6"/>
  <c r="N312" i="6"/>
  <c r="R312" i="6" s="1"/>
  <c r="T312" i="6" s="1"/>
  <c r="M312" i="6"/>
  <c r="Z312" i="6"/>
  <c r="K313" i="6" l="1"/>
  <c r="AB313" i="6"/>
  <c r="Q312" i="6"/>
  <c r="U312" i="6" s="1"/>
  <c r="AD312" i="6" l="1"/>
  <c r="AH312" i="6"/>
  <c r="W312" i="6"/>
  <c r="P313" i="6"/>
  <c r="N313" i="6"/>
  <c r="R313" i="6" s="1"/>
  <c r="T313" i="6" s="1"/>
  <c r="Z313" i="6"/>
  <c r="M313" i="6"/>
  <c r="K314" i="6" l="1"/>
  <c r="AB314" i="6"/>
  <c r="Q313" i="6"/>
  <c r="U313" i="6" s="1"/>
  <c r="W313" i="6" l="1"/>
  <c r="AD313" i="6"/>
  <c r="AH313" i="6"/>
  <c r="P314" i="6"/>
  <c r="N314" i="6"/>
  <c r="R314" i="6" s="1"/>
  <c r="T314" i="6" s="1"/>
  <c r="Z314" i="6"/>
  <c r="M314" i="6"/>
  <c r="K315" i="6" l="1"/>
  <c r="AB315" i="6"/>
  <c r="Q314" i="6"/>
  <c r="U314" i="6" s="1"/>
  <c r="AD314" i="6" l="1"/>
  <c r="AH314" i="6"/>
  <c r="W314" i="6"/>
  <c r="S32" i="26"/>
  <c r="AC315" i="6"/>
  <c r="P315" i="6"/>
  <c r="N315" i="6"/>
  <c r="R315" i="6" s="1"/>
  <c r="E32" i="26"/>
  <c r="Z315" i="6"/>
  <c r="Q32" i="26" s="1"/>
  <c r="M315" i="6"/>
  <c r="I32" i="26" l="1"/>
  <c r="Y315" i="6"/>
  <c r="T32" i="26"/>
  <c r="K316" i="6"/>
  <c r="G32" i="26"/>
  <c r="AB316" i="6"/>
  <c r="Q315" i="6"/>
  <c r="H32" i="26" l="1"/>
  <c r="P316" i="6"/>
  <c r="N316" i="6"/>
  <c r="R316" i="6" s="1"/>
  <c r="Z316" i="6"/>
  <c r="M316" i="6"/>
  <c r="S315" i="6" a="1"/>
  <c r="S315" i="6" s="1"/>
  <c r="P32" i="26"/>
  <c r="J32" i="26" l="1"/>
  <c r="T315" i="6"/>
  <c r="K317" i="6"/>
  <c r="AB317" i="6"/>
  <c r="Q316" i="6"/>
  <c r="P317" i="6" l="1"/>
  <c r="N317" i="6"/>
  <c r="R317" i="6" s="1"/>
  <c r="Z317" i="6"/>
  <c r="M317" i="6"/>
  <c r="T316" i="6"/>
  <c r="K32" i="26"/>
  <c r="U315" i="6"/>
  <c r="T317" i="6" l="1"/>
  <c r="K318" i="6"/>
  <c r="AB318" i="6"/>
  <c r="Q317" i="6"/>
  <c r="AH315" i="6"/>
  <c r="W315" i="6"/>
  <c r="N32" i="26" s="1"/>
  <c r="AD315" i="6"/>
  <c r="U32" i="26" s="1"/>
  <c r="L32" i="26"/>
  <c r="V315" i="6"/>
  <c r="U316" i="6"/>
  <c r="U317" i="6" l="1"/>
  <c r="W317" i="6" s="1"/>
  <c r="AD316" i="6"/>
  <c r="AH316" i="6"/>
  <c r="W316" i="6"/>
  <c r="P318" i="6"/>
  <c r="N318" i="6"/>
  <c r="R318" i="6" s="1"/>
  <c r="T318" i="6" s="1"/>
  <c r="M318" i="6"/>
  <c r="Z318" i="6"/>
  <c r="X315" i="6"/>
  <c r="O32" i="26" s="1"/>
  <c r="M32" i="26"/>
  <c r="AD317" i="6" l="1"/>
  <c r="AH317" i="6"/>
  <c r="K319" i="6"/>
  <c r="AB319" i="6"/>
  <c r="Q318" i="6"/>
  <c r="U318" i="6" s="1"/>
  <c r="AD318" i="6" l="1"/>
  <c r="W318" i="6"/>
  <c r="AH318" i="6"/>
  <c r="P319" i="6"/>
  <c r="N319" i="6"/>
  <c r="R319" i="6" s="1"/>
  <c r="T319" i="6" s="1"/>
  <c r="M319" i="6"/>
  <c r="Z319" i="6"/>
  <c r="K320" i="6" l="1"/>
  <c r="AB320" i="6"/>
  <c r="Q319" i="6"/>
  <c r="U319" i="6" s="1"/>
  <c r="W319" i="6" l="1"/>
  <c r="AD319" i="6"/>
  <c r="AH319" i="6"/>
  <c r="P320" i="6"/>
  <c r="N320" i="6"/>
  <c r="R320" i="6" s="1"/>
  <c r="T320" i="6" s="1"/>
  <c r="Z320" i="6"/>
  <c r="M320" i="6"/>
  <c r="K321" i="6" l="1"/>
  <c r="AB321" i="6"/>
  <c r="Q320" i="6"/>
  <c r="U320" i="6" s="1"/>
  <c r="AD320" i="6" l="1"/>
  <c r="W320" i="6"/>
  <c r="AH320" i="6"/>
  <c r="P321" i="6"/>
  <c r="N321" i="6"/>
  <c r="R321" i="6" s="1"/>
  <c r="T321" i="6" s="1"/>
  <c r="Z321" i="6"/>
  <c r="M321" i="6"/>
  <c r="K322" i="6" l="1"/>
  <c r="AB322" i="6"/>
  <c r="Q321" i="6"/>
  <c r="U321" i="6" s="1"/>
  <c r="AH321" i="6" l="1"/>
  <c r="W321" i="6"/>
  <c r="AD321" i="6"/>
  <c r="P322" i="6"/>
  <c r="N322" i="6"/>
  <c r="R322" i="6" s="1"/>
  <c r="T322" i="6" s="1"/>
  <c r="M322" i="6"/>
  <c r="Z322" i="6"/>
  <c r="K323" i="6" l="1"/>
  <c r="AB323" i="6"/>
  <c r="Q322" i="6"/>
  <c r="U322" i="6" s="1"/>
  <c r="AD322" i="6" l="1"/>
  <c r="AH322" i="6"/>
  <c r="W322" i="6"/>
  <c r="P323" i="6"/>
  <c r="N323" i="6"/>
  <c r="R323" i="6" s="1"/>
  <c r="T323" i="6" s="1"/>
  <c r="Z323" i="6"/>
  <c r="M323" i="6"/>
  <c r="K324" i="6" l="1"/>
  <c r="AB324" i="6"/>
  <c r="Q323" i="6"/>
  <c r="U323" i="6" s="1"/>
  <c r="AH323" i="6" l="1"/>
  <c r="W323" i="6"/>
  <c r="AD323" i="6"/>
  <c r="P324" i="6"/>
  <c r="N324" i="6"/>
  <c r="R324" i="6" s="1"/>
  <c r="T324" i="6" s="1"/>
  <c r="Z324" i="6"/>
  <c r="M324" i="6"/>
  <c r="K325" i="6" l="1"/>
  <c r="AB325" i="6"/>
  <c r="Q324" i="6"/>
  <c r="U324" i="6" s="1"/>
  <c r="W324" i="6" l="1"/>
  <c r="AH324" i="6"/>
  <c r="AD324" i="6"/>
  <c r="P325" i="6"/>
  <c r="N325" i="6"/>
  <c r="R325" i="6" s="1"/>
  <c r="T325" i="6" s="1"/>
  <c r="Z325" i="6"/>
  <c r="M325" i="6"/>
  <c r="K326" i="6" l="1"/>
  <c r="AB326" i="6"/>
  <c r="Q325" i="6"/>
  <c r="U325" i="6" s="1"/>
  <c r="AH325" i="6" l="1"/>
  <c r="AD325" i="6"/>
  <c r="W325" i="6"/>
  <c r="P326" i="6"/>
  <c r="N326" i="6"/>
  <c r="R326" i="6" s="1"/>
  <c r="T326" i="6" s="1"/>
  <c r="Z326" i="6"/>
  <c r="M326" i="6"/>
  <c r="K327" i="6" l="1"/>
  <c r="AB327" i="6"/>
  <c r="Q326" i="6"/>
  <c r="U326" i="6" s="1"/>
  <c r="AD326" i="6" l="1"/>
  <c r="AH326" i="6"/>
  <c r="W326" i="6"/>
  <c r="S33" i="26"/>
  <c r="AC327" i="6"/>
  <c r="P327" i="6"/>
  <c r="N327" i="6"/>
  <c r="R327" i="6" s="1"/>
  <c r="E33" i="26"/>
  <c r="Z327" i="6"/>
  <c r="Q33" i="26" s="1"/>
  <c r="M327" i="6"/>
  <c r="I33" i="26" l="1"/>
  <c r="K328" i="6"/>
  <c r="AB328" i="6"/>
  <c r="G33" i="26"/>
  <c r="Q327" i="6"/>
  <c r="Y327" i="6"/>
  <c r="T33" i="26"/>
  <c r="S327" i="6" l="1" a="1"/>
  <c r="S327" i="6" s="1"/>
  <c r="P33" i="26"/>
  <c r="H33" i="26"/>
  <c r="P328" i="6"/>
  <c r="N328" i="6"/>
  <c r="R328" i="6" s="1"/>
  <c r="Z328" i="6"/>
  <c r="M328" i="6"/>
  <c r="K329" i="6" l="1"/>
  <c r="AB329" i="6"/>
  <c r="Q328" i="6"/>
  <c r="J33" i="26"/>
  <c r="T327" i="6"/>
  <c r="K33" i="26" l="1"/>
  <c r="T328" i="6"/>
  <c r="U327" i="6"/>
  <c r="P329" i="6"/>
  <c r="N329" i="6"/>
  <c r="R329" i="6" s="1"/>
  <c r="Z329" i="6"/>
  <c r="M329" i="6"/>
  <c r="T329" i="6" l="1"/>
  <c r="K330" i="6"/>
  <c r="AB330" i="6"/>
  <c r="Q329" i="6"/>
  <c r="V327" i="6"/>
  <c r="AD327" i="6"/>
  <c r="U33" i="26" s="1"/>
  <c r="W327" i="6"/>
  <c r="N33" i="26" s="1"/>
  <c r="AH327" i="6"/>
  <c r="L33" i="26"/>
  <c r="U328" i="6"/>
  <c r="U329" i="6" l="1"/>
  <c r="W329" i="6" s="1"/>
  <c r="P330" i="6"/>
  <c r="N330" i="6"/>
  <c r="R330" i="6" s="1"/>
  <c r="T330" i="6" s="1"/>
  <c r="Z330" i="6"/>
  <c r="M330" i="6"/>
  <c r="X327" i="6"/>
  <c r="O33" i="26" s="1"/>
  <c r="M33" i="26"/>
  <c r="AH328" i="6"/>
  <c r="W328" i="6"/>
  <c r="AD328" i="6"/>
  <c r="AH329" i="6" l="1"/>
  <c r="AD329" i="6"/>
  <c r="K331" i="6"/>
  <c r="AB331" i="6"/>
  <c r="Q330" i="6"/>
  <c r="U330" i="6" s="1"/>
  <c r="AD330" i="6" l="1"/>
  <c r="W330" i="6"/>
  <c r="AH330" i="6"/>
  <c r="P331" i="6"/>
  <c r="N331" i="6"/>
  <c r="R331" i="6" s="1"/>
  <c r="T331" i="6" s="1"/>
  <c r="Z331" i="6"/>
  <c r="M331" i="6"/>
  <c r="K332" i="6" l="1"/>
  <c r="AB332" i="6"/>
  <c r="Q331" i="6"/>
  <c r="U331" i="6" s="1"/>
  <c r="AH331" i="6" l="1"/>
  <c r="W331" i="6"/>
  <c r="AD331" i="6"/>
  <c r="P332" i="6"/>
  <c r="N332" i="6"/>
  <c r="R332" i="6" s="1"/>
  <c r="T332" i="6" s="1"/>
  <c r="Z332" i="6"/>
  <c r="M332" i="6"/>
  <c r="K333" i="6" l="1"/>
  <c r="AB333" i="6"/>
  <c r="Q332" i="6"/>
  <c r="U332" i="6" s="1"/>
  <c r="AH332" i="6" l="1"/>
  <c r="AD332" i="6"/>
  <c r="W332" i="6"/>
  <c r="P333" i="6"/>
  <c r="N333" i="6"/>
  <c r="R333" i="6" s="1"/>
  <c r="T333" i="6" s="1"/>
  <c r="Z333" i="6"/>
  <c r="M333" i="6"/>
  <c r="K334" i="6" l="1"/>
  <c r="AB334" i="6"/>
  <c r="Q333" i="6"/>
  <c r="U333" i="6" s="1"/>
  <c r="AH333" i="6" l="1"/>
  <c r="W333" i="6"/>
  <c r="AD333" i="6"/>
  <c r="P334" i="6"/>
  <c r="N334" i="6"/>
  <c r="R334" i="6" s="1"/>
  <c r="T334" i="6" s="1"/>
  <c r="Z334" i="6"/>
  <c r="M334" i="6"/>
  <c r="K335" i="6" l="1"/>
  <c r="AB335" i="6"/>
  <c r="Q334" i="6"/>
  <c r="U334" i="6" s="1"/>
  <c r="AH334" i="6" l="1"/>
  <c r="AD334" i="6"/>
  <c r="W334" i="6"/>
  <c r="P335" i="6"/>
  <c r="N335" i="6"/>
  <c r="R335" i="6" s="1"/>
  <c r="T335" i="6" s="1"/>
  <c r="Z335" i="6"/>
  <c r="M335" i="6"/>
  <c r="K336" i="6" l="1"/>
  <c r="AB336" i="6"/>
  <c r="Q335" i="6"/>
  <c r="U335" i="6" s="1"/>
  <c r="AH335" i="6" l="1"/>
  <c r="W335" i="6"/>
  <c r="AD335" i="6"/>
  <c r="P336" i="6"/>
  <c r="N336" i="6"/>
  <c r="R336" i="6" s="1"/>
  <c r="T336" i="6" s="1"/>
  <c r="M336" i="6"/>
  <c r="Z336" i="6"/>
  <c r="K337" i="6" l="1"/>
  <c r="AB337" i="6"/>
  <c r="Q336" i="6"/>
  <c r="U336" i="6" s="1"/>
  <c r="AD336" i="6" l="1"/>
  <c r="AH336" i="6"/>
  <c r="W336" i="6"/>
  <c r="P337" i="6"/>
  <c r="N337" i="6"/>
  <c r="R337" i="6" s="1"/>
  <c r="T337" i="6" s="1"/>
  <c r="Z337" i="6"/>
  <c r="M337" i="6"/>
  <c r="K338" i="6" l="1"/>
  <c r="AB338" i="6"/>
  <c r="Q337" i="6"/>
  <c r="U337" i="6" s="1"/>
  <c r="W337" i="6" l="1"/>
  <c r="AH337" i="6"/>
  <c r="AD337" i="6"/>
  <c r="P338" i="6"/>
  <c r="N338" i="6"/>
  <c r="R338" i="6" s="1"/>
  <c r="T338" i="6" s="1"/>
  <c r="Z338" i="6"/>
  <c r="M338" i="6"/>
  <c r="K339" i="6" l="1"/>
  <c r="AB339" i="6"/>
  <c r="Q338" i="6"/>
  <c r="U338" i="6" s="1"/>
  <c r="AD338" i="6" l="1"/>
  <c r="AH338" i="6"/>
  <c r="W338" i="6"/>
  <c r="S34" i="26"/>
  <c r="AC339" i="6"/>
  <c r="P339" i="6"/>
  <c r="N339" i="6"/>
  <c r="R339" i="6" s="1"/>
  <c r="E34" i="26"/>
  <c r="Z339" i="6"/>
  <c r="Q34" i="26" s="1"/>
  <c r="M339" i="6"/>
  <c r="K340" i="6" l="1"/>
  <c r="AB340" i="6"/>
  <c r="G34" i="26"/>
  <c r="Q339" i="6"/>
  <c r="I34" i="26"/>
  <c r="Y339" i="6"/>
  <c r="T34" i="26"/>
  <c r="H34" i="26" l="1"/>
  <c r="S339" i="6" a="1"/>
  <c r="S339" i="6" s="1"/>
  <c r="P34" i="26"/>
  <c r="P340" i="6"/>
  <c r="N340" i="6"/>
  <c r="R340" i="6" s="1"/>
  <c r="M340" i="6"/>
  <c r="Z340" i="6"/>
  <c r="K341" i="6" l="1"/>
  <c r="AB341" i="6"/>
  <c r="Q340" i="6"/>
  <c r="J34" i="26"/>
  <c r="T339" i="6"/>
  <c r="T340" i="6" l="1"/>
  <c r="K34" i="26"/>
  <c r="U339" i="6"/>
  <c r="P341" i="6"/>
  <c r="N341" i="6"/>
  <c r="R341" i="6" s="1"/>
  <c r="M341" i="6"/>
  <c r="Z341" i="6"/>
  <c r="K342" i="6" l="1"/>
  <c r="AB342" i="6"/>
  <c r="Q341" i="6"/>
  <c r="V339" i="6"/>
  <c r="AD339" i="6"/>
  <c r="U34" i="26" s="1"/>
  <c r="L34" i="26"/>
  <c r="AH339" i="6"/>
  <c r="W339" i="6"/>
  <c r="N34" i="26" s="1"/>
  <c r="T341" i="6"/>
  <c r="U340" i="6"/>
  <c r="U341" i="6" l="1"/>
  <c r="X339" i="6"/>
  <c r="O34" i="26" s="1"/>
  <c r="M34" i="26"/>
  <c r="W341" i="6"/>
  <c r="AH341" i="6"/>
  <c r="AD341" i="6"/>
  <c r="W340" i="6"/>
  <c r="AH340" i="6"/>
  <c r="AD340" i="6"/>
  <c r="P342" i="6"/>
  <c r="N342" i="6"/>
  <c r="R342" i="6" s="1"/>
  <c r="T342" i="6" s="1"/>
  <c r="M342" i="6"/>
  <c r="Z342" i="6"/>
  <c r="K343" i="6" l="1"/>
  <c r="AB343" i="6"/>
  <c r="Q342" i="6"/>
  <c r="U342" i="6" s="1"/>
  <c r="AD342" i="6" l="1"/>
  <c r="AH342" i="6"/>
  <c r="W342" i="6"/>
  <c r="P343" i="6"/>
  <c r="N343" i="6"/>
  <c r="R343" i="6" s="1"/>
  <c r="T343" i="6" s="1"/>
  <c r="M343" i="6"/>
  <c r="Z343" i="6"/>
  <c r="K344" i="6" l="1"/>
  <c r="AB344" i="6"/>
  <c r="Q343" i="6"/>
  <c r="U343" i="6" s="1"/>
  <c r="AD343" i="6" l="1"/>
  <c r="W343" i="6"/>
  <c r="AH343" i="6"/>
  <c r="P344" i="6"/>
  <c r="N344" i="6"/>
  <c r="R344" i="6" s="1"/>
  <c r="T344" i="6" s="1"/>
  <c r="M344" i="6"/>
  <c r="Z344" i="6"/>
  <c r="K345" i="6" l="1"/>
  <c r="AB345" i="6"/>
  <c r="Q344" i="6"/>
  <c r="U344" i="6" s="1"/>
  <c r="W344" i="6" l="1"/>
  <c r="AD344" i="6"/>
  <c r="AH344" i="6"/>
  <c r="P345" i="6"/>
  <c r="N345" i="6"/>
  <c r="R345" i="6" s="1"/>
  <c r="T345" i="6" s="1"/>
  <c r="Z345" i="6"/>
  <c r="M345" i="6"/>
  <c r="K346" i="6" l="1"/>
  <c r="AB346" i="6"/>
  <c r="Q345" i="6"/>
  <c r="U345" i="6" s="1"/>
  <c r="AD345" i="6" l="1"/>
  <c r="AH345" i="6"/>
  <c r="W345" i="6"/>
  <c r="P346" i="6"/>
  <c r="N346" i="6"/>
  <c r="R346" i="6" s="1"/>
  <c r="T346" i="6" s="1"/>
  <c r="Z346" i="6"/>
  <c r="M346" i="6"/>
  <c r="K347" i="6" l="1"/>
  <c r="AB347" i="6"/>
  <c r="Q346" i="6"/>
  <c r="U346" i="6" s="1"/>
  <c r="AH346" i="6" l="1"/>
  <c r="AD346" i="6"/>
  <c r="W346" i="6"/>
  <c r="P347" i="6"/>
  <c r="N347" i="6"/>
  <c r="R347" i="6" s="1"/>
  <c r="T347" i="6" s="1"/>
  <c r="M347" i="6"/>
  <c r="Z347" i="6"/>
  <c r="K348" i="6" l="1"/>
  <c r="AB348" i="6"/>
  <c r="Q347" i="6"/>
  <c r="U347" i="6" s="1"/>
  <c r="AH347" i="6" l="1"/>
  <c r="W347" i="6"/>
  <c r="AD347" i="6"/>
  <c r="P348" i="6"/>
  <c r="N348" i="6"/>
  <c r="R348" i="6" s="1"/>
  <c r="T348" i="6" s="1"/>
  <c r="Z348" i="6"/>
  <c r="M348" i="6"/>
  <c r="K349" i="6" l="1"/>
  <c r="AB349" i="6"/>
  <c r="Q348" i="6"/>
  <c r="U348" i="6" s="1"/>
  <c r="AD348" i="6" l="1"/>
  <c r="W348" i="6"/>
  <c r="AH348" i="6"/>
  <c r="P349" i="6"/>
  <c r="N349" i="6"/>
  <c r="R349" i="6" s="1"/>
  <c r="T349" i="6" s="1"/>
  <c r="M349" i="6"/>
  <c r="Z349" i="6"/>
  <c r="K350" i="6" l="1"/>
  <c r="AB350" i="6"/>
  <c r="Q349" i="6"/>
  <c r="U349" i="6" s="1"/>
  <c r="W349" i="6" l="1"/>
  <c r="AH349" i="6"/>
  <c r="AD349" i="6"/>
  <c r="P350" i="6"/>
  <c r="N350" i="6"/>
  <c r="R350" i="6" s="1"/>
  <c r="T350" i="6" s="1"/>
  <c r="Z350" i="6"/>
  <c r="M350" i="6"/>
  <c r="K351" i="6" l="1"/>
  <c r="AB351" i="6"/>
  <c r="Q350" i="6"/>
  <c r="U350" i="6" s="1"/>
  <c r="AD350" i="6" l="1"/>
  <c r="AH350" i="6"/>
  <c r="W350" i="6"/>
  <c r="S35" i="26"/>
  <c r="AC351" i="6"/>
  <c r="P351" i="6"/>
  <c r="N351" i="6"/>
  <c r="R351" i="6" s="1"/>
  <c r="E35" i="26"/>
  <c r="Z351" i="6"/>
  <c r="Q35" i="26" s="1"/>
  <c r="M351" i="6"/>
  <c r="I35" i="26" l="1"/>
  <c r="K352" i="6"/>
  <c r="AB352" i="6"/>
  <c r="G35" i="26"/>
  <c r="Q351" i="6"/>
  <c r="Y351" i="6"/>
  <c r="T35" i="26"/>
  <c r="H35" i="26" l="1"/>
  <c r="S351" i="6" a="1"/>
  <c r="S351" i="6" s="1"/>
  <c r="P35" i="26"/>
  <c r="P352" i="6"/>
  <c r="N352" i="6"/>
  <c r="R352" i="6" s="1"/>
  <c r="Z352" i="6"/>
  <c r="M352" i="6"/>
  <c r="K353" i="6" l="1"/>
  <c r="AB353" i="6"/>
  <c r="Q352" i="6"/>
  <c r="J35" i="26"/>
  <c r="T351" i="6"/>
  <c r="K35" i="26" l="1"/>
  <c r="T352" i="6"/>
  <c r="U351" i="6"/>
  <c r="P353" i="6"/>
  <c r="N353" i="6"/>
  <c r="R353" i="6" s="1"/>
  <c r="Z353" i="6"/>
  <c r="M353" i="6"/>
  <c r="T353" i="6" l="1"/>
  <c r="K354" i="6"/>
  <c r="AB354" i="6"/>
  <c r="Q353" i="6"/>
  <c r="V351" i="6"/>
  <c r="AH351" i="6"/>
  <c r="AD351" i="6"/>
  <c r="U35" i="26" s="1"/>
  <c r="L35" i="26"/>
  <c r="W351" i="6"/>
  <c r="N35" i="26" s="1"/>
  <c r="U352" i="6"/>
  <c r="U353" i="6" l="1"/>
  <c r="AD353" i="6" s="1"/>
  <c r="M35" i="26"/>
  <c r="X351" i="6"/>
  <c r="O35" i="26" s="1"/>
  <c r="W353" i="6"/>
  <c r="AH352" i="6"/>
  <c r="W352" i="6"/>
  <c r="AD352" i="6"/>
  <c r="P354" i="6"/>
  <c r="N354" i="6"/>
  <c r="R354" i="6" s="1"/>
  <c r="T354" i="6" s="1"/>
  <c r="Z354" i="6"/>
  <c r="M354" i="6"/>
  <c r="AH353" i="6" l="1"/>
  <c r="K355" i="6"/>
  <c r="AB355" i="6"/>
  <c r="Q354" i="6"/>
  <c r="U354" i="6" s="1"/>
  <c r="AD354" i="6" l="1"/>
  <c r="AH354" i="6"/>
  <c r="W354" i="6"/>
  <c r="P355" i="6"/>
  <c r="N355" i="6"/>
  <c r="R355" i="6" s="1"/>
  <c r="T355" i="6" s="1"/>
  <c r="Z355" i="6"/>
  <c r="M355" i="6"/>
  <c r="K356" i="6" l="1"/>
  <c r="AB356" i="6"/>
  <c r="Q355" i="6"/>
  <c r="U355" i="6" s="1"/>
  <c r="W355" i="6" l="1"/>
  <c r="AH355" i="6"/>
  <c r="AD355" i="6"/>
  <c r="P356" i="6"/>
  <c r="N356" i="6"/>
  <c r="R356" i="6" s="1"/>
  <c r="T356" i="6" s="1"/>
  <c r="Z356" i="6"/>
  <c r="M356" i="6"/>
  <c r="K357" i="6" l="1"/>
  <c r="AB357" i="6"/>
  <c r="Q356" i="6"/>
  <c r="U356" i="6" s="1"/>
  <c r="AH356" i="6" l="1"/>
  <c r="AD356" i="6"/>
  <c r="W356" i="6"/>
  <c r="P357" i="6"/>
  <c r="N357" i="6"/>
  <c r="R357" i="6" s="1"/>
  <c r="T357" i="6" s="1"/>
  <c r="Z357" i="6"/>
  <c r="M357" i="6"/>
  <c r="K358" i="6" l="1"/>
  <c r="AB358" i="6"/>
  <c r="Q357" i="6"/>
  <c r="U357" i="6" s="1"/>
  <c r="AH357" i="6" l="1"/>
  <c r="AD357" i="6"/>
  <c r="W357" i="6"/>
  <c r="P358" i="6"/>
  <c r="N358" i="6"/>
  <c r="R358" i="6" s="1"/>
  <c r="T358" i="6" s="1"/>
  <c r="Z358" i="6"/>
  <c r="M358" i="6"/>
  <c r="K359" i="6" l="1"/>
  <c r="AB359" i="6"/>
  <c r="Q358" i="6"/>
  <c r="U358" i="6" s="1"/>
  <c r="AH358" i="6" l="1"/>
  <c r="AD358" i="6"/>
  <c r="W358" i="6"/>
  <c r="P359" i="6"/>
  <c r="N359" i="6"/>
  <c r="R359" i="6" s="1"/>
  <c r="T359" i="6" s="1"/>
  <c r="Z359" i="6"/>
  <c r="M359" i="6"/>
  <c r="K360" i="6" l="1"/>
  <c r="AB360" i="6"/>
  <c r="Q359" i="6"/>
  <c r="U359" i="6" s="1"/>
  <c r="W359" i="6" l="1"/>
  <c r="AH359" i="6"/>
  <c r="AD359" i="6"/>
  <c r="P360" i="6"/>
  <c r="N360" i="6"/>
  <c r="R360" i="6" s="1"/>
  <c r="T360" i="6" s="1"/>
  <c r="M360" i="6"/>
  <c r="Z360" i="6"/>
  <c r="K361" i="6" l="1"/>
  <c r="AB361" i="6"/>
  <c r="Q360" i="6"/>
  <c r="U360" i="6" s="1"/>
  <c r="AH360" i="6" l="1"/>
  <c r="W360" i="6"/>
  <c r="AD360" i="6"/>
  <c r="P361" i="6"/>
  <c r="N361" i="6"/>
  <c r="R361" i="6" s="1"/>
  <c r="T361" i="6" s="1"/>
  <c r="M361" i="6"/>
  <c r="Z361" i="6"/>
  <c r="K362" i="6" l="1"/>
  <c r="AB362" i="6"/>
  <c r="Q361" i="6"/>
  <c r="U361" i="6" s="1"/>
  <c r="AD361" i="6" l="1"/>
  <c r="AH361" i="6"/>
  <c r="W361" i="6"/>
  <c r="P362" i="6"/>
  <c r="N362" i="6"/>
  <c r="R362" i="6" s="1"/>
  <c r="T362" i="6" s="1"/>
  <c r="M362" i="6"/>
  <c r="Z362" i="6"/>
  <c r="K363" i="6" l="1"/>
  <c r="AB363" i="6"/>
  <c r="Q362" i="6"/>
  <c r="U362" i="6" s="1"/>
  <c r="AD362" i="6" l="1"/>
  <c r="AH362" i="6"/>
  <c r="W362" i="6"/>
  <c r="S36" i="26"/>
  <c r="AC363" i="6"/>
  <c r="P363" i="6"/>
  <c r="N363" i="6"/>
  <c r="R363" i="6" s="1"/>
  <c r="E36" i="26"/>
  <c r="Z363" i="6"/>
  <c r="Q36" i="26" s="1"/>
  <c r="M363" i="6"/>
  <c r="K364" i="6" l="1"/>
  <c r="AB364" i="6"/>
  <c r="G36" i="26"/>
  <c r="Q363" i="6"/>
  <c r="I36" i="26"/>
  <c r="Y363" i="6"/>
  <c r="T36" i="26"/>
  <c r="H36" i="26" l="1"/>
  <c r="S363" i="6" a="1"/>
  <c r="S363" i="6" s="1"/>
  <c r="P36" i="26"/>
  <c r="P364" i="6"/>
  <c r="N364" i="6"/>
  <c r="R364" i="6" s="1"/>
  <c r="Z364" i="6"/>
  <c r="M364" i="6"/>
  <c r="K365" i="6" l="1"/>
  <c r="AB365" i="6"/>
  <c r="Q364" i="6"/>
  <c r="J36" i="26"/>
  <c r="T363" i="6"/>
  <c r="K36" i="26" l="1"/>
  <c r="T364" i="6"/>
  <c r="U363" i="6"/>
  <c r="N365" i="6"/>
  <c r="R365" i="6" s="1"/>
  <c r="P365" i="6"/>
  <c r="Z365" i="6"/>
  <c r="M365" i="6"/>
  <c r="T365" i="6" l="1"/>
  <c r="K366" i="6"/>
  <c r="AB366" i="6"/>
  <c r="Q365" i="6"/>
  <c r="AH363" i="6"/>
  <c r="W363" i="6"/>
  <c r="N36" i="26" s="1"/>
  <c r="AD363" i="6"/>
  <c r="U36" i="26" s="1"/>
  <c r="L36" i="26"/>
  <c r="V363" i="6"/>
  <c r="U364" i="6"/>
  <c r="U365" i="6" l="1"/>
  <c r="AH365" i="6" s="1"/>
  <c r="W364" i="6"/>
  <c r="AD364" i="6"/>
  <c r="AH364" i="6"/>
  <c r="X363" i="6"/>
  <c r="O36" i="26" s="1"/>
  <c r="M36" i="26"/>
  <c r="P366" i="6"/>
  <c r="N366" i="6"/>
  <c r="R366" i="6" s="1"/>
  <c r="T366" i="6" s="1"/>
  <c r="M366" i="6"/>
  <c r="Z366" i="6"/>
  <c r="W365" i="6" l="1"/>
  <c r="AD365" i="6"/>
  <c r="K367" i="6"/>
  <c r="AB367" i="6"/>
  <c r="Q366" i="6"/>
  <c r="U366" i="6" s="1"/>
  <c r="AD366" i="6" l="1"/>
  <c r="AH366" i="6"/>
  <c r="W366" i="6"/>
  <c r="P367" i="6"/>
  <c r="N367" i="6"/>
  <c r="R367" i="6" s="1"/>
  <c r="T367" i="6" s="1"/>
  <c r="Z367" i="6"/>
  <c r="M367" i="6"/>
  <c r="K368" i="6" l="1"/>
  <c r="AB368" i="6"/>
  <c r="Q367" i="6"/>
  <c r="U367" i="6" s="1"/>
  <c r="AH367" i="6" l="1"/>
  <c r="W367" i="6"/>
  <c r="AD367" i="6"/>
  <c r="P368" i="6"/>
  <c r="N368" i="6"/>
  <c r="R368" i="6" s="1"/>
  <c r="T368" i="6" s="1"/>
  <c r="Z368" i="6"/>
  <c r="M368" i="6"/>
  <c r="K369" i="6" l="1"/>
  <c r="AB369" i="6"/>
  <c r="Q368" i="6"/>
  <c r="U368" i="6" s="1"/>
  <c r="W368" i="6" l="1"/>
  <c r="AD368" i="6"/>
  <c r="AH368" i="6"/>
  <c r="P369" i="6"/>
  <c r="N369" i="6"/>
  <c r="R369" i="6" s="1"/>
  <c r="T369" i="6" s="1"/>
  <c r="M369" i="6"/>
  <c r="Z369" i="6"/>
  <c r="K370" i="6" l="1"/>
  <c r="AB370" i="6"/>
  <c r="Q369" i="6"/>
  <c r="U369" i="6" s="1"/>
  <c r="W369" i="6" l="1"/>
  <c r="AH369" i="6"/>
  <c r="AD369" i="6"/>
  <c r="P370" i="6"/>
  <c r="N370" i="6"/>
  <c r="R370" i="6" s="1"/>
  <c r="T370" i="6" s="1"/>
  <c r="Z370" i="6"/>
  <c r="M370" i="6"/>
  <c r="K371" i="6" l="1"/>
  <c r="AB371" i="6"/>
  <c r="Q370" i="6"/>
  <c r="U370" i="6" s="1"/>
  <c r="AD370" i="6" l="1"/>
  <c r="AH370" i="6"/>
  <c r="W370" i="6"/>
  <c r="P371" i="6"/>
  <c r="N371" i="6"/>
  <c r="R371" i="6" s="1"/>
  <c r="T371" i="6" s="1"/>
  <c r="M371" i="6"/>
  <c r="Z371" i="6"/>
  <c r="K372" i="6" l="1"/>
  <c r="AB372" i="6"/>
  <c r="Q371" i="6"/>
  <c r="U371" i="6" s="1"/>
  <c r="AH371" i="6" l="1"/>
  <c r="AD371" i="6"/>
  <c r="W371" i="6"/>
  <c r="P372" i="6"/>
  <c r="N372" i="6"/>
  <c r="R372" i="6" s="1"/>
  <c r="T372" i="6" s="1"/>
  <c r="Z372" i="6"/>
  <c r="M372" i="6"/>
  <c r="K373" i="6" l="1"/>
  <c r="AB373" i="6"/>
  <c r="Q372" i="6"/>
  <c r="U372" i="6" s="1"/>
  <c r="AH372" i="6" l="1"/>
  <c r="AD372" i="6"/>
  <c r="W372" i="6"/>
  <c r="P373" i="6"/>
  <c r="N373" i="6"/>
  <c r="R373" i="6" s="1"/>
  <c r="T373" i="6" s="1"/>
  <c r="M373" i="6"/>
  <c r="Z373" i="6"/>
  <c r="K374" i="6" l="1"/>
  <c r="AB374" i="6"/>
  <c r="Q373" i="6"/>
  <c r="U373" i="6" s="1"/>
  <c r="AH373" i="6" l="1"/>
  <c r="AD373" i="6"/>
  <c r="W373" i="6"/>
  <c r="P374" i="6"/>
  <c r="N374" i="6"/>
  <c r="R374" i="6" s="1"/>
  <c r="T374" i="6" s="1"/>
  <c r="Z374" i="6"/>
  <c r="M374" i="6"/>
  <c r="K375" i="6" l="1"/>
  <c r="AB375" i="6"/>
  <c r="Q374" i="6"/>
  <c r="U374" i="6" s="1"/>
  <c r="AD374" i="6" l="1"/>
  <c r="AH374" i="6"/>
  <c r="W374" i="6"/>
  <c r="S37" i="26"/>
  <c r="AC375" i="6"/>
  <c r="P375" i="6"/>
  <c r="N375" i="6"/>
  <c r="R375" i="6" s="1"/>
  <c r="E37" i="26"/>
  <c r="Z375" i="6"/>
  <c r="Q37" i="26" s="1"/>
  <c r="M375" i="6"/>
  <c r="I37" i="26" l="1"/>
  <c r="K376" i="6"/>
  <c r="G37" i="26"/>
  <c r="AB376" i="6"/>
  <c r="Q375" i="6"/>
  <c r="Y375" i="6"/>
  <c r="T37" i="26"/>
  <c r="S375" i="6" l="1" a="1"/>
  <c r="S375" i="6" s="1"/>
  <c r="P37" i="26"/>
  <c r="H37" i="26"/>
  <c r="P376" i="6"/>
  <c r="N376" i="6"/>
  <c r="R376" i="6" s="1"/>
  <c r="M376" i="6"/>
  <c r="Z376" i="6"/>
  <c r="K377" i="6" l="1"/>
  <c r="AB377" i="6"/>
  <c r="Q376" i="6"/>
  <c r="J37" i="26"/>
  <c r="T375" i="6"/>
  <c r="K37" i="26" l="1"/>
  <c r="T376" i="6"/>
  <c r="U375" i="6"/>
  <c r="P377" i="6"/>
  <c r="N377" i="6"/>
  <c r="R377" i="6" s="1"/>
  <c r="M377" i="6"/>
  <c r="Z377" i="6"/>
  <c r="T377" i="6" l="1"/>
  <c r="K378" i="6"/>
  <c r="AB378" i="6"/>
  <c r="Q377" i="6"/>
  <c r="AD375" i="6"/>
  <c r="U37" i="26" s="1"/>
  <c r="AH375" i="6"/>
  <c r="V375" i="6"/>
  <c r="W375" i="6"/>
  <c r="N37" i="26" s="1"/>
  <c r="L37" i="26"/>
  <c r="U376" i="6"/>
  <c r="U377" i="6" l="1"/>
  <c r="AH377" i="6" s="1"/>
  <c r="P378" i="6"/>
  <c r="N378" i="6"/>
  <c r="R378" i="6" s="1"/>
  <c r="T378" i="6" s="1"/>
  <c r="Z378" i="6"/>
  <c r="M378" i="6"/>
  <c r="M37" i="26"/>
  <c r="X375" i="6"/>
  <c r="O37" i="26" s="1"/>
  <c r="W376" i="6"/>
  <c r="AH376" i="6"/>
  <c r="AD376" i="6"/>
  <c r="AD377" i="6" l="1"/>
  <c r="W377" i="6"/>
  <c r="K379" i="6"/>
  <c r="AB379" i="6"/>
  <c r="Q378" i="6"/>
  <c r="U378" i="6" s="1"/>
  <c r="AH378" i="6" l="1"/>
  <c r="AD378" i="6"/>
  <c r="W378" i="6"/>
  <c r="P379" i="6"/>
  <c r="N379" i="6"/>
  <c r="R379" i="6" s="1"/>
  <c r="T379" i="6" s="1"/>
  <c r="Z379" i="6"/>
  <c r="M379" i="6"/>
  <c r="K380" i="6" l="1"/>
  <c r="AB380" i="6"/>
  <c r="Q379" i="6"/>
  <c r="U379" i="6" s="1"/>
  <c r="AD379" i="6" l="1"/>
  <c r="W379" i="6"/>
  <c r="AH379" i="6"/>
  <c r="P380" i="6"/>
  <c r="N380" i="6"/>
  <c r="R380" i="6" s="1"/>
  <c r="T380" i="6" s="1"/>
  <c r="M380" i="6"/>
  <c r="Z380" i="6"/>
  <c r="K381" i="6" l="1"/>
  <c r="AB381" i="6"/>
  <c r="Q380" i="6"/>
  <c r="U380" i="6" s="1"/>
  <c r="W380" i="6" l="1"/>
  <c r="AH380" i="6"/>
  <c r="AD380" i="6"/>
  <c r="P381" i="6"/>
  <c r="N381" i="6"/>
  <c r="R381" i="6" s="1"/>
  <c r="T381" i="6" s="1"/>
  <c r="Z381" i="6"/>
  <c r="M381" i="6"/>
  <c r="K382" i="6" l="1"/>
  <c r="AB382" i="6"/>
  <c r="Q381" i="6"/>
  <c r="U381" i="6" s="1"/>
  <c r="AH381" i="6" l="1"/>
  <c r="AD381" i="6"/>
  <c r="W381" i="6"/>
  <c r="P382" i="6"/>
  <c r="N382" i="6"/>
  <c r="R382" i="6" s="1"/>
  <c r="T382" i="6" s="1"/>
  <c r="Z382" i="6"/>
  <c r="M382" i="6"/>
  <c r="K383" i="6" l="1"/>
  <c r="AB383" i="6"/>
  <c r="Q382" i="6"/>
  <c r="U382" i="6" s="1"/>
  <c r="AD382" i="6" l="1"/>
  <c r="W382" i="6"/>
  <c r="AH382" i="6"/>
  <c r="P383" i="6"/>
  <c r="N383" i="6"/>
  <c r="R383" i="6" s="1"/>
  <c r="T383" i="6" s="1"/>
  <c r="Z383" i="6"/>
  <c r="M383" i="6"/>
  <c r="K384" i="6" l="1"/>
  <c r="AB384" i="6"/>
  <c r="Q383" i="6"/>
  <c r="U383" i="6" s="1"/>
  <c r="AH383" i="6" l="1"/>
  <c r="AD383" i="6"/>
  <c r="W383" i="6"/>
  <c r="P384" i="6"/>
  <c r="N384" i="6"/>
  <c r="R384" i="6" s="1"/>
  <c r="T384" i="6" s="1"/>
  <c r="Z384" i="6"/>
  <c r="M384" i="6"/>
  <c r="K385" i="6" l="1"/>
  <c r="AB385" i="6"/>
  <c r="Q384" i="6"/>
  <c r="U384" i="6" s="1"/>
  <c r="W384" i="6" l="1"/>
  <c r="AD384" i="6"/>
  <c r="AH384" i="6"/>
  <c r="P385" i="6"/>
  <c r="N385" i="6"/>
  <c r="R385" i="6" s="1"/>
  <c r="T385" i="6" s="1"/>
  <c r="Z385" i="6"/>
  <c r="M385" i="6"/>
  <c r="K386" i="6" l="1"/>
  <c r="AB386" i="6"/>
  <c r="AC387" i="6" s="1"/>
  <c r="Q385" i="6"/>
  <c r="U385" i="6" s="1"/>
  <c r="Y387" i="6" l="1"/>
  <c r="T38" i="26"/>
  <c r="W385" i="6"/>
  <c r="AH385" i="6"/>
  <c r="AD385" i="6"/>
  <c r="P386" i="6"/>
  <c r="N386" i="6"/>
  <c r="R386" i="6" s="1"/>
  <c r="T386" i="6" s="1"/>
  <c r="Z386" i="6"/>
  <c r="M386" i="6"/>
  <c r="K387" i="6" l="1"/>
  <c r="Q386" i="6"/>
  <c r="U386" i="6" s="1"/>
  <c r="S387" i="6" a="1"/>
  <c r="S387" i="6" s="1"/>
  <c r="J38" i="26" s="1"/>
  <c r="P38" i="26"/>
  <c r="W386" i="6" l="1"/>
  <c r="AD386" i="6"/>
  <c r="AH386" i="6"/>
  <c r="P387" i="6"/>
  <c r="N387" i="6"/>
  <c r="R387" i="6" s="1"/>
  <c r="E38" i="26"/>
  <c r="Z387" i="6"/>
  <c r="Q38" i="26" s="1"/>
  <c r="M387" i="6"/>
  <c r="I38" i="26" l="1"/>
  <c r="T387" i="6"/>
  <c r="K388" i="6"/>
  <c r="G38" i="26"/>
  <c r="Q387" i="6"/>
  <c r="P388" i="6" l="1"/>
  <c r="N388" i="6"/>
  <c r="R388" i="6" s="1"/>
  <c r="T388" i="6" s="1"/>
  <c r="M388" i="6"/>
  <c r="Z388" i="6"/>
  <c r="H38" i="26"/>
  <c r="U387" i="6"/>
  <c r="K38" i="26"/>
  <c r="L38" i="26" l="1"/>
  <c r="AD387" i="6"/>
  <c r="U38" i="26" s="1"/>
  <c r="W387" i="6"/>
  <c r="N38" i="26" s="1"/>
  <c r="V387" i="6"/>
  <c r="AH387" i="6"/>
  <c r="K389" i="6"/>
  <c r="Q388" i="6"/>
  <c r="U388" i="6" s="1"/>
  <c r="P389" i="6" l="1"/>
  <c r="N389" i="6"/>
  <c r="R389" i="6" s="1"/>
  <c r="T389" i="6" s="1"/>
  <c r="Z389" i="6"/>
  <c r="M389" i="6"/>
  <c r="X387" i="6"/>
  <c r="O38" i="26" s="1"/>
  <c r="M38" i="26"/>
  <c r="AD388" i="6"/>
  <c r="AH388" i="6"/>
  <c r="W388" i="6"/>
  <c r="K390" i="6" l="1"/>
  <c r="Q389" i="6"/>
  <c r="U389" i="6" s="1"/>
  <c r="AD389" i="6" l="1"/>
  <c r="AH389" i="6"/>
  <c r="W389" i="6"/>
  <c r="P390" i="6"/>
  <c r="N390" i="6"/>
  <c r="R390" i="6" s="1"/>
  <c r="T390" i="6" s="1"/>
  <c r="M390" i="6"/>
  <c r="Z390" i="6"/>
  <c r="K391" i="6" l="1"/>
  <c r="Q390" i="6"/>
  <c r="U390" i="6" s="1"/>
  <c r="AD390" i="6" l="1"/>
  <c r="W390" i="6"/>
  <c r="AH390" i="6"/>
  <c r="P391" i="6"/>
  <c r="N391" i="6"/>
  <c r="R391" i="6" s="1"/>
  <c r="T391" i="6" s="1"/>
  <c r="M391" i="6"/>
  <c r="Z391" i="6"/>
  <c r="K392" i="6" l="1"/>
  <c r="Q391" i="6"/>
  <c r="U391" i="6" s="1"/>
  <c r="AD391" i="6" l="1"/>
  <c r="AH391" i="6"/>
  <c r="W391" i="6"/>
  <c r="P392" i="6"/>
  <c r="N392" i="6"/>
  <c r="R392" i="6" s="1"/>
  <c r="T392" i="6" s="1"/>
  <c r="Z392" i="6"/>
  <c r="M392" i="6"/>
  <c r="K393" i="6" l="1"/>
  <c r="Q392" i="6"/>
  <c r="U392" i="6" s="1"/>
  <c r="AH392" i="6" l="1"/>
  <c r="AD392" i="6"/>
  <c r="W392" i="6"/>
  <c r="P393" i="6"/>
  <c r="N393" i="6"/>
  <c r="R393" i="6" s="1"/>
  <c r="T393" i="6" s="1"/>
  <c r="Z393" i="6"/>
  <c r="M393" i="6"/>
  <c r="K394" i="6" l="1"/>
  <c r="Q393" i="6"/>
  <c r="U393" i="6" s="1"/>
  <c r="AH393" i="6" l="1"/>
  <c r="AD393" i="6"/>
  <c r="W393" i="6"/>
  <c r="P394" i="6"/>
  <c r="N394" i="6"/>
  <c r="R394" i="6" s="1"/>
  <c r="T394" i="6" s="1"/>
  <c r="Z394" i="6"/>
  <c r="M394" i="6"/>
  <c r="K395" i="6" l="1"/>
  <c r="Q394" i="6"/>
  <c r="U394" i="6" s="1"/>
  <c r="AD394" i="6" l="1"/>
  <c r="AH394" i="6"/>
  <c r="W394" i="6"/>
  <c r="P395" i="6"/>
  <c r="N395" i="6"/>
  <c r="R395" i="6" s="1"/>
  <c r="T395" i="6" s="1"/>
  <c r="Z395" i="6"/>
  <c r="M395" i="6"/>
  <c r="K396" i="6" l="1"/>
  <c r="Q395" i="6"/>
  <c r="U395" i="6" s="1"/>
  <c r="W395" i="6" l="1"/>
  <c r="AH395" i="6"/>
  <c r="AD395" i="6"/>
  <c r="P396" i="6"/>
  <c r="N396" i="6"/>
  <c r="R396" i="6" s="1"/>
  <c r="T396" i="6" s="1"/>
  <c r="Z396" i="6"/>
  <c r="M396" i="6"/>
  <c r="K397" i="6" l="1"/>
  <c r="Q396" i="6"/>
  <c r="U396" i="6" s="1"/>
  <c r="AH396" i="6" l="1"/>
  <c r="AD396" i="6"/>
  <c r="W396" i="6"/>
  <c r="P397" i="6"/>
  <c r="N397" i="6"/>
  <c r="R397" i="6" s="1"/>
  <c r="T397" i="6" s="1"/>
  <c r="Z397" i="6"/>
  <c r="M397" i="6"/>
  <c r="K398" i="6" l="1"/>
  <c r="Q397" i="6"/>
  <c r="U397" i="6" s="1"/>
  <c r="AH397" i="6" l="1"/>
  <c r="AD397" i="6"/>
  <c r="W397" i="6"/>
  <c r="P398" i="6"/>
  <c r="N398" i="6"/>
  <c r="R398" i="6" s="1"/>
  <c r="T398" i="6" s="1"/>
  <c r="Z398" i="6"/>
  <c r="M398" i="6"/>
  <c r="K399" i="6" l="1"/>
  <c r="Q398" i="6"/>
  <c r="U398" i="6" s="1"/>
  <c r="AH398" i="6" l="1"/>
  <c r="AD398" i="6"/>
  <c r="W398" i="6"/>
  <c r="P399" i="6"/>
  <c r="N399" i="6"/>
  <c r="R399" i="6" s="1"/>
  <c r="T399" i="6" s="1"/>
  <c r="Z399" i="6"/>
  <c r="M399" i="6"/>
  <c r="K400" i="6" l="1"/>
  <c r="Q399" i="6"/>
  <c r="U399" i="6" s="1"/>
  <c r="W399" i="6" l="1"/>
  <c r="AH399" i="6"/>
  <c r="V399" i="6"/>
  <c r="X399" i="6" s="1"/>
  <c r="AD399" i="6"/>
  <c r="P400" i="6"/>
  <c r="N400" i="6"/>
  <c r="R400" i="6" s="1"/>
  <c r="T400" i="6" s="1"/>
  <c r="Z400" i="6"/>
  <c r="M400" i="6"/>
  <c r="K401" i="6" l="1"/>
  <c r="Q400" i="6"/>
  <c r="U400" i="6" s="1"/>
  <c r="AD400" i="6" l="1"/>
  <c r="AH400" i="6"/>
  <c r="W400" i="6"/>
  <c r="P401" i="6"/>
  <c r="N401" i="6"/>
  <c r="R401" i="6" s="1"/>
  <c r="T401" i="6" s="1"/>
  <c r="M401" i="6"/>
  <c r="Z401" i="6"/>
  <c r="K402" i="6" l="1"/>
  <c r="Q401" i="6"/>
  <c r="U401" i="6" s="1"/>
  <c r="W401" i="6" l="1"/>
  <c r="AH401" i="6"/>
  <c r="AD401" i="6"/>
  <c r="P402" i="6"/>
  <c r="N402" i="6"/>
  <c r="R402" i="6" s="1"/>
  <c r="T402" i="6" s="1"/>
  <c r="Z402" i="6"/>
  <c r="M402" i="6"/>
  <c r="K403" i="6" l="1"/>
  <c r="Q402" i="6"/>
  <c r="U402" i="6" s="1"/>
  <c r="W402" i="6" l="1"/>
  <c r="AD402" i="6"/>
  <c r="AH402" i="6"/>
  <c r="P403" i="6"/>
  <c r="N403" i="6"/>
  <c r="R403" i="6" s="1"/>
  <c r="T403" i="6" s="1"/>
  <c r="Z403" i="6"/>
  <c r="M403" i="6"/>
  <c r="K404" i="6" l="1"/>
  <c r="Q403" i="6"/>
  <c r="U403" i="6" s="1"/>
  <c r="W403" i="6" l="1"/>
  <c r="AH403" i="6"/>
  <c r="AD403" i="6"/>
  <c r="P404" i="6"/>
  <c r="N404" i="6"/>
  <c r="R404" i="6" s="1"/>
  <c r="T404" i="6" s="1"/>
  <c r="Z404" i="6"/>
  <c r="M404" i="6"/>
  <c r="K405" i="6" l="1"/>
  <c r="Q404" i="6"/>
  <c r="U404" i="6" s="1"/>
  <c r="AD404" i="6" l="1"/>
  <c r="AH404" i="6"/>
  <c r="W404" i="6"/>
  <c r="P405" i="6"/>
  <c r="N405" i="6"/>
  <c r="R405" i="6" s="1"/>
  <c r="T405" i="6" s="1"/>
  <c r="M405" i="6"/>
  <c r="Z405" i="6"/>
  <c r="K406" i="6" l="1"/>
  <c r="Q405" i="6"/>
  <c r="U405" i="6" s="1"/>
  <c r="W405" i="6" l="1"/>
  <c r="AD405" i="6"/>
  <c r="AH405" i="6"/>
  <c r="P406" i="6"/>
  <c r="N406" i="6"/>
  <c r="R406" i="6" s="1"/>
  <c r="T406" i="6" s="1"/>
  <c r="Z406" i="6"/>
  <c r="M406" i="6"/>
  <c r="K407" i="6" l="1"/>
  <c r="Q406" i="6"/>
  <c r="U406" i="6" s="1"/>
  <c r="W406" i="6" l="1"/>
  <c r="AH406" i="6"/>
  <c r="AD406" i="6"/>
  <c r="P407" i="6"/>
  <c r="N407" i="6"/>
  <c r="R407" i="6" s="1"/>
  <c r="T407" i="6" s="1"/>
  <c r="Z407" i="6"/>
  <c r="M407" i="6"/>
  <c r="K408" i="6" l="1"/>
  <c r="Q407" i="6"/>
  <c r="U407" i="6" s="1"/>
  <c r="AH407" i="6" l="1"/>
  <c r="W407" i="6"/>
  <c r="AD407" i="6"/>
  <c r="P408" i="6"/>
  <c r="N408" i="6"/>
  <c r="R408" i="6" s="1"/>
  <c r="T408" i="6" s="1"/>
  <c r="M408" i="6"/>
  <c r="Z408" i="6"/>
  <c r="K409" i="6" l="1"/>
  <c r="Q408" i="6"/>
  <c r="U408" i="6" s="1"/>
  <c r="W408" i="6" l="1"/>
  <c r="AD408" i="6"/>
  <c r="AH408" i="6"/>
  <c r="P409" i="6"/>
  <c r="N409" i="6"/>
  <c r="R409" i="6" s="1"/>
  <c r="T409" i="6" s="1"/>
  <c r="Z409" i="6"/>
  <c r="M409" i="6"/>
  <c r="K410" i="6" l="1"/>
  <c r="Q409" i="6"/>
  <c r="U409" i="6" s="1"/>
  <c r="AD409" i="6" l="1"/>
  <c r="AH409" i="6"/>
  <c r="W409" i="6"/>
  <c r="P410" i="6"/>
  <c r="N410" i="6"/>
  <c r="R410" i="6" s="1"/>
  <c r="T410" i="6" s="1"/>
  <c r="Z410" i="6"/>
  <c r="M410" i="6"/>
  <c r="K411" i="6" l="1"/>
  <c r="Q410" i="6"/>
  <c r="U410" i="6" s="1"/>
  <c r="AH410" i="6" l="1"/>
  <c r="AD410" i="6"/>
  <c r="W410" i="6"/>
  <c r="P411" i="6"/>
  <c r="N411" i="6"/>
  <c r="R411" i="6" s="1"/>
  <c r="T411" i="6" s="1"/>
  <c r="Z411" i="6"/>
  <c r="M411" i="6"/>
  <c r="K412" i="6" l="1"/>
  <c r="Q411" i="6"/>
  <c r="U411" i="6" s="1"/>
  <c r="AD411" i="6" l="1"/>
  <c r="AH411" i="6"/>
  <c r="V411" i="6"/>
  <c r="X411" i="6" s="1"/>
  <c r="W411" i="6"/>
  <c r="P412" i="6"/>
  <c r="N412" i="6"/>
  <c r="R412" i="6" s="1"/>
  <c r="T412" i="6" s="1"/>
  <c r="Z412" i="6"/>
  <c r="M412" i="6"/>
  <c r="K413" i="6" l="1"/>
  <c r="Q412" i="6"/>
  <c r="U412" i="6" s="1"/>
  <c r="W412" i="6" l="1"/>
  <c r="AH412" i="6"/>
  <c r="AD412" i="6"/>
  <c r="P413" i="6"/>
  <c r="N413" i="6"/>
  <c r="R413" i="6" s="1"/>
  <c r="T413" i="6" s="1"/>
  <c r="Z413" i="6"/>
  <c r="M413" i="6"/>
  <c r="K414" i="6" l="1"/>
  <c r="Q413" i="6"/>
  <c r="U413" i="6" s="1"/>
  <c r="W413" i="6" l="1"/>
  <c r="AH413" i="6"/>
  <c r="AD413" i="6"/>
  <c r="P414" i="6"/>
  <c r="N414" i="6"/>
  <c r="R414" i="6" s="1"/>
  <c r="T414" i="6" s="1"/>
  <c r="M414" i="6"/>
  <c r="Z414" i="6"/>
  <c r="K415" i="6" l="1"/>
  <c r="Q414" i="6"/>
  <c r="U414" i="6" s="1"/>
  <c r="W414" i="6" l="1"/>
  <c r="AD414" i="6"/>
  <c r="AH414" i="6"/>
  <c r="P415" i="6"/>
  <c r="N415" i="6"/>
  <c r="R415" i="6" s="1"/>
  <c r="T415" i="6" s="1"/>
  <c r="Z415" i="6"/>
  <c r="M415" i="6"/>
  <c r="K416" i="6" l="1"/>
  <c r="Q415" i="6"/>
  <c r="U415" i="6" s="1"/>
  <c r="W415" i="6" l="1"/>
  <c r="AD415" i="6"/>
  <c r="AH415" i="6"/>
  <c r="P416" i="6"/>
  <c r="N416" i="6"/>
  <c r="R416" i="6" s="1"/>
  <c r="T416" i="6" s="1"/>
  <c r="M416" i="6"/>
  <c r="Z416" i="6"/>
  <c r="K417" i="6" l="1"/>
  <c r="Q416" i="6"/>
  <c r="U416" i="6" s="1"/>
  <c r="W416" i="6" l="1"/>
  <c r="AD416" i="6"/>
  <c r="AH416" i="6"/>
  <c r="P417" i="6"/>
  <c r="N417" i="6"/>
  <c r="R417" i="6" s="1"/>
  <c r="T417" i="6" s="1"/>
  <c r="Z417" i="6"/>
  <c r="M417" i="6"/>
  <c r="K418" i="6" l="1"/>
  <c r="Q417" i="6"/>
  <c r="U417" i="6" s="1"/>
  <c r="AH417" i="6" l="1"/>
  <c r="W417" i="6"/>
  <c r="AD417" i="6"/>
  <c r="P418" i="6"/>
  <c r="N418" i="6"/>
  <c r="R418" i="6" s="1"/>
  <c r="T418" i="6" s="1"/>
  <c r="Z418" i="6"/>
  <c r="M418" i="6"/>
  <c r="K419" i="6" l="1"/>
  <c r="Q418" i="6"/>
  <c r="U418" i="6" s="1"/>
  <c r="AD418" i="6" l="1"/>
  <c r="W418" i="6"/>
  <c r="AH418" i="6"/>
  <c r="P419" i="6"/>
  <c r="N419" i="6"/>
  <c r="R419" i="6" s="1"/>
  <c r="T419" i="6" s="1"/>
  <c r="Z419" i="6"/>
  <c r="M419" i="6"/>
  <c r="K420" i="6" l="1"/>
  <c r="Q419" i="6"/>
  <c r="U419" i="6" s="1"/>
  <c r="AD419" i="6" l="1"/>
  <c r="W419" i="6"/>
  <c r="AH419" i="6"/>
  <c r="P420" i="6"/>
  <c r="N420" i="6"/>
  <c r="R420" i="6" s="1"/>
  <c r="T420" i="6" s="1"/>
  <c r="Z420" i="6"/>
  <c r="M420" i="6"/>
  <c r="K421" i="6" l="1"/>
  <c r="Q420" i="6"/>
  <c r="U420" i="6" s="1"/>
  <c r="AH420" i="6" l="1"/>
  <c r="W420" i="6"/>
  <c r="AD420" i="6"/>
  <c r="P421" i="6"/>
  <c r="N421" i="6"/>
  <c r="R421" i="6" s="1"/>
  <c r="T421" i="6" s="1"/>
  <c r="M421" i="6"/>
  <c r="Z421" i="6"/>
  <c r="K422" i="6" l="1"/>
  <c r="Q421" i="6"/>
  <c r="U421" i="6" s="1"/>
  <c r="AH421" i="6" l="1"/>
  <c r="W421" i="6"/>
  <c r="AD421" i="6"/>
  <c r="P422" i="6"/>
  <c r="N422" i="6"/>
  <c r="R422" i="6" s="1"/>
  <c r="T422" i="6" s="1"/>
  <c r="Z422" i="6"/>
  <c r="M422" i="6"/>
  <c r="K423" i="6" l="1"/>
  <c r="Q422" i="6"/>
  <c r="U422" i="6" s="1"/>
  <c r="AH422" i="6" l="1"/>
  <c r="AD422" i="6"/>
  <c r="W422" i="6"/>
  <c r="P423" i="6"/>
  <c r="N423" i="6"/>
  <c r="R423" i="6" s="1"/>
  <c r="T423" i="6" s="1"/>
  <c r="Z423" i="6"/>
  <c r="M423" i="6"/>
  <c r="K424" i="6" l="1"/>
  <c r="Q423" i="6"/>
  <c r="U423" i="6" s="1"/>
  <c r="AD423" i="6" l="1"/>
  <c r="V423" i="6"/>
  <c r="X423" i="6" s="1"/>
  <c r="AH423" i="6"/>
  <c r="W423" i="6"/>
  <c r="P424" i="6"/>
  <c r="N424" i="6"/>
  <c r="R424" i="6" s="1"/>
  <c r="T424" i="6" s="1"/>
  <c r="M424" i="6"/>
  <c r="Z424" i="6"/>
  <c r="K425" i="6" l="1"/>
  <c r="Q424" i="6"/>
  <c r="U424" i="6" s="1"/>
  <c r="AH424" i="6" l="1"/>
  <c r="AD424" i="6"/>
  <c r="W424" i="6"/>
  <c r="P425" i="6"/>
  <c r="N425" i="6"/>
  <c r="R425" i="6" s="1"/>
  <c r="T425" i="6" s="1"/>
  <c r="M425" i="6"/>
  <c r="Z425" i="6"/>
  <c r="K426" i="6" l="1"/>
  <c r="Q425" i="6"/>
  <c r="U425" i="6" s="1"/>
  <c r="W425" i="6" l="1"/>
  <c r="AH425" i="6"/>
  <c r="AD425" i="6"/>
  <c r="N426" i="6"/>
  <c r="R426" i="6" s="1"/>
  <c r="T426" i="6" s="1"/>
  <c r="P426" i="6"/>
  <c r="M426" i="6"/>
  <c r="Z426" i="6"/>
  <c r="K427" i="6" l="1"/>
  <c r="Q426" i="6"/>
  <c r="U426" i="6" s="1"/>
  <c r="AD426" i="6" l="1"/>
  <c r="AH426" i="6"/>
  <c r="W426" i="6"/>
  <c r="P427" i="6"/>
  <c r="N427" i="6"/>
  <c r="R427" i="6" s="1"/>
  <c r="T427" i="6" s="1"/>
  <c r="Z427" i="6"/>
  <c r="M427" i="6"/>
  <c r="K428" i="6" l="1"/>
  <c r="Q427" i="6"/>
  <c r="U427" i="6" s="1"/>
  <c r="AD427" i="6" l="1"/>
  <c r="W427" i="6"/>
  <c r="AH427" i="6"/>
  <c r="P428" i="6"/>
  <c r="N428" i="6"/>
  <c r="R428" i="6" s="1"/>
  <c r="T428" i="6" s="1"/>
  <c r="Z428" i="6"/>
  <c r="M428" i="6"/>
  <c r="K429" i="6" l="1"/>
  <c r="Q428" i="6"/>
  <c r="U428" i="6" s="1"/>
  <c r="AD428" i="6" l="1"/>
  <c r="W428" i="6"/>
  <c r="AH428" i="6"/>
  <c r="P429" i="6"/>
  <c r="N429" i="6"/>
  <c r="R429" i="6" s="1"/>
  <c r="T429" i="6" s="1"/>
  <c r="Z429" i="6"/>
  <c r="M429" i="6"/>
  <c r="K430" i="6" l="1"/>
  <c r="Q429" i="6"/>
  <c r="U429" i="6" s="1"/>
  <c r="AD429" i="6" l="1"/>
  <c r="AH429" i="6"/>
  <c r="W429" i="6"/>
  <c r="P430" i="6"/>
  <c r="N430" i="6"/>
  <c r="R430" i="6" s="1"/>
  <c r="T430" i="6" s="1"/>
  <c r="Z430" i="6"/>
  <c r="M430" i="6"/>
  <c r="K431" i="6" l="1"/>
  <c r="Q430" i="6"/>
  <c r="U430" i="6" s="1"/>
  <c r="AD430" i="6" l="1"/>
  <c r="AH430" i="6"/>
  <c r="W430" i="6"/>
  <c r="P431" i="6"/>
  <c r="N431" i="6"/>
  <c r="R431" i="6" s="1"/>
  <c r="T431" i="6" s="1"/>
  <c r="Z431" i="6"/>
  <c r="M431" i="6"/>
  <c r="K432" i="6" l="1"/>
  <c r="Q431" i="6"/>
  <c r="U431" i="6" s="1"/>
  <c r="W431" i="6" l="1"/>
  <c r="AH431" i="6"/>
  <c r="AD431" i="6"/>
  <c r="P432" i="6"/>
  <c r="N432" i="6"/>
  <c r="R432" i="6" s="1"/>
  <c r="T432" i="6" s="1"/>
  <c r="M432" i="6"/>
  <c r="Z432" i="6"/>
  <c r="K433" i="6" l="1"/>
  <c r="Q432" i="6"/>
  <c r="U432" i="6" s="1"/>
  <c r="AH432" i="6" l="1"/>
  <c r="W432" i="6"/>
  <c r="AD432" i="6"/>
  <c r="P433" i="6"/>
  <c r="N433" i="6"/>
  <c r="R433" i="6" s="1"/>
  <c r="T433" i="6" s="1"/>
  <c r="M433" i="6"/>
  <c r="Z433" i="6"/>
  <c r="K434" i="6" l="1"/>
  <c r="Q433" i="6"/>
  <c r="U433" i="6" s="1"/>
  <c r="W433" i="6" l="1"/>
  <c r="AH433" i="6"/>
  <c r="AD433" i="6"/>
  <c r="P434" i="6"/>
  <c r="N434" i="6"/>
  <c r="R434" i="6" s="1"/>
  <c r="T434" i="6" s="1"/>
  <c r="Z434" i="6"/>
  <c r="M434" i="6"/>
  <c r="K435" i="6" l="1"/>
  <c r="Q434" i="6"/>
  <c r="U434" i="6" s="1"/>
  <c r="AD434" i="6" l="1"/>
  <c r="W434" i="6"/>
  <c r="AH434" i="6"/>
  <c r="N435" i="6"/>
  <c r="R435" i="6" s="1"/>
  <c r="T435" i="6" s="1"/>
  <c r="P435" i="6"/>
  <c r="Z435" i="6"/>
  <c r="M435" i="6"/>
  <c r="K436" i="6" l="1"/>
  <c r="Q435" i="6"/>
  <c r="U435" i="6" s="1"/>
  <c r="V435" i="6" l="1"/>
  <c r="X435" i="6" s="1"/>
  <c r="AH435" i="6"/>
  <c r="AD435" i="6"/>
  <c r="W435" i="6"/>
  <c r="P436" i="6"/>
  <c r="N436" i="6"/>
  <c r="R436" i="6" s="1"/>
  <c r="T436" i="6" s="1"/>
  <c r="M436" i="6"/>
  <c r="Z436" i="6"/>
  <c r="K437" i="6" l="1"/>
  <c r="Q436" i="6"/>
  <c r="U436" i="6" s="1"/>
  <c r="AD436" i="6" l="1"/>
  <c r="W436" i="6"/>
  <c r="AH436" i="6"/>
  <c r="P437" i="6"/>
  <c r="N437" i="6"/>
  <c r="R437" i="6" s="1"/>
  <c r="T437" i="6" s="1"/>
  <c r="Z437" i="6"/>
  <c r="M437" i="6"/>
  <c r="K438" i="6" l="1"/>
  <c r="Q437" i="6"/>
  <c r="U437" i="6" s="1"/>
  <c r="AD437" i="6" l="1"/>
  <c r="AH437" i="6"/>
  <c r="W437" i="6"/>
  <c r="P438" i="6"/>
  <c r="N438" i="6"/>
  <c r="R438" i="6" s="1"/>
  <c r="T438" i="6" s="1"/>
  <c r="Z438" i="6"/>
  <c r="M438" i="6"/>
  <c r="K439" i="6" l="1"/>
  <c r="Q438" i="6"/>
  <c r="U438" i="6" s="1"/>
  <c r="W438" i="6" l="1"/>
  <c r="AD438" i="6"/>
  <c r="AH438" i="6"/>
  <c r="P439" i="6"/>
  <c r="N439" i="6"/>
  <c r="R439" i="6" s="1"/>
  <c r="T439" i="6" s="1"/>
  <c r="M439" i="6"/>
  <c r="Z439" i="6"/>
  <c r="K440" i="6" l="1"/>
  <c r="Q439" i="6"/>
  <c r="U439" i="6" s="1"/>
  <c r="W439" i="6" l="1"/>
  <c r="AD439" i="6"/>
  <c r="AH439" i="6"/>
  <c r="P440" i="6"/>
  <c r="N440" i="6"/>
  <c r="R440" i="6" s="1"/>
  <c r="T440" i="6" s="1"/>
  <c r="M440" i="6"/>
  <c r="Z440" i="6"/>
  <c r="K441" i="6" l="1"/>
  <c r="Q440" i="6"/>
  <c r="U440" i="6" s="1"/>
  <c r="W440" i="6" l="1"/>
  <c r="AD440" i="6"/>
  <c r="AH440" i="6"/>
  <c r="P441" i="6"/>
  <c r="N441" i="6"/>
  <c r="R441" i="6" s="1"/>
  <c r="T441" i="6" s="1"/>
  <c r="Z441" i="6"/>
  <c r="M441" i="6"/>
  <c r="K442" i="6" l="1"/>
  <c r="Q441" i="6"/>
  <c r="U441" i="6" s="1"/>
  <c r="AH441" i="6" l="1"/>
  <c r="W441" i="6"/>
  <c r="AD441" i="6"/>
  <c r="P442" i="6"/>
  <c r="N442" i="6"/>
  <c r="R442" i="6" s="1"/>
  <c r="T442" i="6" s="1"/>
  <c r="Z442" i="6"/>
  <c r="M442" i="6"/>
  <c r="K443" i="6" l="1"/>
  <c r="Q442" i="6"/>
  <c r="U442" i="6" s="1"/>
  <c r="AH442" i="6" l="1"/>
  <c r="AD442" i="6"/>
  <c r="W442" i="6"/>
  <c r="N443" i="6"/>
  <c r="R443" i="6" s="1"/>
  <c r="T443" i="6" s="1"/>
  <c r="P443" i="6"/>
  <c r="Z443" i="6"/>
  <c r="M443" i="6"/>
  <c r="K444" i="6" l="1"/>
  <c r="Q443" i="6"/>
  <c r="U443" i="6" s="1"/>
  <c r="W443" i="6" l="1"/>
  <c r="AH443" i="6"/>
  <c r="AD443" i="6"/>
  <c r="P444" i="6"/>
  <c r="N444" i="6"/>
  <c r="R444" i="6" s="1"/>
  <c r="T444" i="6" s="1"/>
  <c r="Z444" i="6"/>
  <c r="M444" i="6"/>
  <c r="K445" i="6" l="1"/>
  <c r="Q444" i="6"/>
  <c r="U444" i="6" s="1"/>
  <c r="W444" i="6" l="1"/>
  <c r="AH444" i="6"/>
  <c r="AD444" i="6"/>
  <c r="P445" i="6"/>
  <c r="N445" i="6"/>
  <c r="R445" i="6" s="1"/>
  <c r="T445" i="6" s="1"/>
  <c r="Z445" i="6"/>
  <c r="M445" i="6"/>
  <c r="K446" i="6" l="1"/>
  <c r="Q445" i="6"/>
  <c r="U445" i="6" s="1"/>
  <c r="W445" i="6" l="1"/>
  <c r="AD445" i="6"/>
  <c r="AH445" i="6"/>
  <c r="P446" i="6"/>
  <c r="N446" i="6"/>
  <c r="R446" i="6" s="1"/>
  <c r="T446" i="6" s="1"/>
  <c r="Z446" i="6"/>
  <c r="M446" i="6"/>
  <c r="K447" i="6" l="1"/>
  <c r="Q446" i="6"/>
  <c r="U446" i="6" s="1"/>
  <c r="AD446" i="6" l="1"/>
  <c r="AH446" i="6"/>
  <c r="W446" i="6"/>
  <c r="N447" i="6"/>
  <c r="R447" i="6" s="1"/>
  <c r="T447" i="6" s="1"/>
  <c r="P447" i="6"/>
  <c r="Z447" i="6"/>
  <c r="M447" i="6"/>
  <c r="K448" i="6" l="1"/>
  <c r="Q447" i="6"/>
  <c r="U447" i="6" s="1"/>
  <c r="AH447" i="6" l="1"/>
  <c r="AD447" i="6"/>
  <c r="W447" i="6"/>
  <c r="V447" i="6"/>
  <c r="X447" i="6" s="1"/>
  <c r="P448" i="6"/>
  <c r="N448" i="6"/>
  <c r="R448" i="6" s="1"/>
  <c r="T448" i="6" s="1"/>
  <c r="Z448" i="6"/>
  <c r="M448" i="6"/>
  <c r="K449" i="6" l="1"/>
  <c r="Q448" i="6"/>
  <c r="U448" i="6" s="1"/>
  <c r="AH448" i="6" l="1"/>
  <c r="W448" i="6"/>
  <c r="AD448" i="6"/>
  <c r="P449" i="6"/>
  <c r="N449" i="6"/>
  <c r="R449" i="6" s="1"/>
  <c r="T449" i="6" s="1"/>
  <c r="M449" i="6"/>
  <c r="Z449" i="6"/>
  <c r="K450" i="6" l="1"/>
  <c r="Q449" i="6"/>
  <c r="U449" i="6" s="1"/>
  <c r="AH449" i="6" l="1"/>
  <c r="W449" i="6"/>
  <c r="AD449" i="6"/>
  <c r="P450" i="6"/>
  <c r="N450" i="6"/>
  <c r="R450" i="6" s="1"/>
  <c r="T450" i="6" s="1"/>
  <c r="M450" i="6"/>
  <c r="Z450" i="6"/>
  <c r="K451" i="6" l="1"/>
  <c r="Q450" i="6"/>
  <c r="U450" i="6" s="1"/>
  <c r="W450" i="6" l="1"/>
  <c r="AD450" i="6"/>
  <c r="AH450" i="6"/>
  <c r="N451" i="6"/>
  <c r="R451" i="6" s="1"/>
  <c r="T451" i="6" s="1"/>
  <c r="P451" i="6"/>
  <c r="Z451" i="6"/>
  <c r="M451" i="6"/>
  <c r="K452" i="6" l="1"/>
  <c r="Q451" i="6"/>
  <c r="U451" i="6" s="1"/>
  <c r="AH451" i="6" l="1"/>
  <c r="AD451" i="6"/>
  <c r="W451" i="6"/>
  <c r="P452" i="6"/>
  <c r="N452" i="6"/>
  <c r="R452" i="6" s="1"/>
  <c r="T452" i="6" s="1"/>
  <c r="Z452" i="6"/>
  <c r="M452" i="6"/>
  <c r="K453" i="6" l="1"/>
  <c r="Q452" i="6"/>
  <c r="U452" i="6" s="1"/>
  <c r="AD452" i="6" l="1"/>
  <c r="W452" i="6"/>
  <c r="AH452" i="6"/>
  <c r="P453" i="6"/>
  <c r="N453" i="6"/>
  <c r="R453" i="6" s="1"/>
  <c r="T453" i="6" s="1"/>
  <c r="Z453" i="6"/>
  <c r="M453" i="6"/>
  <c r="K454" i="6" l="1"/>
  <c r="Q453" i="6"/>
  <c r="U453" i="6" s="1"/>
  <c r="W453" i="6" l="1"/>
  <c r="AD453" i="6"/>
  <c r="AH453" i="6"/>
  <c r="P454" i="6"/>
  <c r="N454" i="6"/>
  <c r="R454" i="6" s="1"/>
  <c r="T454" i="6" s="1"/>
  <c r="M454" i="6"/>
  <c r="Z454" i="6"/>
  <c r="K455" i="6" l="1"/>
  <c r="Q454" i="6"/>
  <c r="U454" i="6" s="1"/>
  <c r="AH454" i="6" l="1"/>
  <c r="W454" i="6"/>
  <c r="AD454" i="6"/>
  <c r="P455" i="6"/>
  <c r="N455" i="6"/>
  <c r="R455" i="6" s="1"/>
  <c r="T455" i="6" s="1"/>
  <c r="Z455" i="6"/>
  <c r="M455" i="6"/>
  <c r="K456" i="6" l="1"/>
  <c r="Q455" i="6"/>
  <c r="U455" i="6" s="1"/>
  <c r="AH455" i="6" l="1"/>
  <c r="W455" i="6"/>
  <c r="AD455" i="6"/>
  <c r="P456" i="6"/>
  <c r="N456" i="6"/>
  <c r="R456" i="6" s="1"/>
  <c r="T456" i="6" s="1"/>
  <c r="Z456" i="6"/>
  <c r="M456" i="6"/>
  <c r="K457" i="6" l="1"/>
  <c r="Q456" i="6"/>
  <c r="U456" i="6" s="1"/>
  <c r="W456" i="6" l="1"/>
  <c r="AD456" i="6"/>
  <c r="AH456" i="6"/>
  <c r="P457" i="6"/>
  <c r="N457" i="6"/>
  <c r="R457" i="6" s="1"/>
  <c r="T457" i="6" s="1"/>
  <c r="M457" i="6"/>
  <c r="Z457" i="6"/>
  <c r="K458" i="6" l="1"/>
  <c r="Q457" i="6"/>
  <c r="U457" i="6" s="1"/>
  <c r="AD457" i="6" l="1"/>
  <c r="AH457" i="6"/>
  <c r="W457" i="6"/>
  <c r="P458" i="6"/>
  <c r="N458" i="6"/>
  <c r="R458" i="6" s="1"/>
  <c r="T458" i="6" s="1"/>
  <c r="M458" i="6"/>
  <c r="Z458" i="6"/>
  <c r="K459" i="6" l="1"/>
  <c r="Q458" i="6"/>
  <c r="U458" i="6" s="1"/>
  <c r="AD458" i="6" l="1"/>
  <c r="W458" i="6"/>
  <c r="AH458" i="6"/>
  <c r="P459" i="6"/>
  <c r="N459" i="6"/>
  <c r="R459" i="6" s="1"/>
  <c r="T459" i="6" s="1"/>
  <c r="Z459" i="6"/>
  <c r="M459" i="6"/>
  <c r="K460" i="6" l="1"/>
  <c r="Q459" i="6"/>
  <c r="U459" i="6" s="1"/>
  <c r="V459" i="6" l="1"/>
  <c r="X459" i="6" s="1"/>
  <c r="AH459" i="6"/>
  <c r="AD459" i="6"/>
  <c r="W459" i="6"/>
  <c r="P460" i="6"/>
  <c r="N460" i="6"/>
  <c r="R460" i="6" s="1"/>
  <c r="T460" i="6" s="1"/>
  <c r="Z460" i="6"/>
  <c r="M460" i="6"/>
  <c r="K461" i="6" l="1"/>
  <c r="Q460" i="6"/>
  <c r="U460" i="6" s="1"/>
  <c r="W460" i="6" l="1"/>
  <c r="AH460" i="6"/>
  <c r="AD460" i="6"/>
  <c r="P461" i="6"/>
  <c r="N461" i="6"/>
  <c r="R461" i="6" s="1"/>
  <c r="T461" i="6" s="1"/>
  <c r="M461" i="6"/>
  <c r="Z461" i="6"/>
  <c r="K462" i="6" l="1"/>
  <c r="Q461" i="6"/>
  <c r="U461" i="6" s="1"/>
  <c r="W461" i="6" l="1"/>
  <c r="AH461" i="6"/>
  <c r="AD461" i="6"/>
  <c r="P462" i="6"/>
  <c r="N462" i="6"/>
  <c r="R462" i="6" s="1"/>
  <c r="T462" i="6" s="1"/>
  <c r="Z462" i="6"/>
  <c r="M462" i="6"/>
  <c r="K463" i="6" l="1"/>
  <c r="Q462" i="6"/>
  <c r="U462" i="6" s="1"/>
  <c r="W462" i="6" l="1"/>
  <c r="AH462" i="6"/>
  <c r="AD462" i="6"/>
  <c r="P463" i="6"/>
  <c r="N463" i="6"/>
  <c r="R463" i="6" s="1"/>
  <c r="T463" i="6" s="1"/>
  <c r="M463" i="6"/>
  <c r="Z463" i="6"/>
  <c r="K464" i="6" l="1"/>
  <c r="Q463" i="6"/>
  <c r="U463" i="6" s="1"/>
  <c r="AD463" i="6" l="1"/>
  <c r="W463" i="6"/>
  <c r="AH463" i="6"/>
  <c r="P464" i="6"/>
  <c r="N464" i="6"/>
  <c r="R464" i="6" s="1"/>
  <c r="T464" i="6" s="1"/>
  <c r="M464" i="6"/>
  <c r="Z464" i="6"/>
  <c r="K465" i="6" l="1"/>
  <c r="Q464" i="6"/>
  <c r="U464" i="6" s="1"/>
  <c r="AD464" i="6" l="1"/>
  <c r="W464" i="6"/>
  <c r="AH464" i="6"/>
  <c r="P465" i="6"/>
  <c r="N465" i="6"/>
  <c r="R465" i="6" s="1"/>
  <c r="T465" i="6" s="1"/>
  <c r="M465" i="6"/>
  <c r="Z465" i="6"/>
  <c r="K466" i="6" l="1"/>
  <c r="Q465" i="6"/>
  <c r="U465" i="6" s="1"/>
  <c r="W465" i="6" l="1"/>
  <c r="AH465" i="6"/>
  <c r="AD465" i="6"/>
  <c r="P466" i="6"/>
  <c r="N466" i="6"/>
  <c r="R466" i="6" s="1"/>
  <c r="T466" i="6" s="1"/>
  <c r="M466" i="6"/>
  <c r="Z466" i="6"/>
  <c r="K467" i="6" l="1"/>
  <c r="Q466" i="6"/>
  <c r="U466" i="6" s="1"/>
  <c r="W466" i="6" l="1"/>
  <c r="AH466" i="6"/>
  <c r="AD466" i="6"/>
  <c r="P467" i="6"/>
  <c r="N467" i="6"/>
  <c r="R467" i="6" s="1"/>
  <c r="T467" i="6" s="1"/>
  <c r="Z467" i="6"/>
  <c r="M467" i="6"/>
  <c r="K468" i="6" l="1"/>
  <c r="Q467" i="6"/>
  <c r="U467" i="6" s="1"/>
  <c r="W467" i="6" l="1"/>
  <c r="AD467" i="6"/>
  <c r="AH467" i="6"/>
  <c r="P468" i="6"/>
  <c r="N468" i="6"/>
  <c r="R468" i="6" s="1"/>
  <c r="T468" i="6" s="1"/>
  <c r="Z468" i="6"/>
  <c r="M468" i="6"/>
  <c r="K469" i="6" l="1"/>
  <c r="Q468" i="6"/>
  <c r="U468" i="6" s="1"/>
  <c r="AH468" i="6" l="1"/>
  <c r="AD468" i="6"/>
  <c r="W468" i="6"/>
  <c r="P469" i="6"/>
  <c r="N469" i="6"/>
  <c r="R469" i="6" s="1"/>
  <c r="T469" i="6" s="1"/>
  <c r="M469" i="6"/>
  <c r="Z469" i="6"/>
  <c r="K470" i="6" l="1"/>
  <c r="Q469" i="6"/>
  <c r="U469" i="6" s="1"/>
  <c r="AH469" i="6" l="1"/>
  <c r="AD469" i="6"/>
  <c r="W469" i="6"/>
  <c r="P470" i="6"/>
  <c r="N470" i="6"/>
  <c r="R470" i="6" s="1"/>
  <c r="T470" i="6" s="1"/>
  <c r="Z470" i="6"/>
  <c r="M470" i="6"/>
  <c r="K471" i="6" l="1"/>
  <c r="Q470" i="6"/>
  <c r="U470" i="6" s="1"/>
  <c r="AH470" i="6" l="1"/>
  <c r="W470" i="6"/>
  <c r="AD470" i="6"/>
  <c r="N471" i="6"/>
  <c r="R471" i="6" s="1"/>
  <c r="T471" i="6" s="1"/>
  <c r="P471" i="6"/>
  <c r="Z471" i="6"/>
  <c r="M471" i="6"/>
  <c r="K472" i="6" l="1"/>
  <c r="Q471" i="6"/>
  <c r="U471" i="6" s="1"/>
  <c r="V471" i="6" l="1"/>
  <c r="X471" i="6" s="1"/>
  <c r="AH471" i="6"/>
  <c r="AD471" i="6"/>
  <c r="W471" i="6"/>
  <c r="P472" i="6"/>
  <c r="N472" i="6"/>
  <c r="R472" i="6" s="1"/>
  <c r="T472" i="6" s="1"/>
  <c r="M472" i="6"/>
  <c r="Z472" i="6"/>
  <c r="K473" i="6" l="1"/>
  <c r="Q472" i="6"/>
  <c r="U472" i="6" s="1"/>
  <c r="AH472" i="6" l="1"/>
  <c r="W472" i="6"/>
  <c r="AD472" i="6"/>
  <c r="P473" i="6"/>
  <c r="N473" i="6"/>
  <c r="R473" i="6" s="1"/>
  <c r="T473" i="6" s="1"/>
  <c r="M473" i="6"/>
  <c r="Z473" i="6"/>
  <c r="K474" i="6" l="1"/>
  <c r="Q473" i="6"/>
  <c r="U473" i="6" s="1"/>
  <c r="AD473" i="6" l="1"/>
  <c r="AH473" i="6"/>
  <c r="W473" i="6"/>
  <c r="P474" i="6"/>
  <c r="N474" i="6"/>
  <c r="R474" i="6" s="1"/>
  <c r="T474" i="6" s="1"/>
  <c r="Z474" i="6"/>
  <c r="M474" i="6"/>
  <c r="K475" i="6" l="1"/>
  <c r="Q474" i="6"/>
  <c r="U474" i="6" s="1"/>
  <c r="AH474" i="6" l="1"/>
  <c r="AD474" i="6"/>
  <c r="W474" i="6"/>
  <c r="N475" i="6"/>
  <c r="R475" i="6" s="1"/>
  <c r="T475" i="6" s="1"/>
  <c r="P475" i="6"/>
  <c r="Z475" i="6"/>
  <c r="M475" i="6"/>
  <c r="K476" i="6" l="1"/>
  <c r="Q475" i="6"/>
  <c r="U475" i="6" s="1"/>
  <c r="AD475" i="6" l="1"/>
  <c r="W475" i="6"/>
  <c r="AH475" i="6"/>
  <c r="P476" i="6"/>
  <c r="N476" i="6"/>
  <c r="R476" i="6" s="1"/>
  <c r="T476" i="6" s="1"/>
  <c r="M476" i="6"/>
  <c r="Z476" i="6"/>
  <c r="K477" i="6" l="1"/>
  <c r="Q476" i="6"/>
  <c r="U476" i="6" s="1"/>
  <c r="W476" i="6" l="1"/>
  <c r="AH476" i="6"/>
  <c r="AD476" i="6"/>
  <c r="P477" i="6"/>
  <c r="N477" i="6"/>
  <c r="R477" i="6" s="1"/>
  <c r="T477" i="6" s="1"/>
  <c r="Z477" i="6"/>
  <c r="M477" i="6"/>
  <c r="K478" i="6" l="1"/>
  <c r="Q477" i="6"/>
  <c r="U477" i="6" s="1"/>
  <c r="AD477" i="6" l="1"/>
  <c r="AH477" i="6"/>
  <c r="W477" i="6"/>
  <c r="P478" i="6"/>
  <c r="N478" i="6"/>
  <c r="R478" i="6" s="1"/>
  <c r="T478" i="6" s="1"/>
  <c r="Z478" i="6"/>
  <c r="M478" i="6"/>
  <c r="K479" i="6" l="1"/>
  <c r="Q478" i="6"/>
  <c r="U478" i="6" s="1"/>
  <c r="AH478" i="6" l="1"/>
  <c r="AD478" i="6"/>
  <c r="W478" i="6"/>
  <c r="P479" i="6"/>
  <c r="N479" i="6"/>
  <c r="R479" i="6" s="1"/>
  <c r="T479" i="6" s="1"/>
  <c r="Z479" i="6"/>
  <c r="M479" i="6"/>
  <c r="K480" i="6" l="1"/>
  <c r="Q479" i="6"/>
  <c r="U479" i="6" s="1"/>
  <c r="AD479" i="6" l="1"/>
  <c r="AH479" i="6"/>
  <c r="W479" i="6"/>
  <c r="P480" i="6"/>
  <c r="N480" i="6"/>
  <c r="R480" i="6" s="1"/>
  <c r="T480" i="6" s="1"/>
  <c r="Z480" i="6"/>
  <c r="M480" i="6"/>
  <c r="K481" i="6" l="1"/>
  <c r="Q480" i="6"/>
  <c r="U480" i="6" s="1"/>
  <c r="AH480" i="6" l="1"/>
  <c r="AD480" i="6"/>
  <c r="W480" i="6"/>
  <c r="P481" i="6"/>
  <c r="N481" i="6"/>
  <c r="R481" i="6" s="1"/>
  <c r="T481" i="6" s="1"/>
  <c r="M481" i="6"/>
  <c r="Z481" i="6"/>
  <c r="K482" i="6" l="1"/>
  <c r="Q481" i="6"/>
  <c r="U481" i="6" s="1"/>
  <c r="AD481" i="6" l="1"/>
  <c r="W481" i="6"/>
  <c r="AH481" i="6"/>
  <c r="P482" i="6"/>
  <c r="N482" i="6"/>
  <c r="R482" i="6" s="1"/>
  <c r="T482" i="6" s="1"/>
  <c r="M482" i="6"/>
  <c r="Z482" i="6"/>
  <c r="K483" i="6" l="1"/>
  <c r="Q482" i="6"/>
  <c r="U482" i="6" s="1"/>
  <c r="AD482" i="6" l="1"/>
  <c r="W482" i="6"/>
  <c r="AH482" i="6"/>
  <c r="N483" i="6"/>
  <c r="R483" i="6" s="1"/>
  <c r="T483" i="6" s="1"/>
  <c r="P483" i="6"/>
  <c r="Z483" i="6"/>
  <c r="M483" i="6"/>
  <c r="K484" i="6" l="1"/>
  <c r="Q483" i="6"/>
  <c r="U483" i="6" s="1"/>
  <c r="V483" i="6" l="1"/>
  <c r="X483" i="6" s="1"/>
  <c r="AD483" i="6"/>
  <c r="AH483" i="6"/>
  <c r="W483" i="6"/>
  <c r="P484" i="6"/>
  <c r="N484" i="6"/>
  <c r="R484" i="6" s="1"/>
  <c r="T484" i="6" s="1"/>
  <c r="M484" i="6"/>
  <c r="Z484" i="6"/>
  <c r="K485" i="6" l="1"/>
  <c r="Q484" i="6"/>
  <c r="U484" i="6" s="1"/>
  <c r="AD484" i="6" l="1"/>
  <c r="W484" i="6"/>
  <c r="AH484" i="6"/>
  <c r="P485" i="6"/>
  <c r="N485" i="6"/>
  <c r="R485" i="6" s="1"/>
  <c r="T485" i="6" s="1"/>
  <c r="Z485" i="6"/>
  <c r="M485" i="6"/>
  <c r="K486" i="6" l="1"/>
  <c r="Q485" i="6"/>
  <c r="U485" i="6" s="1"/>
  <c r="AH485" i="6" l="1"/>
  <c r="AD485" i="6"/>
  <c r="W485" i="6"/>
  <c r="P486" i="6"/>
  <c r="N486" i="6"/>
  <c r="R486" i="6" s="1"/>
  <c r="T486" i="6" s="1"/>
  <c r="Z486" i="6"/>
  <c r="M486" i="6"/>
  <c r="K487" i="6" l="1"/>
  <c r="Q486" i="6"/>
  <c r="U486" i="6" s="1"/>
  <c r="W486" i="6" l="1"/>
  <c r="AH486" i="6"/>
  <c r="AD486" i="6"/>
  <c r="N487" i="6"/>
  <c r="R487" i="6" s="1"/>
  <c r="T487" i="6" s="1"/>
  <c r="P487" i="6"/>
  <c r="Z487" i="6"/>
  <c r="M487" i="6"/>
  <c r="K488" i="6" l="1"/>
  <c r="Q487" i="6"/>
  <c r="U487" i="6" s="1"/>
  <c r="AH487" i="6" l="1"/>
  <c r="W487" i="6"/>
  <c r="AD487" i="6"/>
  <c r="P488" i="6"/>
  <c r="N488" i="6"/>
  <c r="R488" i="6" s="1"/>
  <c r="T488" i="6" s="1"/>
  <c r="Z488" i="6"/>
  <c r="M488" i="6"/>
  <c r="K489" i="6" l="1"/>
  <c r="Q488" i="6"/>
  <c r="U488" i="6" s="1"/>
  <c r="W488" i="6" l="1"/>
  <c r="AH488" i="6"/>
  <c r="AD488" i="6"/>
  <c r="P489" i="6"/>
  <c r="N489" i="6"/>
  <c r="R489" i="6" s="1"/>
  <c r="T489" i="6" s="1"/>
  <c r="M489" i="6"/>
  <c r="Z489" i="6"/>
  <c r="K490" i="6" l="1"/>
  <c r="Q489" i="6"/>
  <c r="U489" i="6" s="1"/>
  <c r="AD489" i="6" l="1"/>
  <c r="W489" i="6"/>
  <c r="AH489" i="6"/>
  <c r="P490" i="6"/>
  <c r="N490" i="6"/>
  <c r="R490" i="6" s="1"/>
  <c r="T490" i="6" s="1"/>
  <c r="Z490" i="6"/>
  <c r="M490" i="6"/>
  <c r="K491" i="6" l="1"/>
  <c r="Q490" i="6"/>
  <c r="U490" i="6" s="1"/>
  <c r="AD490" i="6" l="1"/>
  <c r="AH490" i="6"/>
  <c r="W490" i="6"/>
  <c r="P491" i="6"/>
  <c r="N491" i="6"/>
  <c r="R491" i="6" s="1"/>
  <c r="T491" i="6" s="1"/>
  <c r="Z491" i="6"/>
  <c r="M491" i="6"/>
  <c r="K492" i="6" l="1"/>
  <c r="Q491" i="6"/>
  <c r="U491" i="6" s="1"/>
  <c r="W491" i="6" l="1"/>
  <c r="AH491" i="6"/>
  <c r="AD491" i="6"/>
  <c r="P492" i="6"/>
  <c r="N492" i="6"/>
  <c r="R492" i="6" s="1"/>
  <c r="T492" i="6" s="1"/>
  <c r="Z492" i="6"/>
  <c r="M492" i="6"/>
  <c r="K493" i="6" l="1"/>
  <c r="Q492" i="6"/>
  <c r="U492" i="6" s="1"/>
  <c r="N493" i="6" l="1"/>
  <c r="R493" i="6" s="1"/>
  <c r="T493" i="6" s="1"/>
  <c r="P493" i="6"/>
  <c r="M493" i="6"/>
  <c r="Z493" i="6"/>
  <c r="AD492" i="6"/>
  <c r="AH492" i="6"/>
  <c r="W492" i="6"/>
  <c r="K494" i="6" l="1"/>
  <c r="Q493" i="6"/>
  <c r="U493" i="6" s="1"/>
  <c r="AH493" i="6" l="1"/>
  <c r="W493" i="6"/>
  <c r="AD493" i="6"/>
  <c r="N494" i="6"/>
  <c r="R494" i="6" s="1"/>
  <c r="T494" i="6" s="1"/>
  <c r="P494" i="6"/>
  <c r="M494" i="6"/>
  <c r="Z494" i="6"/>
  <c r="K495" i="6" l="1"/>
  <c r="Q494" i="6"/>
  <c r="U494" i="6" s="1"/>
  <c r="AD494" i="6" l="1"/>
  <c r="AH494" i="6"/>
  <c r="W494" i="6"/>
  <c r="P495" i="6"/>
  <c r="N495" i="6"/>
  <c r="R495" i="6" s="1"/>
  <c r="T495" i="6" s="1"/>
  <c r="Z495" i="6"/>
  <c r="M495" i="6"/>
  <c r="K496" i="6" l="1"/>
  <c r="Q495" i="6"/>
  <c r="U495" i="6" s="1"/>
  <c r="V495" i="6" l="1"/>
  <c r="X495" i="6" s="1"/>
  <c r="AD495" i="6"/>
  <c r="W495" i="6"/>
  <c r="AH495" i="6"/>
  <c r="P496" i="6"/>
  <c r="N496" i="6"/>
  <c r="R496" i="6" s="1"/>
  <c r="T496" i="6" s="1"/>
  <c r="M496" i="6"/>
  <c r="Z496" i="6"/>
  <c r="K497" i="6" l="1"/>
  <c r="Q496" i="6"/>
  <c r="U496" i="6" s="1"/>
  <c r="W496" i="6" l="1"/>
  <c r="AD496" i="6"/>
  <c r="AH496" i="6"/>
  <c r="P497" i="6"/>
  <c r="N497" i="6"/>
  <c r="R497" i="6" s="1"/>
  <c r="T497" i="6" s="1"/>
  <c r="M497" i="6"/>
  <c r="Z497" i="6"/>
  <c r="K498" i="6" l="1"/>
  <c r="Q497" i="6"/>
  <c r="U497" i="6" s="1"/>
  <c r="AD497" i="6" l="1"/>
  <c r="W497" i="6"/>
  <c r="AH497" i="6"/>
  <c r="P498" i="6"/>
  <c r="N498" i="6"/>
  <c r="R498" i="6" s="1"/>
  <c r="T498" i="6" s="1"/>
  <c r="M498" i="6"/>
  <c r="Z498" i="6"/>
  <c r="K499" i="6" l="1"/>
  <c r="Q498" i="6"/>
  <c r="U498" i="6" s="1"/>
  <c r="AH498" i="6" l="1"/>
  <c r="AD498" i="6"/>
  <c r="W498" i="6"/>
  <c r="P499" i="6"/>
  <c r="N499" i="6"/>
  <c r="R499" i="6" s="1"/>
  <c r="T499" i="6" s="1"/>
  <c r="Z499" i="6"/>
  <c r="M499" i="6"/>
  <c r="K500" i="6" l="1"/>
  <c r="Q499" i="6"/>
  <c r="U499" i="6" s="1"/>
  <c r="AD499" i="6" l="1"/>
  <c r="W499" i="6"/>
  <c r="AH499" i="6"/>
  <c r="P500" i="6"/>
  <c r="N500" i="6"/>
  <c r="R500" i="6" s="1"/>
  <c r="T500" i="6" s="1"/>
  <c r="Z500" i="6"/>
  <c r="M500" i="6"/>
  <c r="K501" i="6" l="1"/>
  <c r="Q500" i="6"/>
  <c r="U500" i="6" s="1"/>
  <c r="AD500" i="6" l="1"/>
  <c r="W500" i="6"/>
  <c r="AH500" i="6"/>
  <c r="P501" i="6"/>
  <c r="N501" i="6"/>
  <c r="R501" i="6" s="1"/>
  <c r="T501" i="6" s="1"/>
  <c r="Z501" i="6"/>
  <c r="M501" i="6"/>
  <c r="K502" i="6" l="1"/>
  <c r="Q501" i="6"/>
  <c r="U501" i="6" s="1"/>
  <c r="W501" i="6" l="1"/>
  <c r="AH501" i="6"/>
  <c r="AD501" i="6"/>
  <c r="P502" i="6"/>
  <c r="N502" i="6"/>
  <c r="R502" i="6" s="1"/>
  <c r="T502" i="6" s="1"/>
  <c r="M502" i="6"/>
  <c r="Z502" i="6"/>
  <c r="K503" i="6" l="1"/>
  <c r="Q502" i="6"/>
  <c r="U502" i="6" s="1"/>
  <c r="AD502" i="6" l="1"/>
  <c r="W502" i="6"/>
  <c r="AH502" i="6"/>
  <c r="N503" i="6"/>
  <c r="R503" i="6" s="1"/>
  <c r="T503" i="6" s="1"/>
  <c r="P503" i="6"/>
  <c r="Z503" i="6"/>
  <c r="M503" i="6"/>
  <c r="K504" i="6" l="1"/>
  <c r="Q503" i="6"/>
  <c r="U503" i="6" s="1"/>
  <c r="AD503" i="6" l="1"/>
  <c r="AH503" i="6"/>
  <c r="W503" i="6"/>
  <c r="P504" i="6"/>
  <c r="N504" i="6"/>
  <c r="R504" i="6" s="1"/>
  <c r="T504" i="6" s="1"/>
  <c r="M504" i="6"/>
  <c r="Z504" i="6"/>
  <c r="K505" i="6" l="1"/>
  <c r="Q504" i="6"/>
  <c r="U504" i="6" s="1"/>
  <c r="W504" i="6" l="1"/>
  <c r="AD504" i="6"/>
  <c r="AH504" i="6"/>
  <c r="P505" i="6"/>
  <c r="N505" i="6"/>
  <c r="R505" i="6" s="1"/>
  <c r="T505" i="6" s="1"/>
  <c r="M505" i="6"/>
  <c r="Z505" i="6"/>
  <c r="K506" i="6" l="1"/>
  <c r="Q505" i="6"/>
  <c r="U505" i="6" s="1"/>
  <c r="AH505" i="6" l="1"/>
  <c r="W505" i="6"/>
  <c r="AD505" i="6"/>
  <c r="P506" i="6"/>
  <c r="N506" i="6"/>
  <c r="R506" i="6" s="1"/>
  <c r="T506" i="6" s="1"/>
  <c r="M506" i="6"/>
  <c r="Z506" i="6"/>
  <c r="K507" i="6" l="1"/>
  <c r="Q506" i="6"/>
  <c r="U506" i="6" s="1"/>
  <c r="AH506" i="6" l="1"/>
  <c r="AD506" i="6"/>
  <c r="W506" i="6"/>
  <c r="P507" i="6"/>
  <c r="Q507" i="6" s="1"/>
  <c r="N507" i="6"/>
  <c r="R507" i="6" s="1"/>
  <c r="T507" i="6" s="1"/>
  <c r="M507" i="6"/>
  <c r="Z507" i="6"/>
  <c r="U507" i="6" l="1"/>
  <c r="W507" i="6" s="1"/>
  <c r="AH507" i="6" l="1"/>
  <c r="V507" i="6"/>
  <c r="X507" i="6" s="1"/>
  <c r="AD50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Brady Mullen</author>
  </authors>
  <commentList>
    <comment ref="C8" authorId="0" shapeId="0" xr:uid="{15323595-F5A8-45F4-A6C5-DD4617C20AC9}">
      <text>
        <r>
          <rPr>
            <b/>
            <sz val="12"/>
            <color indexed="81"/>
            <rFont val="Garamond"/>
            <family val="1"/>
          </rPr>
          <t>Dan Mullen:</t>
        </r>
        <r>
          <rPr>
            <sz val="12"/>
            <color indexed="81"/>
            <rFont val="Garamond"/>
            <family val="1"/>
          </rPr>
          <t xml:space="preserve">
This is the purchase price (not listed price or appraised value).</t>
        </r>
      </text>
    </comment>
    <comment ref="C9" authorId="0" shapeId="0" xr:uid="{5BB7656E-4374-4F40-9DB7-DFB841A737D8}">
      <text>
        <r>
          <rPr>
            <b/>
            <sz val="12"/>
            <color indexed="81"/>
            <rFont val="Garamond"/>
            <family val="1"/>
          </rPr>
          <t>Dan Mullen:</t>
        </r>
        <r>
          <rPr>
            <sz val="12"/>
            <color indexed="81"/>
            <rFont val="Garamond"/>
            <family val="1"/>
          </rPr>
          <t xml:space="preserve">
If the investor has a specific amount to purchase, then estimate the percentage as close as possible.</t>
        </r>
      </text>
    </comment>
    <comment ref="C11" authorId="0" shapeId="0" xr:uid="{CD9D79BA-B713-4B5C-939C-BB678ED38655}">
      <text>
        <r>
          <rPr>
            <b/>
            <sz val="12"/>
            <color indexed="81"/>
            <rFont val="Garamond"/>
            <family val="1"/>
          </rPr>
          <t>Dan Mullen:</t>
        </r>
        <r>
          <rPr>
            <sz val="12"/>
            <color indexed="81"/>
            <rFont val="Garamond"/>
            <family val="1"/>
          </rPr>
          <t xml:space="preserve">
This includes any additional investment needed to prepare the property for tenants.
This could also include upgrades desired.</t>
        </r>
      </text>
    </comment>
    <comment ref="C12" authorId="0" shapeId="0" xr:uid="{7BC540A8-2598-4CA8-9067-087B3EFB6262}">
      <text>
        <r>
          <rPr>
            <b/>
            <sz val="12"/>
            <color indexed="81"/>
            <rFont val="Garamond"/>
            <family val="1"/>
          </rPr>
          <t>Dan Mullen:</t>
        </r>
        <r>
          <rPr>
            <sz val="12"/>
            <color indexed="81"/>
            <rFont val="Garamond"/>
            <family val="1"/>
          </rPr>
          <t xml:space="preserve">
This would be any equity achieved by any of the following methods:
1.  Sweat equity
2. Additional value of improvements
3. Equity acquired from the seller, such as a family member, or an off-market transaction.
This amount will immediately be added to equity in the home on the graphs and tables.</t>
        </r>
      </text>
    </comment>
    <comment ref="C13" authorId="0" shapeId="0" xr:uid="{FC776072-A9A2-423B-AA65-580F6FE62A93}">
      <text>
        <r>
          <rPr>
            <b/>
            <sz val="12"/>
            <color indexed="81"/>
            <rFont val="Garamond"/>
            <family val="1"/>
          </rPr>
          <t>Dan Mullen:</t>
        </r>
        <r>
          <rPr>
            <sz val="12"/>
            <color indexed="81"/>
            <rFont val="Garamond"/>
            <family val="1"/>
          </rPr>
          <t xml:space="preserve">
This is an estimate of closing costs (not including points) paid by the investor.</t>
        </r>
      </text>
    </comment>
    <comment ref="C14" authorId="0" shapeId="0" xr:uid="{62C47F80-1912-4524-967B-489D6BA452F3}">
      <text>
        <r>
          <rPr>
            <b/>
            <sz val="12"/>
            <color indexed="81"/>
            <rFont val="Garamond"/>
            <family val="1"/>
          </rPr>
          <t>Dan Mullen:</t>
        </r>
        <r>
          <rPr>
            <sz val="12"/>
            <color indexed="81"/>
            <rFont val="Garamond"/>
            <family val="1"/>
          </rPr>
          <t xml:space="preserve">
This is the cost, expressed as a percentage of the loan amount, for the loan.</t>
        </r>
      </text>
    </comment>
    <comment ref="C16" authorId="0" shapeId="0" xr:uid="{11E6B69E-67E9-4950-9D95-1B0163BCBFE5}">
      <text>
        <r>
          <rPr>
            <b/>
            <sz val="12"/>
            <color indexed="81"/>
            <rFont val="Garamond"/>
            <family val="1"/>
          </rPr>
          <t>Dan Mullen:</t>
        </r>
        <r>
          <rPr>
            <sz val="12"/>
            <color indexed="81"/>
            <rFont val="Garamond"/>
            <family val="1"/>
          </rPr>
          <t xml:space="preserve">
This is a "catch-all" expense for any other expense at purchase that doesn't fit any of the other descriptions.
This could include legal fees, account setup for retirement account investing, advisory fees, etc.</t>
        </r>
      </text>
    </comment>
    <comment ref="C21" authorId="0" shapeId="0" xr:uid="{1486EB42-2A18-4458-88B0-CD4C733084ED}">
      <text>
        <r>
          <rPr>
            <b/>
            <sz val="12"/>
            <color indexed="81"/>
            <rFont val="Garamond"/>
            <family val="1"/>
          </rPr>
          <t>Dan Mullen:</t>
        </r>
        <r>
          <rPr>
            <sz val="12"/>
            <color indexed="81"/>
            <rFont val="Garamond"/>
            <family val="1"/>
          </rPr>
          <t xml:space="preserve">
This is used for projecting the performance of the investment.
This is simply how often the property is leased.</t>
        </r>
      </text>
    </comment>
    <comment ref="C22" authorId="0" shapeId="0" xr:uid="{5C934388-58AE-46D1-86E5-F73A24365E39}">
      <text>
        <r>
          <rPr>
            <b/>
            <sz val="12"/>
            <color indexed="81"/>
            <rFont val="Garamond"/>
            <family val="1"/>
          </rPr>
          <t>Dan Mullen:</t>
        </r>
        <r>
          <rPr>
            <sz val="12"/>
            <color indexed="81"/>
            <rFont val="Garamond"/>
            <family val="1"/>
          </rPr>
          <t xml:space="preserve">
This field allows you to project the effect of putting all extra cash flow against the loan to pay it off early.</t>
        </r>
      </text>
    </comment>
    <comment ref="C25" authorId="0" shapeId="0" xr:uid="{5EE0C81F-D606-46BA-B2FA-284703291C59}">
      <text>
        <r>
          <rPr>
            <b/>
            <sz val="12"/>
            <color indexed="81"/>
            <rFont val="Garamond"/>
            <family val="1"/>
          </rPr>
          <t>Dan Mullen:</t>
        </r>
        <r>
          <rPr>
            <sz val="12"/>
            <color indexed="81"/>
            <rFont val="Garamond"/>
            <family val="1"/>
          </rPr>
          <t xml:space="preserve">
This will show the effect of a seller paying for a rate buydown.</t>
        </r>
      </text>
    </comment>
    <comment ref="C31" authorId="0" shapeId="0" xr:uid="{6985B858-4127-4D96-9257-4415CF0DC70D}">
      <text>
        <r>
          <rPr>
            <b/>
            <sz val="12"/>
            <color indexed="81"/>
            <rFont val="Garamond"/>
            <family val="1"/>
          </rPr>
          <t>Dan Mullen:</t>
        </r>
        <r>
          <rPr>
            <sz val="12"/>
            <color indexed="81"/>
            <rFont val="Garamond"/>
            <family val="1"/>
          </rPr>
          <t xml:space="preserve">
Only add a monthly expense in this field if the investor/landlord is paying that expense.</t>
        </r>
      </text>
    </comment>
    <comment ref="C32" authorId="0" shapeId="0" xr:uid="{4FC9C34B-17E7-49D1-9F4E-9780A30FECE6}">
      <text>
        <r>
          <rPr>
            <b/>
            <sz val="12"/>
            <color indexed="81"/>
            <rFont val="Garamond"/>
            <family val="1"/>
          </rPr>
          <t>Dan Mullen:</t>
        </r>
        <r>
          <rPr>
            <sz val="12"/>
            <color indexed="81"/>
            <rFont val="Garamond"/>
            <family val="1"/>
          </rPr>
          <t xml:space="preserve">
This expense represents the annual budget needed for 1) ongoing maintenance and repairs, and 2) capital expenses.
Common capital expenses include, but aren't limited to:
1. Roof replacement
2. Boiler/furnace
3. Water heater
4. Fence
Here are some rough estimates for this field as a % of the sale price:
SFR:  0.75%
Condo/Townhome:  0.35%
4-plex:  0.50% 
Triplex:  0.55%
Duplex:  0.60%</t>
        </r>
      </text>
    </comment>
    <comment ref="C33" authorId="0" shapeId="0" xr:uid="{554ABE22-5151-4002-A236-CB9E17F4A31E}">
      <text>
        <r>
          <rPr>
            <b/>
            <sz val="12"/>
            <color indexed="81"/>
            <rFont val="Garamond"/>
            <family val="1"/>
          </rPr>
          <t>Dan Mullen:</t>
        </r>
        <r>
          <rPr>
            <sz val="12"/>
            <color indexed="81"/>
            <rFont val="Garamond"/>
            <family val="1"/>
          </rPr>
          <t xml:space="preserve">
This is "catch-all" for any other monthly expense that may not fit another category.
Some examples that might go here would be:
1. Mortgage Insurance
2. Payment on debt used to produce a down payment (like a HELOC on another property)</t>
        </r>
      </text>
    </comment>
    <comment ref="C34" authorId="0" shapeId="0" xr:uid="{22EE6EA8-3931-4405-A387-54D8EEDFBB60}">
      <text>
        <r>
          <rPr>
            <b/>
            <sz val="12"/>
            <color indexed="81"/>
            <rFont val="Garamond"/>
            <family val="1"/>
          </rPr>
          <t>Dan Mullen:</t>
        </r>
        <r>
          <rPr>
            <sz val="12"/>
            <color indexed="81"/>
            <rFont val="Garamond"/>
            <family val="1"/>
          </rPr>
          <t xml:space="preserve">
This is the time IN MONTHS that the "Other Monthly Cost" lasts.
For instance:
1 year = 12 months
3 years = 36 months
5 years = 60 months
10 years = 120 months</t>
        </r>
      </text>
    </comment>
    <comment ref="C35" authorId="0" shapeId="0" xr:uid="{E2964AFF-F2EB-4731-B006-2CDC9AA22977}">
      <text>
        <r>
          <rPr>
            <b/>
            <sz val="12"/>
            <color indexed="81"/>
            <rFont val="Garamond"/>
            <family val="1"/>
          </rPr>
          <t>Dan Mullen:</t>
        </r>
        <r>
          <rPr>
            <sz val="12"/>
            <color indexed="81"/>
            <rFont val="Garamond"/>
            <family val="1"/>
          </rPr>
          <t xml:space="preserve">
This determines whether the cost of management will be subtracted from the cash flow.
The actual cost of management is determined on the "</t>
        </r>
        <r>
          <rPr>
            <b/>
            <sz val="12"/>
            <color indexed="81"/>
            <rFont val="Garamond"/>
            <family val="1"/>
          </rPr>
          <t>Advanced Variables</t>
        </r>
        <r>
          <rPr>
            <sz val="12"/>
            <color indexed="81"/>
            <rFont val="Garamond"/>
            <family val="1"/>
          </rPr>
          <t>" sheet.</t>
        </r>
      </text>
    </comment>
    <comment ref="C41" authorId="0" shapeId="0" xr:uid="{F71C6116-E622-4AF1-8B32-E9C31DABD201}">
      <text>
        <r>
          <rPr>
            <b/>
            <sz val="12"/>
            <color indexed="81"/>
            <rFont val="Garamond"/>
            <family val="1"/>
          </rPr>
          <t>Dan Mullen:</t>
        </r>
        <r>
          <rPr>
            <sz val="12"/>
            <color indexed="81"/>
            <rFont val="Garamond"/>
            <family val="1"/>
          </rPr>
          <t xml:space="preserve">
This determines the annual appreciation of the value of the property.
This number should be close to 1.25 to 1.5 times </t>
        </r>
        <r>
          <rPr>
            <b/>
            <sz val="12"/>
            <color indexed="81"/>
            <rFont val="Garamond"/>
            <family val="1"/>
          </rPr>
          <t>Annual Inflation (%)</t>
        </r>
        <r>
          <rPr>
            <sz val="12"/>
            <color indexed="81"/>
            <rFont val="Garamond"/>
            <family val="1"/>
          </rPr>
          <t>.</t>
        </r>
      </text>
    </comment>
    <comment ref="C42" authorId="0" shapeId="0" xr:uid="{A8309A50-C419-476B-8074-E08F42D2BA75}">
      <text>
        <r>
          <rPr>
            <b/>
            <sz val="12"/>
            <color indexed="81"/>
            <rFont val="Garamond"/>
            <family val="1"/>
          </rPr>
          <t>Dan Mullen:</t>
        </r>
        <r>
          <rPr>
            <sz val="12"/>
            <color indexed="81"/>
            <rFont val="Garamond"/>
            <family val="1"/>
          </rPr>
          <t xml:space="preserve">
This determines the rate at which ownership expenses increase.
The mortgage principal and interest are not affected by this.</t>
        </r>
      </text>
    </comment>
    <comment ref="C43" authorId="0" shapeId="0" xr:uid="{D094CB2A-3218-4E59-8DD9-4EF7B95CEC20}">
      <text>
        <r>
          <rPr>
            <b/>
            <sz val="12"/>
            <color indexed="81"/>
            <rFont val="Garamond"/>
            <family val="1"/>
          </rPr>
          <t>Dan Mullen:</t>
        </r>
        <r>
          <rPr>
            <sz val="12"/>
            <color indexed="81"/>
            <rFont val="Garamond"/>
            <family val="1"/>
          </rPr>
          <t xml:space="preserve">
This determines the rate at which rent increases.
This should be between 1.3 and 1.6 times </t>
        </r>
        <r>
          <rPr>
            <b/>
            <sz val="12"/>
            <color indexed="81"/>
            <rFont val="Garamond"/>
            <family val="1"/>
          </rPr>
          <t>Annual Inflation (%)</t>
        </r>
      </text>
    </comment>
    <comment ref="C45" authorId="0" shapeId="0" xr:uid="{5ED85991-D2C6-41D3-B236-2D19CE97F377}">
      <text>
        <r>
          <rPr>
            <b/>
            <sz val="12"/>
            <color indexed="81"/>
            <rFont val="Garamond"/>
            <family val="1"/>
          </rPr>
          <t>Dan Mullen:</t>
        </r>
        <r>
          <rPr>
            <sz val="12"/>
            <color indexed="81"/>
            <rFont val="Garamond"/>
            <family val="1"/>
          </rPr>
          <t xml:space="preserve">
This field is unique.  This field is a hypothetical rate of investment return.
The purpose of this is to show what would happen if the money used to purchase this property were invested instead and earned this hypothetical rate of return.
This shows up on the "Total Investment Value" graph above as the plum-colored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Brady Mullen</author>
  </authors>
  <commentList>
    <comment ref="D9" authorId="0" shapeId="0" xr:uid="{F6051BCD-7C7C-475D-9F86-F4EB29F170DF}">
      <text>
        <r>
          <rPr>
            <b/>
            <sz val="12"/>
            <color indexed="81"/>
            <rFont val="Garamond"/>
            <family val="1"/>
          </rPr>
          <t>Dan Mullen:</t>
        </r>
        <r>
          <rPr>
            <sz val="12"/>
            <color indexed="81"/>
            <rFont val="Garamond"/>
            <family val="1"/>
          </rPr>
          <t xml:space="preserve">
This does not currently affect any of the projections.
Its purpose is to allow the calculation of Internal Rate of Return (IRR), which requires a sell date.
When real estate is sold, of course, there are costs, so this amount would be subtracted from the value at the sale to determine IRR.</t>
        </r>
      </text>
    </comment>
    <comment ref="D11" authorId="0" shapeId="0" xr:uid="{DD6678AA-621A-43E1-A307-7AC0191AAF47}">
      <text>
        <r>
          <rPr>
            <b/>
            <sz val="12"/>
            <color indexed="81"/>
            <rFont val="Garamond"/>
            <family val="1"/>
          </rPr>
          <t>Dan Mullen:</t>
        </r>
        <r>
          <rPr>
            <sz val="12"/>
            <color indexed="81"/>
            <rFont val="Garamond"/>
            <family val="1"/>
          </rPr>
          <t xml:space="preserve">
This determines the opportunity value of cash received (or paid).
When net cash flow is received from a rental, it accumulates in the projections and </t>
        </r>
        <r>
          <rPr>
            <i/>
            <sz val="12"/>
            <color indexed="81"/>
            <rFont val="Garamond"/>
            <family val="1"/>
          </rPr>
          <t xml:space="preserve">earns </t>
        </r>
        <r>
          <rPr>
            <sz val="12"/>
            <color indexed="81"/>
            <rFont val="Garamond"/>
            <family val="1"/>
          </rPr>
          <t xml:space="preserve">this rate of return.
When a real estate investment has </t>
        </r>
        <r>
          <rPr>
            <i/>
            <sz val="12"/>
            <color indexed="81"/>
            <rFont val="Garamond"/>
            <family val="1"/>
          </rPr>
          <t xml:space="preserve">negative </t>
        </r>
        <r>
          <rPr>
            <sz val="12"/>
            <color indexed="81"/>
            <rFont val="Garamond"/>
            <family val="1"/>
          </rPr>
          <t>cash flow, the amount used to fund the investment also grows by this amount (showing what it might have done, had it been invested elsewhere).</t>
        </r>
      </text>
    </comment>
    <comment ref="D14" authorId="0" shapeId="0" xr:uid="{0F64E08C-AE37-4F67-802E-FC811D430FE5}">
      <text>
        <r>
          <rPr>
            <b/>
            <sz val="12"/>
            <color indexed="81"/>
            <rFont val="Garamond"/>
            <family val="1"/>
          </rPr>
          <t>Dan Mullen:</t>
        </r>
        <r>
          <rPr>
            <sz val="12"/>
            <color indexed="81"/>
            <rFont val="Garamond"/>
            <family val="1"/>
          </rPr>
          <t xml:space="preserve">
This is the management cost as a percentage of monthly rent.</t>
        </r>
      </text>
    </comment>
    <comment ref="D15" authorId="0" shapeId="0" xr:uid="{CE1D3BFC-C3F7-4A33-AAEF-DBD3B5F8ED14}">
      <text>
        <r>
          <rPr>
            <b/>
            <sz val="12"/>
            <color indexed="81"/>
            <rFont val="Garamond"/>
            <family val="1"/>
          </rPr>
          <t>Dan Mullen:</t>
        </r>
        <r>
          <rPr>
            <sz val="12"/>
            <color indexed="81"/>
            <rFont val="Garamond"/>
            <family val="1"/>
          </rPr>
          <t xml:space="preserve">
This is for management costs that are fixed amounts each month.</t>
        </r>
      </text>
    </comment>
    <comment ref="D16" authorId="0" shapeId="0" xr:uid="{89689AFA-5601-4C43-A1E0-EE36922F43C6}">
      <text>
        <r>
          <rPr>
            <b/>
            <sz val="12"/>
            <color indexed="81"/>
            <rFont val="Garamond"/>
            <family val="1"/>
          </rPr>
          <t>Dan Mullen:</t>
        </r>
        <r>
          <rPr>
            <sz val="12"/>
            <color indexed="81"/>
            <rFont val="Garamond"/>
            <family val="1"/>
          </rPr>
          <t xml:space="preserve">
This is the fee a management company may charge to get a property leased.
This is expressed as a percentage of the monthly rent.</t>
        </r>
      </text>
    </comment>
    <comment ref="D17" authorId="0" shapeId="0" xr:uid="{C637254B-38EC-4FDE-95FD-DC4CF93C3922}">
      <text>
        <r>
          <rPr>
            <b/>
            <sz val="12"/>
            <color indexed="81"/>
            <rFont val="Garamond"/>
            <family val="1"/>
          </rPr>
          <t>Dan Mullen:</t>
        </r>
        <r>
          <rPr>
            <sz val="12"/>
            <color indexed="81"/>
            <rFont val="Garamond"/>
            <family val="1"/>
          </rPr>
          <t xml:space="preserve">
This is the fee a management company may charge to get a property leased.
This is expressed as a fixed dollar amount.</t>
        </r>
      </text>
    </comment>
    <comment ref="D18" authorId="0" shapeId="0" xr:uid="{BFC8F93A-9EA9-4227-8447-1D57D6C0B535}">
      <text>
        <r>
          <rPr>
            <b/>
            <sz val="12"/>
            <color indexed="81"/>
            <rFont val="Garamond"/>
            <family val="1"/>
          </rPr>
          <t>Dan Mullen:</t>
        </r>
        <r>
          <rPr>
            <sz val="12"/>
            <color indexed="81"/>
            <rFont val="Garamond"/>
            <family val="1"/>
          </rPr>
          <t xml:space="preserve">
This field tells the calculator how often to assume the Lease Up Fee is charged.
It can also be thought of as the average time that a tenant stays in the property.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Brady Mullen</author>
  </authors>
  <commentList>
    <comment ref="AB12" authorId="0" shapeId="0" xr:uid="{C4012F42-8A07-4BF9-9F79-7675FEABAC29}">
      <text>
        <r>
          <rPr>
            <b/>
            <sz val="9"/>
            <color indexed="81"/>
            <rFont val="Tahoma"/>
            <family val="2"/>
          </rPr>
          <t>Brady Mullen:</t>
        </r>
        <r>
          <rPr>
            <sz val="9"/>
            <color indexed="81"/>
            <rFont val="Tahoma"/>
            <family val="2"/>
          </rPr>
          <t xml:space="preserve">
Necessary to calculate APR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<sst xmlns="http://schemas.openxmlformats.org/spreadsheetml/2006/main" count="241" uniqueCount="190">
  <si>
    <t>Rent</t>
  </si>
  <si>
    <t>Home Value</t>
  </si>
  <si>
    <t>Loan Value</t>
  </si>
  <si>
    <t>Equity</t>
  </si>
  <si>
    <t>Loan Rate</t>
  </si>
  <si>
    <t>Monthly P&amp;I</t>
  </si>
  <si>
    <t>PI (Fully Indexed)</t>
  </si>
  <si>
    <t>HOA</t>
  </si>
  <si>
    <t>Rental Expense (25% of Monthly Rent)</t>
  </si>
  <si>
    <t>1st Bank Factor</t>
  </si>
  <si>
    <t>1st Bank Loan Eligibility</t>
  </si>
  <si>
    <t>Monthly Tax</t>
  </si>
  <si>
    <t>Monthly Insurance</t>
  </si>
  <si>
    <t>Total P &amp; I &amp; CF / Month</t>
  </si>
  <si>
    <t>*Credit score is considered, as well as a personal financial statement.  35% downpayment required.</t>
  </si>
  <si>
    <t>For Cash out refi's LTV &lt;= 55%</t>
  </si>
  <si>
    <t>End of Month</t>
  </si>
  <si>
    <t>Monthly Increase in Wealth</t>
  </si>
  <si>
    <t>Total Investment Value</t>
  </si>
  <si>
    <t>Down Payment (%)</t>
  </si>
  <si>
    <t>Initial Equity</t>
  </si>
  <si>
    <t>1st Bank requires 3-6 months' worth of PITI and HOA in reserves</t>
  </si>
  <si>
    <t>Transaction</t>
  </si>
  <si>
    <t>Ownership Expenses</t>
  </si>
  <si>
    <t>N/A</t>
  </si>
  <si>
    <t>Annual
Increase in
Wealth</t>
  </si>
  <si>
    <t>Free Cash/Mo</t>
  </si>
  <si>
    <t>Sale Price</t>
  </si>
  <si>
    <t>Loan Term (yrs)</t>
  </si>
  <si>
    <t>P&amp;I Payment</t>
  </si>
  <si>
    <t>Yes</t>
  </si>
  <si>
    <t>No</t>
  </si>
  <si>
    <t>Net Income toward Loan?</t>
  </si>
  <si>
    <t>Total Initial Investment</t>
  </si>
  <si>
    <t>Closing Costs</t>
  </si>
  <si>
    <t>Monthly Rent</t>
  </si>
  <si>
    <t>Rent Occupancy (%)</t>
  </si>
  <si>
    <t>Annual Inflation (%)</t>
  </si>
  <si>
    <t>Annual Appreciation (%)</t>
  </si>
  <si>
    <t>Annual Rent Increase (%)</t>
  </si>
  <si>
    <t>Monthly Interest</t>
  </si>
  <si>
    <t>Annual Interest</t>
  </si>
  <si>
    <t>Gross Annual Income</t>
  </si>
  <si>
    <t>Estimated Annual Tax Deduction</t>
  </si>
  <si>
    <t>Monthly Owner Expenses</t>
  </si>
  <si>
    <t>Assumptions</t>
  </si>
  <si>
    <t>Performance Metrics - Year 10</t>
  </si>
  <si>
    <t>Accumulated Cash</t>
  </si>
  <si>
    <t>Annualized Return</t>
  </si>
  <si>
    <t>Monthly Expenses</t>
  </si>
  <si>
    <t>Expenses (excl. P&amp;I)</t>
  </si>
  <si>
    <t>Insurance (Annual)</t>
  </si>
  <si>
    <t>Tax (Annual)</t>
  </si>
  <si>
    <t>Year 0</t>
  </si>
  <si>
    <t>Year 10</t>
  </si>
  <si>
    <t>Year 20</t>
  </si>
  <si>
    <t>Income</t>
  </si>
  <si>
    <t>Advanced Variables &amp; Table</t>
  </si>
  <si>
    <t>Monthly Rent
(adj. for occpncy)</t>
  </si>
  <si>
    <t>Additional Equity</t>
  </si>
  <si>
    <t>Tax &amp; Insurance</t>
  </si>
  <si>
    <t>Mortgage:</t>
  </si>
  <si>
    <t>Other Expenses:</t>
  </si>
  <si>
    <t>Total Other Expenses</t>
  </si>
  <si>
    <t>Original Loan</t>
  </si>
  <si>
    <t>Net Monthly Income</t>
  </si>
  <si>
    <t>Year 30</t>
  </si>
  <si>
    <t>Expense Total</t>
  </si>
  <si>
    <t>Monthly Income</t>
  </si>
  <si>
    <t>Down Payment ($)</t>
  </si>
  <si>
    <t>Monthly Utilities</t>
  </si>
  <si>
    <t>Comparison Rate</t>
  </si>
  <si>
    <t>Compared Rate</t>
  </si>
  <si>
    <t>Income/Expenses</t>
  </si>
  <si>
    <t>Loan Term</t>
  </si>
  <si>
    <t>Monthly HOA</t>
  </si>
  <si>
    <t>Performance Metrics - Year 5</t>
  </si>
  <si>
    <t>Transaction Details</t>
  </si>
  <si>
    <t>Equal Housing Opportunity. All loans subject to underwriting approval. Certain restrictions apply. Call for details. All borrowers must meet minimum credit score, loan-to-value, debt-to-income, and other requirements to qualify for any mortgage program. CrossCountry Mortgage, LLC NMLS3029 (www.nmlsconsumeraccess.org). Sample rate provided for illustration purposes only and is not intended to provide mortgage or other financial advice specific to the circumstances of any individual and should not be relied upon in that regard. CrossCountry Mortgage, LLC cannot predict where rates will be in the future.</t>
  </si>
  <si>
    <t>APR</t>
  </si>
  <si>
    <t>Hypothetical Payment</t>
  </si>
  <si>
    <t>Cap Rate</t>
  </si>
  <si>
    <t>Initial Net Monthly Income</t>
  </si>
  <si>
    <t>Additional Acquisition Costs</t>
  </si>
  <si>
    <t>Other Monthly Cost</t>
  </si>
  <si>
    <t>Other Monthly Cost Months</t>
  </si>
  <si>
    <t>Other Fixed Monthly Cost</t>
  </si>
  <si>
    <t>Monthly Fee (%)</t>
  </si>
  <si>
    <t>Lease Up Fee (%)</t>
  </si>
  <si>
    <t>Lease Up Fee ($)</t>
  </si>
  <si>
    <t>Monthly Fee ($)</t>
  </si>
  <si>
    <t>Ave Turnover (Months)</t>
  </si>
  <si>
    <t>Management Costs</t>
  </si>
  <si>
    <t>Professional Management?</t>
  </si>
  <si>
    <t>Total Monthly Mgmt Fee</t>
  </si>
  <si>
    <t>Improvement Costs</t>
  </si>
  <si>
    <t>Total Payment</t>
  </si>
  <si>
    <t>Cash Flow Metrics</t>
  </si>
  <si>
    <t>NOI</t>
  </si>
  <si>
    <t>Initial Loan Amount</t>
  </si>
  <si>
    <t>Down Payment</t>
  </si>
  <si>
    <t>Cap Rate at Purchase</t>
  </si>
  <si>
    <t>Cash on Cash at Purchase</t>
  </si>
  <si>
    <t>Monthly Reserve for Maint.</t>
  </si>
  <si>
    <t>Maintenance Budget</t>
  </si>
  <si>
    <t>Maint. Reserves</t>
  </si>
  <si>
    <t>Monthly Management Cost</t>
  </si>
  <si>
    <t>Other Monthly Costs</t>
  </si>
  <si>
    <t>Monthly Revenue</t>
  </si>
  <si>
    <t>Version 18.0</t>
  </si>
  <si>
    <t>Added Cap Rate and CoC to the dashboard &amp; report</t>
  </si>
  <si>
    <t>Changed "Data" sheet to "Advanced"</t>
  </si>
  <si>
    <t>Added a spot on the "Advanced" sheet to add in an extra monthly expense with a timeline (for HELOC's usually)</t>
  </si>
  <si>
    <t>Added more detailed method for putting in cost for property management</t>
  </si>
  <si>
    <t>Made property management a "yes/no" option on dashboard with details of how that cost is calculated on the "advanced" sheet</t>
  </si>
  <si>
    <t>Updated all cell names to be uniform and more descriptive</t>
  </si>
  <si>
    <t>Changed how cash flow looks on dashboard and report.  It now shows cash flow with a recommended budget for repairs and maintenance</t>
  </si>
  <si>
    <t>Added another cell for acquisition costs to account for TWS acquisition fee without having to add it to "closing costs"</t>
  </si>
  <si>
    <t>Added NOI as a named cell to make other cells containing that variable (Cap Rate) easier to read.</t>
  </si>
  <si>
    <t>Added grouping to months and hidden columns to make them easier to open and close when working on the spreadsheet</t>
  </si>
  <si>
    <t>Fees</t>
  </si>
  <si>
    <t>Points</t>
  </si>
  <si>
    <t>Total</t>
  </si>
  <si>
    <t>Closing Costs (Fees)</t>
  </si>
  <si>
    <t>Total Closing Costs</t>
  </si>
  <si>
    <t>Points (%)</t>
  </si>
  <si>
    <t>Cash Flows for 5 yr IRR Calc</t>
  </si>
  <si>
    <t>Cash Flows for 10 yr IRR Calc</t>
  </si>
  <si>
    <t>Cash Compounding Rate (%)</t>
  </si>
  <si>
    <t>Version 18.1</t>
  </si>
  <si>
    <t>Added Value if Sold (this required a new variable "cost of sale %"</t>
  </si>
  <si>
    <t>Added option to buy down rate with "points" and have that separate from closing costs fees</t>
  </si>
  <si>
    <t>Moved "other monthly costs" (for something like a HELOC) to the dashboard</t>
  </si>
  <si>
    <t>Removed snapshots for 15 and 20 years - The only ones left are 5 yrs and 10 yrs</t>
  </si>
  <si>
    <t>Added IRR to dashboard and report</t>
  </si>
  <si>
    <t>Moved some things around on "Client Dashboard", "Advanced", and "Total Investment Value" sheets for aesthetics</t>
  </si>
  <si>
    <t>Version 18.2</t>
  </si>
  <si>
    <t>Removed IRR from dashboard and report</t>
  </si>
  <si>
    <t>Removed Value if Sold from dashboard &amp; report</t>
  </si>
  <si>
    <t>Tot. Inv. Val. If Sold (Incl. Cash)</t>
  </si>
  <si>
    <t>Cost of Sale</t>
  </si>
  <si>
    <t>Performance Metrics - Year 20</t>
  </si>
  <si>
    <t>Added Ranges to data fields</t>
  </si>
  <si>
    <t>Moved TVM and Cost of Sale to "Advanced" Sheet</t>
  </si>
  <si>
    <t>3/2/1 Savings</t>
  </si>
  <si>
    <t>2/1 Savings</t>
  </si>
  <si>
    <t>1/0 Savings</t>
  </si>
  <si>
    <t>Loan Type</t>
  </si>
  <si>
    <t>3-2-1</t>
  </si>
  <si>
    <t>2-1</t>
  </si>
  <si>
    <t>1-0</t>
  </si>
  <si>
    <t>Years</t>
  </si>
  <si>
    <t>Discount</t>
  </si>
  <si>
    <t>Monthly Savings</t>
  </si>
  <si>
    <t>Rate Buydown Type</t>
  </si>
  <si>
    <t>Agent Information</t>
  </si>
  <si>
    <t>Property:</t>
  </si>
  <si>
    <t>Cash Compounding Rate</t>
  </si>
  <si>
    <t>Monthly  Fee (%)</t>
  </si>
  <si>
    <t>Include in notes some guidelines for the cost of insurance and PMI</t>
  </si>
  <si>
    <t>Include in notes some hints about closing costs</t>
  </si>
  <si>
    <t>Net Monthly Income w/o Vacancy &amp; Maintenance</t>
  </si>
  <si>
    <t>1st Yr Tax Deduction (est.)</t>
  </si>
  <si>
    <t>Maintenance &amp; Cap Ex (%)</t>
  </si>
  <si>
    <t>Maintenance Budget (%)</t>
  </si>
  <si>
    <t>Maintenance Budget ($)</t>
  </si>
  <si>
    <t>Performance Metrics - Year 1</t>
  </si>
  <si>
    <t>Accum'd Cash w/ TVM</t>
  </si>
  <si>
    <t>EOY</t>
  </si>
  <si>
    <t>Est. Tax Savings</t>
  </si>
  <si>
    <t>Marginal Income Tax Rate</t>
  </si>
  <si>
    <t>Advanced Metrics</t>
  </si>
  <si>
    <t>Net Operating Inc. (NOI)</t>
  </si>
  <si>
    <t>Net Monthly Income (occ)</t>
  </si>
  <si>
    <t>Return on Equity (ROE)</t>
  </si>
  <si>
    <t>Cash on Cash (CoC)</t>
  </si>
  <si>
    <t>Business Development</t>
  </si>
  <si>
    <t>Total Expenses
NOE + Debt Service</t>
  </si>
  <si>
    <t>NOE</t>
  </si>
  <si>
    <t>Dan Mullen, CPA</t>
  </si>
  <si>
    <t>(801) 865-1867</t>
  </si>
  <si>
    <t>TheCPAMortgageGuy@gmail.com</t>
  </si>
  <si>
    <t>NMLS#2307504</t>
  </si>
  <si>
    <t>Equal Housing Opportunity. All loans subject to underwriting approval. Certain restrictions apply. Call for details. All borrowers must meet minimum credit score, loan-to-value, debt-to-income, and other requirements to qualify for any mortgage program. Summit Home Loans, LLC NMLS1790749 (www.nmlsconsumeraccess.org). Sample rate provided for illustration purposes only and is not intended to provide mortgage or other financial advice specific to the circumstances of any individual and should not be relied upon in that regard. Summit Home Loans, LLC cannot predict where rates will be in the future.</t>
  </si>
  <si>
    <t>Firstname Lastname</t>
  </si>
  <si>
    <t>123-456-7890</t>
  </si>
  <si>
    <t>Clientname Lastname</t>
  </si>
  <si>
    <t>123 Investment Street</t>
  </si>
  <si>
    <t>Anywhere, UT 12345</t>
  </si>
  <si>
    <t>Cash on 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</si>
</sst>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_(&quot;$&quot;* #,##0_);_(&quot;$&quot;* \(#,##0\);_(&quot;$&quot;* &quot;-&quot;??_);_(@_)"/>
    <numFmt numFmtId="165" formatCode="0.0%"/>
    <numFmt numFmtId="166" formatCode="0.000%"/>
    <numFmt numFmtId="167" formatCode="&quot;$&quot;#,##0"/>
    <numFmt numFmtId="168" formatCode="0.000"/>
  </numFmts>
  <fonts count="39" x14ac:knownFonts="1">
    <font>
      <sz val="11"/>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sz val="14"/>
      <name val="Calibri"/>
      <family val="2"/>
      <scheme val="minor"/>
    </font>
    <font>
      <sz val="11"/>
      <color theme="1"/>
      <name val="Garamond"/>
      <family val="1"/>
    </font>
    <font>
      <b/>
      <sz val="11"/>
      <color theme="1"/>
      <name val="Garamond"/>
      <family val="1"/>
    </font>
    <font>
      <sz val="12"/>
      <color theme="1"/>
      <name val="Garamond"/>
      <family val="1"/>
    </font>
    <font>
      <b/>
      <sz val="12"/>
      <color theme="1"/>
      <name val="Garamond"/>
      <family val="1"/>
    </font>
    <font>
      <sz val="12"/>
      <name val="Garamond"/>
      <family val="1"/>
    </font>
    <font>
      <sz val="11"/>
      <name val="Garamond"/>
      <family val="1"/>
    </font>
    <font>
      <sz val="12"/>
      <color rgb="FFFF0000"/>
      <name val="Garamond"/>
      <family val="1"/>
    </font>
    <font>
      <b/>
      <sz val="26"/>
      <color theme="1"/>
      <name val="Garamond"/>
      <family val="1"/>
    </font>
    <font>
      <sz val="9"/>
      <color theme="1"/>
      <name val="Garamond"/>
      <family val="1"/>
    </font>
    <font>
      <b/>
      <sz val="9"/>
      <color theme="1"/>
      <name val="Garamond"/>
      <family val="1"/>
    </font>
    <font>
      <b/>
      <sz val="12"/>
      <name val="Garamond"/>
      <family val="1"/>
    </font>
    <font>
      <b/>
      <sz val="12"/>
      <color theme="0"/>
      <name val="Garamond"/>
      <family val="1"/>
    </font>
    <font>
      <sz val="12"/>
      <color rgb="FF00946E"/>
      <name val="Garamond"/>
      <family val="1"/>
    </font>
    <font>
      <sz val="10"/>
      <color theme="1"/>
      <name val="Montserrat"/>
    </font>
    <font>
      <sz val="9"/>
      <color indexed="81"/>
      <name val="Tahoma"/>
      <family val="2"/>
    </font>
    <font>
      <b/>
      <sz val="9"/>
      <color indexed="81"/>
      <name val="Tahoma"/>
      <family val="2"/>
    </font>
    <font>
      <sz val="12"/>
      <color theme="0"/>
      <name val="Garamond"/>
      <family val="1"/>
    </font>
    <font>
      <b/>
      <sz val="11"/>
      <color rgb="FF002E6D"/>
      <name val="Garamond"/>
      <family val="1"/>
    </font>
    <font>
      <u/>
      <sz val="11"/>
      <color theme="10"/>
      <name val="Calibri"/>
      <family val="2"/>
      <scheme val="minor"/>
    </font>
    <font>
      <sz val="14"/>
      <color theme="1"/>
      <name val="Garamond"/>
      <family val="1"/>
    </font>
    <font>
      <b/>
      <sz val="15"/>
      <color theme="1"/>
      <name val="Garamond"/>
      <family val="1"/>
    </font>
    <font>
      <sz val="15"/>
      <color theme="1"/>
      <name val="Garamond"/>
      <family val="1"/>
    </font>
    <font>
      <b/>
      <sz val="20"/>
      <color theme="1"/>
      <name val="Garamond"/>
      <family val="1"/>
    </font>
    <font>
      <b/>
      <sz val="18"/>
      <color theme="1"/>
      <name val="Garamond"/>
      <family val="1"/>
    </font>
    <font>
      <b/>
      <sz val="11"/>
      <color theme="1"/>
      <name val="Calibri"/>
      <family val="2"/>
      <scheme val="minor"/>
    </font>
    <font>
      <sz val="12"/>
      <color indexed="81"/>
      <name val="Garamond"/>
      <family val="1"/>
    </font>
    <font>
      <b/>
      <sz val="12"/>
      <color indexed="81"/>
      <name val="Garamond"/>
      <family val="1"/>
    </font>
    <font>
      <i/>
      <sz val="12"/>
      <color indexed="81"/>
      <name val="Garamond"/>
      <family val="1"/>
    </font>
    <font>
      <b/>
      <sz val="12"/>
      <color rgb="FF172C51"/>
      <name val="Garamond"/>
      <family val="1"/>
    </font>
    <font>
      <sz val="10"/>
      <color theme="1"/>
      <name val="Garamond"/>
      <family val="1"/>
    </font>
    <font>
      <sz val="14"/>
      <name val="Garamond"/>
      <family val="1"/>
    </font>
    <font>
      <b/>
      <sz val="14"/>
      <name val="Garamond"/>
      <family val="1"/>
    </font>
    <font>
      <b/>
      <sz val="20"/>
      <name val="Garamond"/>
      <family val="1"/>
    </font>
    <font>
      <u/>
      <sz val="14"/>
      <color theme="10"/>
      <name val="Garamond"/>
      <family val="1"/>
    </font>
  </fonts>
  <fills count="11">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18A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172C51"/>
        <bgColor indexed="64"/>
      </patternFill>
    </fill>
    <fill>
      <patternFill patternType="solid">
        <fgColor rgb="FFFCDF08"/>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cellStyleXfs>
  <cellXfs count="375">
    <xf numFmtId="0" fontId="0" fillId="0" borderId="0" xfId="0"/>
    <xf numFmtId="0" fontId="2" fillId="0" borderId="0" xfId="0" applyFont="1"/>
    <xf numFmtId="44" fontId="4" fillId="0" borderId="3" xfId="1" applyFont="1" applyBorder="1" applyAlignment="1">
      <alignment horizontal="center" wrapText="1"/>
    </xf>
    <xf numFmtId="44" fontId="4" fillId="0" borderId="5" xfId="1" applyFont="1" applyBorder="1" applyAlignment="1">
      <alignment horizontal="center"/>
    </xf>
    <xf numFmtId="44" fontId="4" fillId="0" borderId="5" xfId="1" applyFont="1" applyBorder="1" applyAlignment="1">
      <alignment horizontal="center" wrapText="1"/>
    </xf>
    <xf numFmtId="44" fontId="4" fillId="0" borderId="7" xfId="1" applyFont="1" applyBorder="1" applyAlignment="1">
      <alignment horizontal="center"/>
    </xf>
    <xf numFmtId="0" fontId="0" fillId="0" borderId="0" xfId="0" applyAlignment="1">
      <alignment vertical="top"/>
    </xf>
    <xf numFmtId="0" fontId="0" fillId="0" borderId="0" xfId="0" applyProtection="1">
      <protection locked="0"/>
    </xf>
    <xf numFmtId="0" fontId="7" fillId="0" borderId="0" xfId="0" applyFont="1" applyAlignment="1">
      <alignment horizontal="center" vertical="center"/>
    </xf>
    <xf numFmtId="164" fontId="7" fillId="0" borderId="0" xfId="1" applyNumberFormat="1" applyFont="1" applyAlignment="1" applyProtection="1">
      <alignment horizontal="center" vertical="center"/>
    </xf>
    <xf numFmtId="164" fontId="7" fillId="0" borderId="0" xfId="1" applyNumberFormat="1" applyFont="1" applyFill="1" applyBorder="1" applyAlignment="1" applyProtection="1">
      <alignment vertical="center"/>
    </xf>
    <xf numFmtId="164" fontId="7" fillId="0" borderId="0" xfId="1" applyNumberFormat="1" applyFont="1" applyFill="1" applyAlignment="1" applyProtection="1">
      <alignment horizontal="center" vertical="center"/>
    </xf>
    <xf numFmtId="44" fontId="8" fillId="0" borderId="0" xfId="1" applyFont="1" applyAlignment="1" applyProtection="1">
      <alignment horizontal="center" vertical="center" wrapText="1"/>
    </xf>
    <xf numFmtId="164" fontId="8" fillId="0" borderId="0" xfId="1" applyNumberFormat="1" applyFont="1" applyAlignment="1" applyProtection="1">
      <alignment horizontal="center" vertical="center" wrapText="1"/>
    </xf>
    <xf numFmtId="164" fontId="7" fillId="3" borderId="14" xfId="1" applyNumberFormat="1" applyFont="1" applyFill="1" applyBorder="1" applyAlignment="1" applyProtection="1">
      <alignment horizontal="center" vertical="center"/>
    </xf>
    <xf numFmtId="164" fontId="7" fillId="4" borderId="0" xfId="1" applyNumberFormat="1" applyFont="1" applyFill="1" applyAlignment="1" applyProtection="1">
      <alignment horizontal="center" vertical="center"/>
    </xf>
    <xf numFmtId="164" fontId="7" fillId="4" borderId="0" xfId="1" applyNumberFormat="1" applyFont="1" applyFill="1" applyBorder="1" applyAlignment="1" applyProtection="1">
      <alignment horizontal="center" vertical="center"/>
    </xf>
    <xf numFmtId="0" fontId="5" fillId="0" borderId="18" xfId="0" applyFont="1" applyBorder="1" applyAlignment="1">
      <alignment vertical="center"/>
    </xf>
    <xf numFmtId="0" fontId="5" fillId="0" borderId="20" xfId="0" applyFont="1" applyBorder="1" applyAlignment="1">
      <alignment vertical="center"/>
    </xf>
    <xf numFmtId="0" fontId="5" fillId="0" borderId="0" xfId="0" applyFont="1" applyAlignment="1">
      <alignment vertical="center"/>
    </xf>
    <xf numFmtId="0" fontId="5" fillId="0" borderId="21" xfId="0" applyFont="1" applyBorder="1" applyAlignment="1">
      <alignment vertical="center"/>
    </xf>
    <xf numFmtId="0" fontId="5" fillId="0" borderId="0" xfId="0" applyFont="1"/>
    <xf numFmtId="0" fontId="10" fillId="0" borderId="20" xfId="0" applyFont="1" applyBorder="1" applyAlignment="1">
      <alignment vertical="center"/>
    </xf>
    <xf numFmtId="0" fontId="6" fillId="0" borderId="0" xfId="0" applyFont="1" applyAlignment="1">
      <alignment vertical="center"/>
    </xf>
    <xf numFmtId="0" fontId="10" fillId="0" borderId="0" xfId="0" applyFont="1" applyAlignment="1">
      <alignment vertical="center"/>
    </xf>
    <xf numFmtId="167" fontId="5" fillId="0" borderId="19" xfId="2" applyNumberFormat="1" applyFont="1" applyFill="1" applyBorder="1" applyAlignment="1" applyProtection="1">
      <alignment horizontal="right" vertical="center"/>
    </xf>
    <xf numFmtId="167" fontId="5" fillId="0" borderId="13" xfId="1" applyNumberFormat="1" applyFont="1" applyFill="1" applyBorder="1" applyAlignment="1" applyProtection="1">
      <alignment horizontal="right" vertical="center"/>
    </xf>
    <xf numFmtId="167" fontId="5" fillId="0" borderId="0" xfId="1" applyNumberFormat="1" applyFont="1" applyFill="1" applyBorder="1" applyAlignment="1" applyProtection="1">
      <alignment horizontal="right" vertical="center"/>
    </xf>
    <xf numFmtId="0" fontId="5" fillId="0" borderId="0" xfId="0" applyFont="1" applyAlignment="1">
      <alignment horizontal="right" vertical="center"/>
    </xf>
    <xf numFmtId="167" fontId="5" fillId="0" borderId="19" xfId="2" applyNumberFormat="1" applyFont="1" applyFill="1" applyBorder="1" applyAlignment="1">
      <alignment horizontal="right" vertical="center"/>
    </xf>
    <xf numFmtId="167" fontId="5" fillId="0" borderId="13" xfId="2" applyNumberFormat="1" applyFont="1" applyFill="1" applyBorder="1" applyAlignment="1">
      <alignment horizontal="right" vertical="center"/>
    </xf>
    <xf numFmtId="167" fontId="5" fillId="0" borderId="13" xfId="2" applyNumberFormat="1" applyFont="1" applyFill="1" applyBorder="1" applyAlignment="1" applyProtection="1">
      <alignment horizontal="right" vertical="center"/>
    </xf>
    <xf numFmtId="0" fontId="5" fillId="0" borderId="0" xfId="0" applyFont="1" applyAlignment="1">
      <alignment horizontal="right"/>
    </xf>
    <xf numFmtId="167" fontId="5" fillId="0" borderId="0" xfId="2" applyNumberFormat="1" applyFont="1" applyFill="1" applyBorder="1" applyAlignment="1" applyProtection="1">
      <alignment horizontal="right" vertical="center"/>
    </xf>
    <xf numFmtId="9" fontId="5" fillId="0" borderId="0" xfId="2" applyFont="1" applyFill="1" applyBorder="1" applyAlignment="1" applyProtection="1">
      <alignment horizontal="right" vertical="center"/>
    </xf>
    <xf numFmtId="165" fontId="5" fillId="0" borderId="0" xfId="2" applyNumberFormat="1" applyFont="1" applyBorder="1" applyAlignment="1">
      <alignment horizontal="right" vertical="center"/>
    </xf>
    <xf numFmtId="166" fontId="5" fillId="0" borderId="0" xfId="2" applyNumberFormat="1" applyFont="1" applyFill="1" applyBorder="1" applyAlignment="1" applyProtection="1">
      <alignment horizontal="right" vertical="center"/>
    </xf>
    <xf numFmtId="1" fontId="5" fillId="0" borderId="0" xfId="1" applyNumberFormat="1" applyFont="1" applyFill="1" applyBorder="1" applyAlignment="1" applyProtection="1">
      <alignment horizontal="right" vertical="center"/>
    </xf>
    <xf numFmtId="167" fontId="5" fillId="0" borderId="0" xfId="0" applyNumberFormat="1" applyFont="1" applyAlignment="1">
      <alignment horizontal="right" vertical="center"/>
    </xf>
    <xf numFmtId="167" fontId="10" fillId="0" borderId="0" xfId="0" applyNumberFormat="1" applyFont="1" applyAlignment="1">
      <alignment horizontal="right" vertical="center"/>
    </xf>
    <xf numFmtId="167" fontId="5" fillId="0" borderId="0" xfId="2" applyNumberFormat="1" applyFont="1" applyFill="1" applyBorder="1" applyAlignment="1">
      <alignment horizontal="right" vertical="center"/>
    </xf>
    <xf numFmtId="167" fontId="10" fillId="0" borderId="0" xfId="2" applyNumberFormat="1" applyFont="1" applyFill="1" applyBorder="1" applyAlignment="1">
      <alignment horizontal="right" vertical="center"/>
    </xf>
    <xf numFmtId="164" fontId="7" fillId="5" borderId="0" xfId="1" applyNumberFormat="1" applyFont="1" applyFill="1" applyAlignment="1" applyProtection="1">
      <alignment horizontal="center" vertical="center" wrapText="1"/>
    </xf>
    <xf numFmtId="164" fontId="8" fillId="5" borderId="0" xfId="1" applyNumberFormat="1" applyFont="1" applyFill="1" applyAlignment="1" applyProtection="1">
      <alignment horizontal="center" vertical="center" wrapText="1"/>
    </xf>
    <xf numFmtId="44" fontId="7" fillId="5" borderId="14" xfId="1" applyFont="1" applyFill="1" applyBorder="1" applyAlignment="1" applyProtection="1">
      <alignment horizontal="center" vertical="center"/>
    </xf>
    <xf numFmtId="164" fontId="7" fillId="5" borderId="14" xfId="1" applyNumberFormat="1" applyFont="1" applyFill="1" applyBorder="1" applyAlignment="1" applyProtection="1">
      <alignment horizontal="center" vertical="center"/>
    </xf>
    <xf numFmtId="8" fontId="7" fillId="5" borderId="0" xfId="1" applyNumberFormat="1" applyFont="1" applyFill="1" applyAlignment="1" applyProtection="1">
      <alignment horizontal="center" vertical="center"/>
    </xf>
    <xf numFmtId="44" fontId="7" fillId="5" borderId="0" xfId="1" applyFont="1" applyFill="1" applyAlignment="1" applyProtection="1">
      <alignment horizontal="center" vertical="center"/>
    </xf>
    <xf numFmtId="8" fontId="7" fillId="5" borderId="0" xfId="1" applyNumberFormat="1" applyFont="1" applyFill="1" applyBorder="1" applyAlignment="1" applyProtection="1">
      <alignment horizontal="center" vertical="center"/>
    </xf>
    <xf numFmtId="44" fontId="7" fillId="5" borderId="0" xfId="1" applyFont="1" applyFill="1" applyBorder="1" applyAlignment="1" applyProtection="1">
      <alignment horizontal="center" vertical="center"/>
    </xf>
    <xf numFmtId="164" fontId="7" fillId="5" borderId="0" xfId="1" applyNumberFormat="1" applyFont="1" applyFill="1" applyBorder="1" applyAlignment="1" applyProtection="1">
      <alignment horizontal="center" vertical="center"/>
    </xf>
    <xf numFmtId="8" fontId="7" fillId="5" borderId="14" xfId="1" applyNumberFormat="1" applyFont="1" applyFill="1" applyBorder="1" applyAlignment="1" applyProtection="1">
      <alignment horizontal="center" vertical="center"/>
    </xf>
    <xf numFmtId="0" fontId="14" fillId="0" borderId="0" xfId="0" applyFont="1" applyAlignment="1">
      <alignment horizontal="center" vertical="center" wrapText="1"/>
    </xf>
    <xf numFmtId="44" fontId="14" fillId="0" borderId="0" xfId="0" applyNumberFormat="1" applyFont="1" applyAlignment="1">
      <alignment horizontal="center" vertical="center" wrapText="1"/>
    </xf>
    <xf numFmtId="44" fontId="14" fillId="0" borderId="0" xfId="1" applyFont="1" applyAlignment="1" applyProtection="1">
      <alignment horizontal="center" vertical="center" wrapText="1"/>
    </xf>
    <xf numFmtId="164" fontId="14" fillId="0" borderId="0" xfId="1" applyNumberFormat="1" applyFont="1" applyAlignment="1" applyProtection="1">
      <alignment horizontal="center" vertical="center" wrapText="1"/>
    </xf>
    <xf numFmtId="44" fontId="14" fillId="0" borderId="0" xfId="0" applyNumberFormat="1" applyFont="1" applyAlignment="1">
      <alignment horizontal="center" vertical="center"/>
    </xf>
    <xf numFmtId="164" fontId="14" fillId="0" borderId="0" xfId="1" applyNumberFormat="1" applyFont="1" applyAlignment="1" applyProtection="1">
      <alignment horizontal="center" vertical="center"/>
    </xf>
    <xf numFmtId="0" fontId="14" fillId="0" borderId="0" xfId="0" applyFont="1" applyAlignment="1">
      <alignment horizontal="center" vertical="center"/>
    </xf>
    <xf numFmtId="0" fontId="13" fillId="0" borderId="0" xfId="0" applyFont="1" applyAlignment="1">
      <alignment horizontal="center" vertical="center"/>
    </xf>
    <xf numFmtId="164" fontId="13" fillId="0" borderId="0" xfId="1" applyNumberFormat="1" applyFont="1" applyAlignment="1" applyProtection="1">
      <alignment horizontal="center" vertical="center"/>
    </xf>
    <xf numFmtId="164" fontId="13" fillId="0" borderId="0" xfId="1" applyNumberFormat="1" applyFont="1" applyAlignment="1" applyProtection="1">
      <alignment vertical="center"/>
    </xf>
    <xf numFmtId="44" fontId="13" fillId="0" borderId="0" xfId="0" applyNumberFormat="1" applyFont="1" applyAlignment="1">
      <alignment horizontal="center" vertical="center"/>
    </xf>
    <xf numFmtId="164" fontId="13" fillId="4" borderId="0" xfId="1" applyNumberFormat="1" applyFont="1" applyFill="1" applyBorder="1" applyAlignment="1" applyProtection="1">
      <alignment horizontal="center" vertical="center"/>
    </xf>
    <xf numFmtId="8" fontId="13" fillId="0" borderId="0" xfId="1" applyNumberFormat="1" applyFont="1" applyBorder="1" applyAlignment="1" applyProtection="1">
      <alignment horizontal="center" vertical="center"/>
    </xf>
    <xf numFmtId="44" fontId="13" fillId="0" borderId="0" xfId="1" applyFont="1" applyFill="1" applyBorder="1" applyAlignment="1" applyProtection="1">
      <alignment horizontal="center" vertical="center"/>
    </xf>
    <xf numFmtId="164" fontId="13" fillId="0" borderId="0" xfId="1" applyNumberFormat="1" applyFont="1" applyBorder="1" applyAlignment="1" applyProtection="1">
      <alignment horizontal="center" vertical="center"/>
    </xf>
    <xf numFmtId="164" fontId="13" fillId="0" borderId="0" xfId="1" applyNumberFormat="1" applyFont="1" applyFill="1" applyBorder="1" applyAlignment="1" applyProtection="1">
      <alignment horizontal="center" vertical="center"/>
    </xf>
    <xf numFmtId="164" fontId="13" fillId="4" borderId="14" xfId="1" applyNumberFormat="1" applyFont="1" applyFill="1" applyBorder="1" applyAlignment="1" applyProtection="1">
      <alignment horizontal="center" vertical="center"/>
    </xf>
    <xf numFmtId="0" fontId="13" fillId="3" borderId="15" xfId="0" applyFont="1" applyFill="1" applyBorder="1" applyAlignment="1">
      <alignment horizontal="center" vertical="center"/>
    </xf>
    <xf numFmtId="164" fontId="13" fillId="3" borderId="16" xfId="1" applyNumberFormat="1" applyFont="1" applyFill="1" applyBorder="1" applyAlignment="1" applyProtection="1">
      <alignment horizontal="center" vertical="center"/>
    </xf>
    <xf numFmtId="164" fontId="13" fillId="3" borderId="17" xfId="1" applyNumberFormat="1" applyFont="1" applyFill="1" applyBorder="1" applyAlignment="1" applyProtection="1">
      <alignment horizontal="center" vertical="center"/>
    </xf>
    <xf numFmtId="0" fontId="13" fillId="0" borderId="20" xfId="0" applyFont="1" applyBorder="1" applyAlignment="1">
      <alignment horizontal="center" vertical="center"/>
    </xf>
    <xf numFmtId="0" fontId="13" fillId="4" borderId="20" xfId="0" applyFont="1" applyFill="1" applyBorder="1" applyAlignment="1">
      <alignment horizontal="center" vertical="center"/>
    </xf>
    <xf numFmtId="0" fontId="13" fillId="4" borderId="21" xfId="0" applyFont="1" applyFill="1" applyBorder="1" applyAlignment="1">
      <alignment horizontal="center" vertical="center"/>
    </xf>
    <xf numFmtId="164" fontId="7" fillId="0" borderId="1" xfId="1" applyNumberFormat="1" applyFont="1" applyFill="1" applyBorder="1" applyAlignment="1" applyProtection="1">
      <alignment horizontal="center" vertical="center"/>
    </xf>
    <xf numFmtId="164" fontId="15" fillId="0" borderId="1" xfId="1" applyNumberFormat="1" applyFont="1" applyFill="1" applyBorder="1" applyAlignment="1" applyProtection="1">
      <alignment horizontal="center" vertical="center"/>
    </xf>
    <xf numFmtId="165" fontId="9" fillId="7" borderId="1" xfId="2" applyNumberFormat="1" applyFont="1" applyFill="1" applyBorder="1" applyAlignment="1" applyProtection="1">
      <alignment horizontal="right" vertical="center"/>
    </xf>
    <xf numFmtId="164" fontId="9" fillId="7" borderId="1" xfId="1" applyNumberFormat="1" applyFont="1" applyFill="1" applyBorder="1" applyAlignment="1" applyProtection="1">
      <alignment horizontal="center" vertical="center"/>
    </xf>
    <xf numFmtId="9" fontId="9" fillId="7" borderId="1" xfId="2" applyFont="1" applyFill="1" applyBorder="1" applyAlignment="1" applyProtection="1">
      <alignment horizontal="right" vertical="center"/>
    </xf>
    <xf numFmtId="165" fontId="9" fillId="7" borderId="1" xfId="2" applyNumberFormat="1" applyFont="1" applyFill="1" applyBorder="1" applyAlignment="1" applyProtection="1">
      <alignment horizontal="center" vertical="center"/>
    </xf>
    <xf numFmtId="166" fontId="9" fillId="7" borderId="1" xfId="2" applyNumberFormat="1" applyFont="1" applyFill="1" applyBorder="1" applyAlignment="1" applyProtection="1">
      <alignment horizontal="right" vertical="center"/>
    </xf>
    <xf numFmtId="1" fontId="9" fillId="7" borderId="1" xfId="2" applyNumberFormat="1" applyFont="1" applyFill="1" applyBorder="1" applyAlignment="1" applyProtection="1">
      <alignment horizontal="right" vertical="center"/>
    </xf>
    <xf numFmtId="10" fontId="7" fillId="8" borderId="1" xfId="2" applyNumberFormat="1" applyFont="1" applyFill="1" applyBorder="1" applyAlignment="1" applyProtection="1">
      <alignment horizontal="center" vertical="center"/>
    </xf>
    <xf numFmtId="164" fontId="7" fillId="0" borderId="0" xfId="1" applyNumberFormat="1" applyFont="1" applyBorder="1" applyAlignment="1" applyProtection="1">
      <alignment horizontal="center" vertical="center"/>
    </xf>
    <xf numFmtId="164" fontId="7" fillId="0" borderId="0" xfId="1" applyNumberFormat="1" applyFont="1" applyFill="1" applyBorder="1" applyAlignment="1" applyProtection="1">
      <alignment horizontal="center" vertical="center"/>
    </xf>
    <xf numFmtId="164" fontId="7" fillId="5" borderId="0" xfId="1" applyNumberFormat="1" applyFont="1" applyFill="1" applyAlignment="1" applyProtection="1">
      <alignment horizontal="center" vertical="center"/>
    </xf>
    <xf numFmtId="164" fontId="11" fillId="0" borderId="0" xfId="1" applyNumberFormat="1" applyFont="1" applyBorder="1" applyAlignment="1" applyProtection="1">
      <alignment horizontal="center" vertical="center"/>
    </xf>
    <xf numFmtId="165" fontId="9" fillId="0" borderId="0" xfId="2" applyNumberFormat="1" applyFont="1" applyFill="1" applyBorder="1" applyAlignment="1" applyProtection="1">
      <alignment horizontal="right" vertical="center"/>
    </xf>
    <xf numFmtId="10" fontId="7" fillId="0" borderId="0" xfId="2" applyNumberFormat="1" applyFont="1" applyFill="1" applyBorder="1" applyAlignment="1" applyProtection="1">
      <alignment horizontal="center" vertical="center"/>
    </xf>
    <xf numFmtId="164" fontId="7" fillId="7" borderId="1" xfId="1" applyNumberFormat="1" applyFont="1" applyFill="1" applyBorder="1" applyAlignment="1" applyProtection="1">
      <alignment horizontal="center" vertical="center"/>
    </xf>
    <xf numFmtId="166" fontId="9" fillId="8" borderId="1" xfId="2" applyNumberFormat="1" applyFont="1" applyFill="1" applyBorder="1" applyAlignment="1" applyProtection="1">
      <alignment horizontal="right" vertical="center"/>
    </xf>
    <xf numFmtId="167" fontId="7" fillId="0" borderId="19" xfId="2" applyNumberFormat="1" applyFont="1" applyFill="1" applyBorder="1" applyAlignment="1" applyProtection="1">
      <alignment horizontal="center" vertical="center"/>
    </xf>
    <xf numFmtId="167" fontId="7" fillId="0" borderId="13" xfId="2" applyNumberFormat="1" applyFont="1" applyFill="1" applyBorder="1" applyAlignment="1" applyProtection="1">
      <alignment horizontal="center" vertical="center"/>
    </xf>
    <xf numFmtId="0" fontId="6" fillId="0" borderId="15" xfId="0" applyFont="1" applyBorder="1" applyAlignment="1">
      <alignment vertical="center"/>
    </xf>
    <xf numFmtId="0" fontId="6" fillId="0" borderId="16" xfId="0" applyFont="1" applyBorder="1" applyAlignment="1">
      <alignment vertical="center"/>
    </xf>
    <xf numFmtId="0" fontId="5" fillId="0" borderId="23" xfId="0" applyFont="1" applyBorder="1" applyAlignment="1">
      <alignment vertical="center"/>
    </xf>
    <xf numFmtId="0" fontId="5" fillId="0" borderId="14" xfId="0" applyFont="1" applyBorder="1" applyAlignment="1">
      <alignment vertical="center"/>
    </xf>
    <xf numFmtId="9" fontId="7" fillId="7" borderId="1" xfId="2" applyFont="1" applyFill="1" applyBorder="1" applyAlignment="1" applyProtection="1">
      <alignment horizontal="center" vertical="center"/>
    </xf>
    <xf numFmtId="0" fontId="5" fillId="0" borderId="20" xfId="0" applyFont="1" applyBorder="1" applyAlignment="1">
      <alignment horizontal="left" vertical="center"/>
    </xf>
    <xf numFmtId="0" fontId="22" fillId="3" borderId="21" xfId="0" applyFont="1" applyFill="1" applyBorder="1" applyAlignment="1">
      <alignment vertical="center"/>
    </xf>
    <xf numFmtId="10" fontId="22" fillId="3" borderId="22" xfId="2" applyNumberFormat="1" applyFont="1" applyFill="1" applyBorder="1" applyAlignment="1">
      <alignment horizontal="right" vertical="center"/>
    </xf>
    <xf numFmtId="0" fontId="22" fillId="3" borderId="15" xfId="0" applyFont="1" applyFill="1" applyBorder="1" applyAlignment="1">
      <alignment vertical="center"/>
    </xf>
    <xf numFmtId="167" fontId="22" fillId="3" borderId="17" xfId="0" applyNumberFormat="1" applyFont="1" applyFill="1" applyBorder="1" applyAlignment="1">
      <alignment horizontal="right" vertical="center"/>
    </xf>
    <xf numFmtId="0" fontId="22" fillId="3" borderId="18" xfId="0" applyFont="1" applyFill="1" applyBorder="1" applyAlignment="1">
      <alignment vertical="center"/>
    </xf>
    <xf numFmtId="167" fontId="22" fillId="3" borderId="19" xfId="2" applyNumberFormat="1" applyFont="1" applyFill="1" applyBorder="1" applyAlignment="1">
      <alignment horizontal="right" vertical="center"/>
    </xf>
    <xf numFmtId="0" fontId="5" fillId="0" borderId="13" xfId="0" applyFont="1" applyBorder="1" applyAlignment="1">
      <alignment horizontal="right" vertical="center"/>
    </xf>
    <xf numFmtId="165" fontId="5" fillId="0" borderId="13" xfId="2" applyNumberFormat="1" applyFont="1" applyFill="1" applyBorder="1" applyAlignment="1" applyProtection="1">
      <alignment horizontal="right" vertical="center"/>
    </xf>
    <xf numFmtId="0" fontId="6" fillId="6" borderId="21" xfId="0" applyFont="1" applyFill="1" applyBorder="1"/>
    <xf numFmtId="165" fontId="6" fillId="6" borderId="22" xfId="2" applyNumberFormat="1" applyFont="1" applyFill="1" applyBorder="1" applyAlignment="1">
      <alignment horizontal="right"/>
    </xf>
    <xf numFmtId="164" fontId="7" fillId="5" borderId="1" xfId="1" applyNumberFormat="1" applyFont="1" applyFill="1" applyBorder="1" applyAlignment="1" applyProtection="1">
      <alignment horizontal="center" vertical="center"/>
    </xf>
    <xf numFmtId="14" fontId="7" fillId="5" borderId="1" xfId="2" quotePrefix="1" applyNumberFormat="1" applyFont="1" applyFill="1" applyBorder="1" applyAlignment="1" applyProtection="1">
      <alignment horizontal="center" vertical="center"/>
    </xf>
    <xf numFmtId="9" fontId="7" fillId="5" borderId="1" xfId="2" applyFont="1" applyFill="1" applyBorder="1" applyAlignment="1" applyProtection="1">
      <alignment horizontal="center" vertical="center"/>
    </xf>
    <xf numFmtId="44" fontId="7" fillId="5" borderId="1" xfId="1" applyFont="1" applyFill="1" applyBorder="1" applyAlignment="1" applyProtection="1">
      <alignment horizontal="center" vertical="center"/>
    </xf>
    <xf numFmtId="0" fontId="7" fillId="5" borderId="0" xfId="0" applyFont="1" applyFill="1" applyAlignment="1">
      <alignment horizontal="center" vertical="center"/>
    </xf>
    <xf numFmtId="0" fontId="12" fillId="3" borderId="0" xfId="0" applyFont="1" applyFill="1" applyAlignment="1">
      <alignment vertical="center"/>
    </xf>
    <xf numFmtId="164" fontId="7" fillId="8" borderId="1" xfId="0" applyNumberFormat="1" applyFont="1" applyFill="1" applyBorder="1" applyAlignment="1">
      <alignment horizontal="center" vertical="center"/>
    </xf>
    <xf numFmtId="0" fontId="7" fillId="5" borderId="1" xfId="0" applyFont="1" applyFill="1" applyBorder="1" applyAlignment="1">
      <alignment horizontal="center" vertical="center"/>
    </xf>
    <xf numFmtId="164" fontId="9" fillId="7" borderId="1" xfId="0" applyNumberFormat="1" applyFont="1" applyFill="1" applyBorder="1" applyAlignment="1">
      <alignment horizontal="center" vertical="center"/>
    </xf>
    <xf numFmtId="0" fontId="7" fillId="5" borderId="1" xfId="0" quotePrefix="1" applyFont="1" applyFill="1" applyBorder="1" applyAlignment="1">
      <alignment horizontal="center" vertical="center"/>
    </xf>
    <xf numFmtId="0" fontId="9" fillId="7" borderId="1" xfId="0" applyFont="1" applyFill="1" applyBorder="1" applyAlignment="1">
      <alignment horizontal="center" vertical="center"/>
    </xf>
    <xf numFmtId="164" fontId="7" fillId="7" borderId="1" xfId="0" applyNumberFormat="1" applyFont="1" applyFill="1" applyBorder="1" applyAlignment="1">
      <alignment horizontal="center" vertical="center"/>
    </xf>
    <xf numFmtId="0" fontId="7" fillId="7" borderId="1" xfId="0" applyFont="1" applyFill="1" applyBorder="1" applyAlignment="1">
      <alignment horizontal="center" vertical="center" wrapText="1"/>
    </xf>
    <xf numFmtId="0" fontId="7"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vertical="center" wrapText="1"/>
    </xf>
    <xf numFmtId="165" fontId="21" fillId="0" borderId="0" xfId="2" applyNumberFormat="1" applyFont="1" applyFill="1" applyBorder="1" applyAlignment="1" applyProtection="1">
      <alignment horizontal="center" vertical="center" wrapText="1"/>
    </xf>
    <xf numFmtId="0" fontId="9" fillId="0" borderId="0" xfId="0" applyFont="1" applyAlignment="1">
      <alignment horizontal="center" vertical="center"/>
    </xf>
    <xf numFmtId="0" fontId="8" fillId="0" borderId="0" xfId="0" applyFont="1" applyAlignment="1">
      <alignment horizontal="center" vertical="center" wrapText="1"/>
    </xf>
    <xf numFmtId="14" fontId="8" fillId="0" borderId="0" xfId="0" applyNumberFormat="1" applyFont="1" applyAlignment="1">
      <alignment horizontal="center" vertical="center" wrapText="1"/>
    </xf>
    <xf numFmtId="44" fontId="8" fillId="0" borderId="0" xfId="0" applyNumberFormat="1" applyFont="1" applyAlignment="1">
      <alignment horizontal="center" vertical="center" wrapText="1"/>
    </xf>
    <xf numFmtId="44" fontId="8" fillId="5" borderId="0" xfId="0" applyNumberFormat="1" applyFont="1" applyFill="1" applyAlignment="1">
      <alignment horizontal="center" vertical="center" wrapText="1"/>
    </xf>
    <xf numFmtId="0" fontId="8" fillId="5" borderId="0" xfId="0" applyFont="1" applyFill="1" applyAlignment="1">
      <alignment horizontal="center" vertical="center" wrapText="1"/>
    </xf>
    <xf numFmtId="0" fontId="8" fillId="0" borderId="0" xfId="0" applyFont="1" applyAlignment="1">
      <alignment horizontal="center" vertical="center"/>
    </xf>
    <xf numFmtId="0" fontId="7" fillId="3" borderId="14" xfId="0" applyFont="1" applyFill="1" applyBorder="1" applyAlignment="1">
      <alignment horizontal="center" vertical="center"/>
    </xf>
    <xf numFmtId="164" fontId="7" fillId="5" borderId="14" xfId="0" applyNumberFormat="1" applyFont="1" applyFill="1" applyBorder="1" applyAlignment="1">
      <alignment horizontal="center" vertical="center"/>
    </xf>
    <xf numFmtId="0" fontId="7" fillId="5" borderId="14" xfId="0" applyFont="1" applyFill="1" applyBorder="1" applyAlignment="1">
      <alignment horizontal="center" vertical="center"/>
    </xf>
    <xf numFmtId="44" fontId="7" fillId="5" borderId="14" xfId="0" applyNumberFormat="1" applyFont="1" applyFill="1" applyBorder="1" applyAlignment="1">
      <alignment horizontal="center" vertical="center"/>
    </xf>
    <xf numFmtId="10" fontId="7" fillId="0" borderId="0" xfId="0" applyNumberFormat="1" applyFont="1" applyAlignment="1">
      <alignment horizontal="center" vertical="center"/>
    </xf>
    <xf numFmtId="164" fontId="7" fillId="5" borderId="0" xfId="0" applyNumberFormat="1" applyFont="1" applyFill="1" applyAlignment="1">
      <alignment horizontal="center" vertical="center"/>
    </xf>
    <xf numFmtId="164" fontId="7" fillId="5" borderId="0" xfId="0" applyNumberFormat="1" applyFont="1" applyFill="1" applyAlignment="1">
      <alignment horizontal="center" vertical="center" wrapText="1"/>
    </xf>
    <xf numFmtId="164" fontId="7" fillId="0" borderId="0" xfId="0" applyNumberFormat="1" applyFont="1" applyAlignment="1">
      <alignment horizontal="center" vertical="center"/>
    </xf>
    <xf numFmtId="44" fontId="7" fillId="0" borderId="0" xfId="0" applyNumberFormat="1" applyFont="1" applyAlignment="1">
      <alignment horizontal="center" vertical="center"/>
    </xf>
    <xf numFmtId="0" fontId="7" fillId="4" borderId="0" xfId="0" applyFont="1" applyFill="1" applyAlignment="1">
      <alignment horizontal="center" vertical="center"/>
    </xf>
    <xf numFmtId="10" fontId="7" fillId="4" borderId="0" xfId="0" applyNumberFormat="1" applyFont="1" applyFill="1" applyAlignment="1">
      <alignment horizontal="center" vertical="center"/>
    </xf>
    <xf numFmtId="164" fontId="7" fillId="4" borderId="0" xfId="0" applyNumberFormat="1" applyFont="1" applyFill="1" applyAlignment="1">
      <alignment horizontal="center" vertical="center"/>
    </xf>
    <xf numFmtId="44" fontId="7" fillId="4" borderId="0" xfId="0" applyNumberFormat="1" applyFont="1" applyFill="1" applyAlignment="1">
      <alignment horizontal="center" vertical="center"/>
    </xf>
    <xf numFmtId="8" fontId="7" fillId="0" borderId="0" xfId="1" applyNumberFormat="1" applyFont="1" applyFill="1" applyAlignment="1" applyProtection="1">
      <alignment horizontal="center" vertical="center"/>
    </xf>
    <xf numFmtId="44" fontId="7" fillId="0" borderId="0" xfId="1" applyFont="1" applyFill="1" applyAlignment="1" applyProtection="1">
      <alignment horizontal="center" vertical="center"/>
    </xf>
    <xf numFmtId="0" fontId="12" fillId="3" borderId="0" xfId="0" applyFont="1" applyFill="1" applyAlignment="1">
      <alignment horizontal="center" vertical="center"/>
    </xf>
    <xf numFmtId="0" fontId="29" fillId="0" borderId="0" xfId="0" applyFont="1"/>
    <xf numFmtId="0" fontId="7" fillId="0" borderId="0" xfId="0" applyFont="1"/>
    <xf numFmtId="167" fontId="9" fillId="7" borderId="1" xfId="1" applyNumberFormat="1" applyFont="1" applyFill="1" applyBorder="1" applyAlignment="1" applyProtection="1">
      <alignment horizontal="right" vertical="center"/>
    </xf>
    <xf numFmtId="164" fontId="7" fillId="8" borderId="25" xfId="1" applyNumberFormat="1" applyFont="1" applyFill="1" applyBorder="1" applyAlignment="1" applyProtection="1">
      <alignment horizontal="center" vertical="center"/>
    </xf>
    <xf numFmtId="10" fontId="9" fillId="7" borderId="1" xfId="2" applyNumberFormat="1" applyFont="1" applyFill="1" applyBorder="1" applyAlignment="1" applyProtection="1">
      <alignment horizontal="right" vertical="center"/>
    </xf>
    <xf numFmtId="10" fontId="9" fillId="3" borderId="13" xfId="2" applyNumberFormat="1" applyFont="1" applyFill="1" applyBorder="1" applyAlignment="1" applyProtection="1">
      <alignment horizontal="center" vertical="center"/>
    </xf>
    <xf numFmtId="10" fontId="15" fillId="3" borderId="22" xfId="2" applyNumberFormat="1" applyFont="1" applyFill="1" applyBorder="1" applyAlignment="1" applyProtection="1">
      <alignment horizontal="center" vertical="center"/>
    </xf>
    <xf numFmtId="167" fontId="16" fillId="9" borderId="1" xfId="2" applyNumberFormat="1" applyFont="1" applyFill="1" applyBorder="1" applyAlignment="1" applyProtection="1">
      <alignment horizontal="center" vertical="center"/>
      <protection locked="0"/>
    </xf>
    <xf numFmtId="165" fontId="16" fillId="9" borderId="1" xfId="2" applyNumberFormat="1" applyFont="1" applyFill="1" applyBorder="1" applyAlignment="1" applyProtection="1">
      <alignment horizontal="center" vertical="center"/>
      <protection locked="0"/>
    </xf>
    <xf numFmtId="167" fontId="16" fillId="9" borderId="1" xfId="1" applyNumberFormat="1" applyFont="1" applyFill="1" applyBorder="1" applyAlignment="1" applyProtection="1">
      <alignment horizontal="center" vertical="center"/>
      <protection locked="0"/>
    </xf>
    <xf numFmtId="9" fontId="16" fillId="9" borderId="1" xfId="2" applyFont="1" applyFill="1" applyBorder="1" applyAlignment="1" applyProtection="1">
      <alignment horizontal="center" vertical="center"/>
      <protection locked="0"/>
    </xf>
    <xf numFmtId="0" fontId="16" fillId="9" borderId="1" xfId="0" applyFont="1" applyFill="1" applyBorder="1" applyAlignment="1" applyProtection="1">
      <alignment horizontal="center" vertical="center"/>
      <protection locked="0"/>
    </xf>
    <xf numFmtId="166" fontId="16" fillId="9" borderId="1" xfId="2" applyNumberFormat="1" applyFont="1" applyFill="1" applyBorder="1" applyAlignment="1" applyProtection="1">
      <alignment horizontal="center" vertical="center"/>
      <protection locked="0"/>
    </xf>
    <xf numFmtId="1" fontId="16" fillId="9" borderId="1" xfId="2" applyNumberFormat="1" applyFont="1" applyFill="1" applyBorder="1" applyAlignment="1" applyProtection="1">
      <alignment horizontal="center" vertical="center"/>
      <protection locked="0"/>
    </xf>
    <xf numFmtId="10" fontId="16" fillId="9" borderId="1" xfId="2" applyNumberFormat="1" applyFont="1" applyFill="1" applyBorder="1" applyAlignment="1" applyProtection="1">
      <alignment horizontal="center" vertical="center"/>
      <protection locked="0"/>
    </xf>
    <xf numFmtId="165" fontId="33" fillId="10" borderId="1" xfId="2" applyNumberFormat="1" applyFont="1" applyFill="1" applyBorder="1" applyAlignment="1" applyProtection="1">
      <alignment horizontal="center" vertical="center"/>
      <protection locked="0"/>
    </xf>
    <xf numFmtId="165" fontId="16" fillId="9" borderId="17" xfId="2" applyNumberFormat="1" applyFont="1" applyFill="1" applyBorder="1" applyAlignment="1" applyProtection="1">
      <alignment horizontal="center" vertical="center"/>
      <protection locked="0"/>
    </xf>
    <xf numFmtId="9" fontId="16" fillId="9" borderId="25" xfId="2" applyFont="1" applyFill="1" applyBorder="1" applyAlignment="1" applyProtection="1">
      <alignment horizontal="center" vertical="center"/>
      <protection locked="0"/>
    </xf>
    <xf numFmtId="164" fontId="16" fillId="9" borderId="1" xfId="0" applyNumberFormat="1" applyFont="1" applyFill="1" applyBorder="1" applyAlignment="1" applyProtection="1">
      <alignment horizontal="center" vertical="center"/>
      <protection locked="0"/>
    </xf>
    <xf numFmtId="10" fontId="13" fillId="0" borderId="13" xfId="0" applyNumberFormat="1" applyFont="1" applyBorder="1" applyAlignment="1">
      <alignment horizontal="center" vertical="center"/>
    </xf>
    <xf numFmtId="10" fontId="13" fillId="4" borderId="13" xfId="0" applyNumberFormat="1" applyFont="1" applyFill="1" applyBorder="1" applyAlignment="1">
      <alignment horizontal="center" vertical="center"/>
    </xf>
    <xf numFmtId="10" fontId="13" fillId="4" borderId="22" xfId="0" applyNumberFormat="1" applyFont="1" applyFill="1" applyBorder="1" applyAlignment="1">
      <alignment horizontal="center" vertical="center"/>
    </xf>
    <xf numFmtId="14" fontId="16" fillId="9" borderId="1" xfId="0" applyNumberFormat="1" applyFont="1" applyFill="1" applyBorder="1" applyAlignment="1" applyProtection="1">
      <alignment horizontal="center" vertical="center" wrapText="1"/>
      <protection locked="0"/>
    </xf>
    <xf numFmtId="165" fontId="16" fillId="9" borderId="15" xfId="2" applyNumberFormat="1" applyFont="1" applyFill="1" applyBorder="1" applyAlignment="1" applyProtection="1">
      <alignment horizontal="center" vertical="center"/>
      <protection locked="0"/>
    </xf>
    <xf numFmtId="0" fontId="7" fillId="0" borderId="0" xfId="0" applyFont="1" applyAlignment="1">
      <alignment vertical="center"/>
    </xf>
    <xf numFmtId="164" fontId="7" fillId="0" borderId="0" xfId="0" applyNumberFormat="1" applyFont="1" applyAlignment="1">
      <alignment vertical="center"/>
    </xf>
    <xf numFmtId="9" fontId="16" fillId="0" borderId="0" xfId="2" applyFont="1" applyFill="1" applyBorder="1" applyAlignment="1" applyProtection="1">
      <alignment vertical="center"/>
    </xf>
    <xf numFmtId="0" fontId="7" fillId="0" borderId="0" xfId="0" applyFont="1" applyAlignment="1">
      <alignment vertical="center" textRotation="90"/>
    </xf>
    <xf numFmtId="0" fontId="24" fillId="0" borderId="0" xfId="0" applyFont="1"/>
    <xf numFmtId="0" fontId="7" fillId="0" borderId="18" xfId="0" applyFont="1" applyBorder="1" applyAlignment="1">
      <alignment vertical="center"/>
    </xf>
    <xf numFmtId="0" fontId="7" fillId="0" borderId="20" xfId="0" applyFont="1" applyBorder="1" applyAlignment="1">
      <alignment vertical="center"/>
    </xf>
    <xf numFmtId="0" fontId="15" fillId="3" borderId="18" xfId="0" applyFont="1" applyFill="1" applyBorder="1" applyAlignment="1">
      <alignment vertical="center"/>
    </xf>
    <xf numFmtId="167" fontId="15" fillId="3" borderId="19" xfId="0" applyNumberFormat="1" applyFont="1" applyFill="1" applyBorder="1" applyAlignment="1">
      <alignment horizontal="center" vertical="center"/>
    </xf>
    <xf numFmtId="0" fontId="9" fillId="3" borderId="20" xfId="0" applyFont="1" applyFill="1" applyBorder="1" applyAlignment="1">
      <alignment vertical="center"/>
    </xf>
    <xf numFmtId="0" fontId="7" fillId="0" borderId="21" xfId="0" applyFont="1" applyBorder="1" applyAlignment="1">
      <alignment vertical="center"/>
    </xf>
    <xf numFmtId="0" fontId="9" fillId="3" borderId="21" xfId="0" applyFont="1" applyFill="1" applyBorder="1" applyAlignment="1">
      <alignment vertical="center"/>
    </xf>
    <xf numFmtId="167" fontId="9" fillId="3" borderId="22" xfId="0" applyNumberFormat="1" applyFont="1" applyFill="1" applyBorder="1" applyAlignment="1">
      <alignment horizontal="center" vertical="center"/>
    </xf>
    <xf numFmtId="0" fontId="33" fillId="3" borderId="21" xfId="0" applyFont="1" applyFill="1" applyBorder="1" applyAlignment="1">
      <alignment vertical="center"/>
    </xf>
    <xf numFmtId="167" fontId="33" fillId="3" borderId="22" xfId="0" applyNumberFormat="1" applyFont="1" applyFill="1" applyBorder="1" applyAlignment="1">
      <alignment horizontal="center" vertical="center"/>
    </xf>
    <xf numFmtId="0" fontId="7" fillId="0" borderId="20" xfId="0" applyFont="1" applyBorder="1" applyAlignment="1">
      <alignment horizontal="left" vertical="center"/>
    </xf>
    <xf numFmtId="0" fontId="15" fillId="3" borderId="21" xfId="0" applyFont="1" applyFill="1" applyBorder="1" applyAlignment="1">
      <alignment vertical="center"/>
    </xf>
    <xf numFmtId="168" fontId="7" fillId="0" borderId="0" xfId="0" applyNumberFormat="1" applyFont="1" applyAlignment="1">
      <alignment vertical="center"/>
    </xf>
    <xf numFmtId="164" fontId="9" fillId="0" borderId="0" xfId="0" applyNumberFormat="1" applyFont="1" applyAlignment="1">
      <alignment vertical="center"/>
    </xf>
    <xf numFmtId="0" fontId="33" fillId="3" borderId="18" xfId="0" applyFont="1" applyFill="1" applyBorder="1" applyAlignment="1">
      <alignment vertical="center"/>
    </xf>
    <xf numFmtId="167" fontId="33" fillId="3" borderId="19" xfId="0" applyNumberFormat="1" applyFont="1" applyFill="1" applyBorder="1" applyAlignment="1">
      <alignment horizontal="center" vertical="center"/>
    </xf>
    <xf numFmtId="0" fontId="13" fillId="0" borderId="0" xfId="0" applyFont="1" applyAlignment="1">
      <alignment horizontal="left" vertical="top" wrapText="1"/>
    </xf>
    <xf numFmtId="164" fontId="8" fillId="3" borderId="19" xfId="1" applyNumberFormat="1" applyFont="1" applyFill="1" applyBorder="1"/>
    <xf numFmtId="10" fontId="8" fillId="3" borderId="13" xfId="2" applyNumberFormat="1" applyFont="1" applyFill="1" applyBorder="1"/>
    <xf numFmtId="10" fontId="8" fillId="3" borderId="22" xfId="2" applyNumberFormat="1" applyFont="1" applyFill="1" applyBorder="1"/>
    <xf numFmtId="167" fontId="9" fillId="3" borderId="13" xfId="0" applyNumberFormat="1" applyFont="1" applyFill="1" applyBorder="1" applyAlignment="1">
      <alignment horizontal="center" vertical="center"/>
    </xf>
    <xf numFmtId="10" fontId="13" fillId="0" borderId="0" xfId="0" applyNumberFormat="1" applyFont="1" applyAlignment="1">
      <alignment horizontal="center" vertical="center"/>
    </xf>
    <xf numFmtId="10" fontId="13" fillId="4" borderId="0" xfId="0" applyNumberFormat="1" applyFont="1" applyFill="1" applyAlignment="1">
      <alignment horizontal="center" vertical="center"/>
    </xf>
    <xf numFmtId="10" fontId="13" fillId="4" borderId="14" xfId="0" applyNumberFormat="1" applyFont="1" applyFill="1" applyBorder="1" applyAlignment="1">
      <alignment horizontal="center" vertical="center"/>
    </xf>
    <xf numFmtId="164" fontId="14" fillId="0" borderId="0" xfId="1" applyNumberFormat="1" applyFont="1" applyBorder="1" applyAlignment="1" applyProtection="1">
      <alignment horizontal="center" vertical="center" wrapText="1"/>
    </xf>
    <xf numFmtId="164" fontId="13" fillId="3" borderId="0" xfId="1" applyNumberFormat="1" applyFont="1" applyFill="1" applyBorder="1" applyAlignment="1" applyProtection="1">
      <alignment horizontal="center" vertical="center"/>
    </xf>
    <xf numFmtId="164" fontId="13" fillId="3" borderId="0" xfId="0" applyNumberFormat="1" applyFont="1" applyFill="1" applyAlignment="1">
      <alignment horizontal="center" vertical="center"/>
    </xf>
    <xf numFmtId="0" fontId="13" fillId="3" borderId="0" xfId="0" applyFont="1" applyFill="1" applyAlignment="1">
      <alignment horizontal="center" vertical="center"/>
    </xf>
    <xf numFmtId="44" fontId="13" fillId="3" borderId="0" xfId="1" applyFont="1" applyFill="1" applyBorder="1" applyAlignment="1" applyProtection="1">
      <alignment horizontal="center" vertical="center"/>
    </xf>
    <xf numFmtId="164" fontId="13" fillId="0" borderId="0" xfId="0" applyNumberFormat="1" applyFont="1" applyAlignment="1">
      <alignment horizontal="center" vertical="center"/>
    </xf>
    <xf numFmtId="164" fontId="13" fillId="4" borderId="0" xfId="0" applyNumberFormat="1" applyFont="1" applyFill="1" applyAlignment="1">
      <alignment horizontal="center" vertical="center"/>
    </xf>
    <xf numFmtId="10" fontId="13" fillId="0" borderId="23" xfId="0" applyNumberFormat="1" applyFont="1" applyBorder="1" applyAlignment="1">
      <alignment horizontal="center" vertical="center"/>
    </xf>
    <xf numFmtId="0" fontId="13" fillId="4" borderId="0" xfId="0" applyFont="1" applyFill="1" applyAlignment="1">
      <alignment horizontal="center" vertical="center"/>
    </xf>
    <xf numFmtId="8" fontId="13" fillId="4" borderId="0" xfId="1" applyNumberFormat="1" applyFont="1" applyFill="1" applyBorder="1" applyAlignment="1" applyProtection="1">
      <alignment horizontal="center" vertical="center"/>
    </xf>
    <xf numFmtId="44" fontId="13" fillId="4" borderId="0" xfId="1" applyFont="1" applyFill="1" applyBorder="1" applyAlignment="1" applyProtection="1">
      <alignment horizontal="center" vertical="center"/>
    </xf>
    <xf numFmtId="167" fontId="15" fillId="0" borderId="17" xfId="1" applyNumberFormat="1" applyFont="1" applyFill="1" applyBorder="1" applyAlignment="1" applyProtection="1">
      <alignment horizontal="center" vertical="center"/>
    </xf>
    <xf numFmtId="166" fontId="15" fillId="0" borderId="17" xfId="2" applyNumberFormat="1" applyFont="1" applyFill="1" applyBorder="1" applyAlignment="1" applyProtection="1">
      <alignment horizontal="center" vertical="center"/>
    </xf>
    <xf numFmtId="167" fontId="15" fillId="0" borderId="17" xfId="2" applyNumberFormat="1" applyFont="1" applyFill="1" applyBorder="1" applyAlignment="1" applyProtection="1">
      <alignment horizontal="center" vertical="center"/>
    </xf>
    <xf numFmtId="0" fontId="34" fillId="0" borderId="0" xfId="0" applyFont="1" applyAlignment="1">
      <alignment horizontal="left" vertical="top" wrapText="1"/>
    </xf>
    <xf numFmtId="0" fontId="8" fillId="0" borderId="0" xfId="0" applyFont="1" applyAlignment="1">
      <alignment horizontal="left" vertical="center"/>
    </xf>
    <xf numFmtId="0" fontId="27" fillId="0" borderId="0" xfId="0" applyFont="1" applyAlignment="1" applyProtection="1">
      <alignment horizontal="center" vertical="center"/>
      <protection locked="0"/>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5" xfId="0" applyFont="1" applyBorder="1" applyAlignment="1">
      <alignment horizontal="center" vertical="center"/>
    </xf>
    <xf numFmtId="0" fontId="24" fillId="0" borderId="0" xfId="0" applyFont="1" applyAlignment="1" applyProtection="1">
      <alignment horizontal="left"/>
      <protection locked="0"/>
    </xf>
    <xf numFmtId="0" fontId="24" fillId="0" borderId="0" xfId="0" applyFont="1" applyAlignment="1" applyProtection="1">
      <alignment horizontal="left" vertical="center"/>
      <protection locked="0"/>
    </xf>
    <xf numFmtId="0" fontId="28" fillId="0" borderId="0" xfId="0" applyFont="1" applyAlignment="1" applyProtection="1">
      <alignment horizontal="left" vertical="center"/>
      <protection locked="0"/>
    </xf>
    <xf numFmtId="0" fontId="26" fillId="0" borderId="0" xfId="0" applyFont="1" applyAlignment="1" applyProtection="1">
      <alignment horizontal="left" vertical="center"/>
      <protection locked="0"/>
    </xf>
    <xf numFmtId="0" fontId="25" fillId="0" borderId="0" xfId="0" applyFont="1" applyAlignment="1">
      <alignment horizontal="center" vertical="center"/>
    </xf>
    <xf numFmtId="0" fontId="37" fillId="0" borderId="0" xfId="0" applyFont="1" applyAlignment="1">
      <alignment horizontal="center" vertical="center"/>
    </xf>
    <xf numFmtId="0" fontId="24" fillId="0" borderId="0" xfId="0" applyFont="1" applyAlignment="1">
      <alignment horizontal="left" vertical="center"/>
    </xf>
    <xf numFmtId="0" fontId="38" fillId="0" borderId="0" xfId="3" applyFont="1" applyAlignment="1">
      <alignment horizontal="left"/>
    </xf>
    <xf numFmtId="0" fontId="35" fillId="0" borderId="0" xfId="0" applyFont="1" applyAlignment="1">
      <alignment horizontal="left"/>
    </xf>
    <xf numFmtId="0" fontId="36" fillId="0" borderId="0" xfId="3" applyFont="1" applyAlignment="1" applyProtection="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5" fillId="0" borderId="20" xfId="0" applyFont="1" applyBorder="1" applyAlignment="1">
      <alignment horizontal="left" vertical="center"/>
    </xf>
    <xf numFmtId="0" fontId="5" fillId="0" borderId="0" xfId="0" applyFont="1" applyAlignment="1">
      <alignment horizontal="left" vertical="center"/>
    </xf>
    <xf numFmtId="0" fontId="5" fillId="0" borderId="21" xfId="0" applyFont="1" applyBorder="1" applyAlignment="1">
      <alignment horizontal="left" vertical="center"/>
    </xf>
    <xf numFmtId="0" fontId="5" fillId="0" borderId="14" xfId="0" applyFont="1" applyBorder="1" applyAlignment="1">
      <alignment horizontal="left" vertical="center"/>
    </xf>
    <xf numFmtId="10" fontId="5" fillId="0" borderId="0" xfId="2" applyNumberFormat="1" applyFont="1" applyFill="1" applyBorder="1" applyAlignment="1" applyProtection="1">
      <alignment horizontal="center" vertical="center"/>
    </xf>
    <xf numFmtId="10" fontId="5" fillId="0" borderId="13" xfId="2" applyNumberFormat="1" applyFont="1" applyFill="1" applyBorder="1" applyAlignment="1" applyProtection="1">
      <alignment horizontal="center" vertical="center"/>
    </xf>
    <xf numFmtId="10" fontId="5" fillId="0" borderId="14" xfId="2" applyNumberFormat="1" applyFont="1" applyFill="1" applyBorder="1" applyAlignment="1" applyProtection="1">
      <alignment horizontal="center" vertical="center"/>
    </xf>
    <xf numFmtId="10" fontId="5" fillId="0" borderId="22" xfId="2" applyNumberFormat="1" applyFont="1" applyFill="1" applyBorder="1" applyAlignment="1" applyProtection="1">
      <alignment horizontal="center" vertical="center"/>
    </xf>
    <xf numFmtId="0" fontId="6" fillId="0" borderId="18" xfId="0" applyFont="1" applyBorder="1" applyAlignment="1">
      <alignment horizontal="left" vertical="center"/>
    </xf>
    <xf numFmtId="0" fontId="6" fillId="0" borderId="23" xfId="0" applyFont="1" applyBorder="1" applyAlignment="1">
      <alignment horizontal="left" vertical="center"/>
    </xf>
    <xf numFmtId="166" fontId="5" fillId="0" borderId="0" xfId="2" applyNumberFormat="1" applyFont="1" applyFill="1" applyBorder="1" applyAlignment="1" applyProtection="1">
      <alignment horizontal="center" vertical="center"/>
    </xf>
    <xf numFmtId="166" fontId="5" fillId="0" borderId="13" xfId="2" applyNumberFormat="1" applyFont="1" applyFill="1" applyBorder="1" applyAlignment="1" applyProtection="1">
      <alignment horizontal="center" vertical="center"/>
    </xf>
    <xf numFmtId="167" fontId="5" fillId="0" borderId="23" xfId="2" applyNumberFormat="1" applyFont="1" applyFill="1" applyBorder="1" applyAlignment="1" applyProtection="1">
      <alignment horizontal="center" vertical="center"/>
    </xf>
    <xf numFmtId="167" fontId="5" fillId="0" borderId="19" xfId="2" applyNumberFormat="1" applyFont="1" applyFill="1" applyBorder="1" applyAlignment="1" applyProtection="1">
      <alignment horizontal="center" vertical="center"/>
    </xf>
    <xf numFmtId="167" fontId="22" fillId="3" borderId="18" xfId="0" applyNumberFormat="1" applyFont="1" applyFill="1" applyBorder="1" applyAlignment="1">
      <alignment horizontal="center" vertical="center"/>
    </xf>
    <xf numFmtId="167" fontId="22" fillId="3" borderId="23" xfId="0" applyNumberFormat="1" applyFont="1" applyFill="1" applyBorder="1" applyAlignment="1">
      <alignment horizontal="center" vertical="center"/>
    </xf>
    <xf numFmtId="167" fontId="22" fillId="3" borderId="19" xfId="0" applyNumberFormat="1" applyFont="1" applyFill="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167" fontId="5" fillId="0" borderId="14" xfId="1" applyNumberFormat="1" applyFont="1" applyFill="1" applyBorder="1" applyAlignment="1" applyProtection="1">
      <alignment horizontal="center" vertical="center"/>
    </xf>
    <xf numFmtId="167" fontId="5" fillId="0" borderId="22" xfId="1" applyNumberFormat="1" applyFont="1" applyFill="1" applyBorder="1" applyAlignment="1" applyProtection="1">
      <alignment horizontal="center" vertical="center"/>
    </xf>
    <xf numFmtId="167" fontId="5" fillId="0" borderId="14" xfId="2" applyNumberFormat="1" applyFont="1" applyFill="1" applyBorder="1" applyAlignment="1">
      <alignment horizontal="center" vertical="center"/>
    </xf>
    <xf numFmtId="167" fontId="5" fillId="0" borderId="22" xfId="2" applyNumberFormat="1" applyFont="1" applyFill="1" applyBorder="1" applyAlignment="1">
      <alignment horizontal="center" vertical="center"/>
    </xf>
    <xf numFmtId="167" fontId="10" fillId="0" borderId="0" xfId="2" applyNumberFormat="1" applyFont="1" applyFill="1" applyBorder="1" applyAlignment="1">
      <alignment horizontal="center" vertical="center"/>
    </xf>
    <xf numFmtId="167" fontId="10" fillId="0" borderId="13" xfId="2" applyNumberFormat="1" applyFont="1" applyFill="1" applyBorder="1" applyAlignment="1">
      <alignment horizontal="center" vertical="center"/>
    </xf>
    <xf numFmtId="167" fontId="5" fillId="0" borderId="0" xfId="2" applyNumberFormat="1" applyFont="1" applyFill="1" applyBorder="1" applyAlignment="1">
      <alignment horizontal="center" vertical="center"/>
    </xf>
    <xf numFmtId="167" fontId="5" fillId="0" borderId="13" xfId="2" applyNumberFormat="1" applyFont="1" applyFill="1" applyBorder="1" applyAlignment="1">
      <alignment horizontal="center" vertical="center"/>
    </xf>
    <xf numFmtId="167" fontId="5" fillId="0" borderId="23" xfId="2" applyNumberFormat="1" applyFont="1" applyFill="1" applyBorder="1" applyAlignment="1">
      <alignment horizontal="center" vertical="center"/>
    </xf>
    <xf numFmtId="167" fontId="5" fillId="0" borderId="19" xfId="2" applyNumberFormat="1" applyFont="1" applyFill="1" applyBorder="1" applyAlignment="1">
      <alignment horizontal="center" vertical="center"/>
    </xf>
    <xf numFmtId="167" fontId="22" fillId="3" borderId="21" xfId="0" applyNumberFormat="1" applyFont="1" applyFill="1" applyBorder="1" applyAlignment="1">
      <alignment horizontal="center" vertical="center"/>
    </xf>
    <xf numFmtId="167" fontId="22" fillId="3" borderId="14" xfId="0" applyNumberFormat="1" applyFont="1" applyFill="1" applyBorder="1" applyAlignment="1">
      <alignment horizontal="center" vertical="center"/>
    </xf>
    <xf numFmtId="167" fontId="22" fillId="3" borderId="22" xfId="0" applyNumberFormat="1" applyFont="1" applyFill="1" applyBorder="1" applyAlignment="1">
      <alignment horizontal="center" vertical="center"/>
    </xf>
    <xf numFmtId="167" fontId="22" fillId="3" borderId="20" xfId="0" applyNumberFormat="1" applyFont="1" applyFill="1" applyBorder="1" applyAlignment="1">
      <alignment horizontal="center" vertical="center"/>
    </xf>
    <xf numFmtId="167" fontId="22" fillId="3" borderId="0" xfId="0" applyNumberFormat="1" applyFont="1" applyFill="1" applyAlignment="1">
      <alignment horizontal="center" vertical="center"/>
    </xf>
    <xf numFmtId="167" fontId="22" fillId="3" borderId="13" xfId="0" applyNumberFormat="1" applyFont="1" applyFill="1" applyBorder="1" applyAlignment="1">
      <alignment horizontal="center" vertical="center"/>
    </xf>
    <xf numFmtId="167" fontId="22" fillId="3" borderId="16" xfId="0" applyNumberFormat="1" applyFont="1" applyFill="1" applyBorder="1" applyAlignment="1">
      <alignment horizontal="center" vertical="center"/>
    </xf>
    <xf numFmtId="167" fontId="22" fillId="3" borderId="17" xfId="0" applyNumberFormat="1" applyFont="1" applyFill="1" applyBorder="1" applyAlignment="1">
      <alignment horizontal="center" vertical="center"/>
    </xf>
    <xf numFmtId="167" fontId="10" fillId="0" borderId="0" xfId="0" applyNumberFormat="1" applyFont="1" applyAlignment="1">
      <alignment horizontal="center" vertical="center"/>
    </xf>
    <xf numFmtId="167" fontId="10" fillId="0" borderId="13" xfId="0" applyNumberFormat="1" applyFont="1" applyBorder="1" applyAlignment="1">
      <alignment horizontal="center" vertical="center"/>
    </xf>
    <xf numFmtId="167" fontId="5" fillId="0" borderId="0" xfId="1" applyNumberFormat="1" applyFont="1" applyFill="1" applyBorder="1" applyAlignment="1" applyProtection="1">
      <alignment horizontal="center" vertical="center"/>
    </xf>
    <xf numFmtId="167" fontId="5" fillId="0" borderId="13" xfId="1" applyNumberFormat="1" applyFont="1" applyFill="1" applyBorder="1" applyAlignment="1" applyProtection="1">
      <alignment horizontal="center" vertical="center"/>
    </xf>
    <xf numFmtId="0" fontId="6" fillId="0" borderId="20"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167" fontId="10" fillId="0" borderId="0" xfId="1" applyNumberFormat="1" applyFont="1" applyFill="1" applyBorder="1" applyAlignment="1" applyProtection="1">
      <alignment horizontal="center" vertical="center"/>
    </xf>
    <xf numFmtId="167" fontId="10" fillId="0" borderId="13" xfId="1" applyNumberFormat="1" applyFont="1" applyFill="1" applyBorder="1" applyAlignment="1" applyProtection="1">
      <alignment horizontal="center" vertical="center"/>
    </xf>
    <xf numFmtId="167" fontId="22" fillId="3" borderId="16" xfId="1" applyNumberFormat="1" applyFont="1" applyFill="1" applyBorder="1" applyAlignment="1" applyProtection="1">
      <alignment horizontal="center" vertical="center"/>
    </xf>
    <xf numFmtId="167" fontId="22" fillId="3" borderId="17" xfId="1" applyNumberFormat="1" applyFont="1" applyFill="1" applyBorder="1" applyAlignment="1" applyProtection="1">
      <alignment horizontal="center" vertical="center"/>
    </xf>
    <xf numFmtId="9" fontId="5" fillId="0" borderId="0" xfId="2" applyFont="1" applyFill="1" applyBorder="1" applyAlignment="1" applyProtection="1">
      <alignment horizontal="center" vertical="center"/>
    </xf>
    <xf numFmtId="9" fontId="5" fillId="0" borderId="13" xfId="2" applyFont="1" applyFill="1" applyBorder="1" applyAlignment="1" applyProtection="1">
      <alignment horizontal="center" vertical="center"/>
    </xf>
    <xf numFmtId="0" fontId="10" fillId="0" borderId="20" xfId="0" applyFont="1" applyBorder="1" applyAlignment="1">
      <alignment horizontal="left" vertical="center"/>
    </xf>
    <xf numFmtId="0" fontId="10" fillId="0" borderId="0" xfId="0" applyFont="1" applyAlignment="1">
      <alignment horizontal="left" vertical="center"/>
    </xf>
    <xf numFmtId="0" fontId="5" fillId="0" borderId="18" xfId="0" applyFont="1" applyBorder="1" applyAlignment="1">
      <alignment horizontal="left" vertical="center"/>
    </xf>
    <xf numFmtId="0" fontId="5" fillId="0" borderId="23" xfId="0" applyFont="1" applyBorder="1" applyAlignment="1">
      <alignment horizontal="left" vertical="center"/>
    </xf>
    <xf numFmtId="0" fontId="22" fillId="3" borderId="15" xfId="0" applyFont="1" applyFill="1" applyBorder="1" applyAlignment="1">
      <alignment horizontal="left" vertical="center"/>
    </xf>
    <xf numFmtId="0" fontId="22" fillId="3" borderId="16" xfId="0" applyFont="1" applyFill="1" applyBorder="1" applyAlignment="1">
      <alignment horizontal="left" vertical="center"/>
    </xf>
    <xf numFmtId="1" fontId="5" fillId="0" borderId="0" xfId="1" applyNumberFormat="1" applyFont="1" applyFill="1" applyBorder="1" applyAlignment="1" applyProtection="1">
      <alignment horizontal="center" vertical="center"/>
    </xf>
    <xf numFmtId="1" fontId="5" fillId="0" borderId="13" xfId="1" applyNumberFormat="1" applyFont="1" applyFill="1" applyBorder="1" applyAlignment="1" applyProtection="1">
      <alignment horizontal="center" vertical="center"/>
    </xf>
    <xf numFmtId="166" fontId="5" fillId="0" borderId="0" xfId="2" applyNumberFormat="1" applyFont="1" applyBorder="1" applyAlignment="1">
      <alignment horizontal="center" vertical="center"/>
    </xf>
    <xf numFmtId="166" fontId="5" fillId="0" borderId="13" xfId="2" applyNumberFormat="1" applyFont="1" applyBorder="1" applyAlignment="1">
      <alignment horizontal="center" vertical="center"/>
    </xf>
    <xf numFmtId="0" fontId="7" fillId="0" borderId="20" xfId="0" applyFont="1" applyBorder="1" applyAlignment="1">
      <alignment horizontal="center"/>
    </xf>
    <xf numFmtId="0" fontId="7" fillId="0" borderId="0" xfId="0" applyFont="1" applyAlignment="1">
      <alignment horizontal="center"/>
    </xf>
    <xf numFmtId="0" fontId="7" fillId="0" borderId="21" xfId="0" applyFont="1" applyBorder="1" applyAlignment="1">
      <alignment horizontal="center"/>
    </xf>
    <xf numFmtId="0" fontId="7" fillId="0" borderId="14" xfId="0" applyFont="1" applyBorder="1" applyAlignment="1">
      <alignment horizontal="center"/>
    </xf>
    <xf numFmtId="0" fontId="7" fillId="0" borderId="18" xfId="0" applyFont="1" applyBorder="1" applyAlignment="1">
      <alignment horizontal="center"/>
    </xf>
    <xf numFmtId="0" fontId="7" fillId="0" borderId="23" xfId="0" applyFont="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7" fillId="0" borderId="1" xfId="0" applyFont="1" applyBorder="1" applyAlignment="1">
      <alignment horizontal="center"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0"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0" xfId="0" applyFont="1" applyAlignment="1">
      <alignment horizontal="center" vertical="center"/>
    </xf>
    <xf numFmtId="0" fontId="7" fillId="0" borderId="18" xfId="0" applyFont="1" applyBorder="1" applyAlignment="1">
      <alignment horizontal="center" vertical="center"/>
    </xf>
    <xf numFmtId="0" fontId="7" fillId="0" borderId="23" xfId="0" applyFont="1" applyBorder="1" applyAlignment="1">
      <alignment horizontal="center" vertical="center"/>
    </xf>
    <xf numFmtId="164" fontId="7" fillId="0" borderId="20" xfId="1" applyNumberFormat="1" applyFont="1" applyBorder="1" applyAlignment="1" applyProtection="1">
      <alignment horizontal="center" vertical="center"/>
    </xf>
    <xf numFmtId="164" fontId="7" fillId="0" borderId="0" xfId="1" applyNumberFormat="1" applyFont="1" applyBorder="1" applyAlignment="1" applyProtection="1">
      <alignment horizontal="center" vertical="center"/>
    </xf>
    <xf numFmtId="164" fontId="7" fillId="0" borderId="13" xfId="1" applyNumberFormat="1" applyFont="1" applyBorder="1" applyAlignment="1" applyProtection="1">
      <alignment horizontal="center" vertical="center"/>
    </xf>
    <xf numFmtId="0" fontId="7" fillId="0" borderId="25" xfId="0" applyFont="1" applyBorder="1" applyAlignment="1">
      <alignment horizontal="center" vertical="center" wrapText="1"/>
    </xf>
    <xf numFmtId="0" fontId="7" fillId="0" borderId="24" xfId="0" applyFont="1" applyBorder="1" applyAlignment="1">
      <alignment horizontal="center" vertical="center"/>
    </xf>
    <xf numFmtId="164" fontId="11" fillId="0" borderId="20" xfId="1" applyNumberFormat="1" applyFont="1" applyBorder="1" applyAlignment="1" applyProtection="1">
      <alignment horizontal="center" vertical="center"/>
    </xf>
    <xf numFmtId="164" fontId="11" fillId="0" borderId="0" xfId="1" applyNumberFormat="1" applyFont="1" applyBorder="1" applyAlignment="1" applyProtection="1">
      <alignment horizontal="center" vertical="center"/>
    </xf>
    <xf numFmtId="164" fontId="11" fillId="0" borderId="20" xfId="1" applyNumberFormat="1" applyFont="1" applyFill="1" applyBorder="1" applyAlignment="1" applyProtection="1">
      <alignment horizontal="center" vertical="center"/>
    </xf>
    <xf numFmtId="164" fontId="11" fillId="0" borderId="13" xfId="1" applyNumberFormat="1" applyFont="1" applyFill="1" applyBorder="1" applyAlignment="1" applyProtection="1">
      <alignment horizontal="center" vertical="center"/>
    </xf>
    <xf numFmtId="164" fontId="17" fillId="0" borderId="20" xfId="1" applyNumberFormat="1" applyFont="1" applyBorder="1" applyAlignment="1" applyProtection="1">
      <alignment horizontal="center" vertical="center"/>
    </xf>
    <xf numFmtId="164" fontId="17" fillId="0" borderId="13" xfId="1" applyNumberFormat="1" applyFont="1" applyBorder="1" applyAlignment="1" applyProtection="1">
      <alignment horizontal="center" vertical="center"/>
    </xf>
    <xf numFmtId="164" fontId="8" fillId="0" borderId="20" xfId="1" applyNumberFormat="1" applyFont="1" applyFill="1" applyBorder="1" applyAlignment="1" applyProtection="1">
      <alignment horizontal="center" vertical="center"/>
    </xf>
    <xf numFmtId="164" fontId="8" fillId="0" borderId="0" xfId="1" applyNumberFormat="1" applyFont="1" applyFill="1" applyBorder="1" applyAlignment="1" applyProtection="1">
      <alignment horizontal="center" vertical="center"/>
    </xf>
    <xf numFmtId="164" fontId="7" fillId="0" borderId="21" xfId="1" applyNumberFormat="1" applyFont="1" applyBorder="1" applyAlignment="1" applyProtection="1">
      <alignment horizontal="center" vertical="center"/>
    </xf>
    <xf numFmtId="164" fontId="7" fillId="0" borderId="22" xfId="1" applyNumberFormat="1" applyFont="1" applyBorder="1" applyAlignment="1" applyProtection="1">
      <alignment horizontal="center" vertical="center"/>
    </xf>
    <xf numFmtId="164" fontId="17" fillId="0" borderId="15" xfId="1" applyNumberFormat="1" applyFont="1" applyBorder="1" applyAlignment="1" applyProtection="1">
      <alignment horizontal="center" vertical="center"/>
    </xf>
    <xf numFmtId="164" fontId="17" fillId="0" borderId="16" xfId="1" applyNumberFormat="1" applyFont="1" applyBorder="1" applyAlignment="1" applyProtection="1">
      <alignment horizontal="center" vertical="center"/>
    </xf>
    <xf numFmtId="164" fontId="7" fillId="0" borderId="18" xfId="1" applyNumberFormat="1" applyFont="1" applyFill="1" applyBorder="1" applyAlignment="1" applyProtection="1">
      <alignment horizontal="center" vertical="center"/>
    </xf>
    <xf numFmtId="164" fontId="7" fillId="0" borderId="23" xfId="1" applyNumberFormat="1" applyFont="1" applyFill="1" applyBorder="1" applyAlignment="1" applyProtection="1">
      <alignment horizontal="center" vertical="center"/>
    </xf>
    <xf numFmtId="164" fontId="7" fillId="5" borderId="0" xfId="1" applyNumberFormat="1" applyFont="1" applyFill="1" applyAlignment="1" applyProtection="1">
      <alignment horizontal="center" vertical="center"/>
    </xf>
    <xf numFmtId="164" fontId="7" fillId="0" borderId="18" xfId="1" applyNumberFormat="1" applyFont="1" applyBorder="1" applyAlignment="1" applyProtection="1">
      <alignment horizontal="center" vertical="center"/>
    </xf>
    <xf numFmtId="164" fontId="7" fillId="0" borderId="23" xfId="1" applyNumberFormat="1" applyFont="1" applyBorder="1" applyAlignment="1" applyProtection="1">
      <alignment horizontal="center" vertical="center"/>
    </xf>
    <xf numFmtId="164" fontId="7" fillId="0" borderId="19" xfId="1" applyNumberFormat="1" applyFont="1" applyFill="1" applyBorder="1" applyAlignment="1" applyProtection="1">
      <alignment horizontal="center" vertical="center"/>
    </xf>
    <xf numFmtId="164" fontId="7" fillId="0" borderId="14" xfId="1" applyNumberFormat="1" applyFont="1" applyBorder="1" applyAlignment="1" applyProtection="1">
      <alignment horizontal="center" vertical="center"/>
    </xf>
    <xf numFmtId="164" fontId="17" fillId="0" borderId="0" xfId="1" applyNumberFormat="1" applyFont="1" applyBorder="1" applyAlignment="1" applyProtection="1">
      <alignment horizontal="center" vertical="center"/>
    </xf>
    <xf numFmtId="0" fontId="7" fillId="0" borderId="1" xfId="0" applyFont="1" applyBorder="1" applyAlignment="1">
      <alignment horizontal="center" vertical="center"/>
    </xf>
    <xf numFmtId="164" fontId="7" fillId="3" borderId="15" xfId="1" applyNumberFormat="1" applyFont="1" applyFill="1" applyBorder="1" applyAlignment="1" applyProtection="1">
      <alignment horizontal="center" vertical="center"/>
    </xf>
    <xf numFmtId="164" fontId="7" fillId="3" borderId="16" xfId="1" applyNumberFormat="1" applyFont="1" applyFill="1" applyBorder="1" applyAlignment="1" applyProtection="1">
      <alignment horizontal="center" vertical="center"/>
    </xf>
    <xf numFmtId="164" fontId="7" fillId="3" borderId="17" xfId="1" applyNumberFormat="1" applyFont="1" applyFill="1" applyBorder="1" applyAlignment="1" applyProtection="1">
      <alignment horizontal="center" vertical="center"/>
    </xf>
    <xf numFmtId="0" fontId="12" fillId="3" borderId="20" xfId="0" applyFont="1" applyFill="1" applyBorder="1" applyAlignment="1">
      <alignment horizontal="center" vertical="center"/>
    </xf>
    <xf numFmtId="0" fontId="12" fillId="3" borderId="0" xfId="0" applyFont="1" applyFill="1" applyAlignment="1">
      <alignment horizontal="center" vertical="center"/>
    </xf>
    <xf numFmtId="164" fontId="7" fillId="0" borderId="15" xfId="1" applyNumberFormat="1" applyFont="1" applyFill="1" applyBorder="1" applyAlignment="1" applyProtection="1">
      <alignment horizontal="center" vertical="center"/>
    </xf>
    <xf numFmtId="164" fontId="7" fillId="0" borderId="16" xfId="1" applyNumberFormat="1" applyFont="1" applyFill="1" applyBorder="1" applyAlignment="1" applyProtection="1">
      <alignment horizontal="center" vertical="center"/>
    </xf>
    <xf numFmtId="164" fontId="7" fillId="0" borderId="17" xfId="1" applyNumberFormat="1" applyFont="1" applyFill="1" applyBorder="1" applyAlignment="1" applyProtection="1">
      <alignment horizontal="center" vertical="center"/>
    </xf>
    <xf numFmtId="164" fontId="7" fillId="0" borderId="20" xfId="1" applyNumberFormat="1" applyFont="1" applyFill="1" applyBorder="1" applyAlignment="1" applyProtection="1">
      <alignment horizontal="center" vertical="center"/>
    </xf>
    <xf numFmtId="164" fontId="7" fillId="0" borderId="0" xfId="1" applyNumberFormat="1" applyFont="1" applyFill="1" applyBorder="1" applyAlignment="1" applyProtection="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9" xfId="0" applyFont="1" applyBorder="1" applyAlignment="1">
      <alignment horizontal="center" vertical="center"/>
    </xf>
    <xf numFmtId="0" fontId="6" fillId="0" borderId="0" xfId="0" applyFont="1" applyAlignment="1">
      <alignment horizontal="center" vertical="center"/>
    </xf>
    <xf numFmtId="0" fontId="18" fillId="0" borderId="0" xfId="0"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xf>
    <xf numFmtId="0" fontId="2" fillId="0" borderId="0" xfId="0" applyFont="1" applyAlignment="1">
      <alignment horizontal="left" vertical="top"/>
    </xf>
    <xf numFmtId="0" fontId="2" fillId="0" borderId="0" xfId="0" applyFont="1" applyAlignment="1">
      <alignment wrapText="1"/>
    </xf>
    <xf numFmtId="0" fontId="0" fillId="0" borderId="0" xfId="0" applyAlignment="1">
      <alignment wrapText="1"/>
    </xf>
    <xf numFmtId="0" fontId="2" fillId="0" borderId="2" xfId="0" applyFont="1" applyBorder="1" applyAlignment="1">
      <alignment horizontal="center" wrapText="1"/>
    </xf>
    <xf numFmtId="0" fontId="2" fillId="0" borderId="11" xfId="0" applyFont="1" applyBorder="1" applyAlignment="1">
      <alignment horizontal="center" wrapText="1"/>
    </xf>
    <xf numFmtId="0" fontId="3" fillId="2" borderId="8" xfId="0" applyFont="1" applyFill="1" applyBorder="1" applyAlignment="1">
      <alignment horizontal="center" wrapText="1"/>
    </xf>
    <xf numFmtId="0" fontId="3" fillId="2" borderId="10" xfId="0" applyFont="1" applyFill="1" applyBorder="1" applyAlignment="1">
      <alignment horizontal="center" wrapText="1"/>
    </xf>
    <xf numFmtId="0" fontId="3" fillId="2" borderId="9" xfId="0" applyFont="1" applyFill="1" applyBorder="1" applyAlignment="1">
      <alignment horizontal="center" wrapText="1"/>
    </xf>
    <xf numFmtId="0" fontId="2" fillId="0" borderId="6" xfId="0" applyFont="1" applyBorder="1" applyAlignment="1">
      <alignment horizontal="center" wrapText="1"/>
    </xf>
    <xf numFmtId="0" fontId="2" fillId="0" borderId="12" xfId="0" applyFont="1" applyBorder="1" applyAlignment="1">
      <alignment horizontal="center" wrapText="1"/>
    </xf>
    <xf numFmtId="0" fontId="2" fillId="0" borderId="4" xfId="0" applyFont="1" applyBorder="1" applyAlignment="1">
      <alignment horizontal="center"/>
    </xf>
    <xf numFmtId="0" fontId="2" fillId="0" borderId="0" xfId="0" applyFont="1" applyAlignment="1">
      <alignment horizontal="center"/>
    </xf>
    <xf numFmtId="164" fontId="2" fillId="0" borderId="4" xfId="1" applyNumberFormat="1" applyFont="1" applyBorder="1" applyAlignment="1">
      <alignment horizontal="center"/>
    </xf>
    <xf numFmtId="164" fontId="2" fillId="0" borderId="0" xfId="1" applyNumberFormat="1" applyFont="1" applyBorder="1" applyAlignment="1">
      <alignment horizontal="center"/>
    </xf>
  </cellXfs>
  <cellStyles count="4">
    <cellStyle name="Currency" xfId="1" builtinId="4"/>
    <cellStyle name="Hyperlink" xfId="3" builtinId="8"/>
    <cellStyle name="Normal" xfId="0" builtinId="0"/>
    <cellStyle name="Percent" xfId="2" builtinId="5"/>
  </cellStyles>
  <dxfs count="2">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970A1A"/>
      <color rgb="FF172C51"/>
      <color rgb="FFFCDF08"/>
      <color rgb="FF5E6738"/>
      <color rgb="FF165C7D"/>
      <color rgb="FF002E6D"/>
      <color rgb="FF840B55"/>
      <color rgb="FF20346A"/>
      <color rgb="FFB47E00"/>
      <color rgb="FFCB60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 Net Monthly Income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lineChart>
        <c:grouping val="standard"/>
        <c:varyColors val="0"/>
        <c:ser>
          <c:idx val="0"/>
          <c:order val="0"/>
          <c:tx>
            <c:v>Net Monthly Rental Income</c:v>
          </c:tx>
          <c:spPr>
            <a:ln w="28575" cap="rnd">
              <a:solidFill>
                <a:srgbClr val="172C5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A77A-43EE-86C1-B67645B04499}"/>
                </c:ext>
              </c:extLst>
            </c:dLbl>
            <c:dLbl>
              <c:idx val="2"/>
              <c:delete val="1"/>
              <c:extLst>
                <c:ext xmlns:c15="http://schemas.microsoft.com/office/drawing/2012/chart" uri="{CE6537A1-D6FC-4f65-9D91-7224C49458BB}"/>
                <c:ext xmlns:c16="http://schemas.microsoft.com/office/drawing/2014/chart" uri="{C3380CC4-5D6E-409C-BE32-E72D297353CC}">
                  <c16:uniqueId val="{00000001-A77A-43EE-86C1-B67645B04499}"/>
                </c:ext>
              </c:extLst>
            </c:dLbl>
            <c:dLbl>
              <c:idx val="3"/>
              <c:delete val="1"/>
              <c:extLst>
                <c:ext xmlns:c15="http://schemas.microsoft.com/office/drawing/2012/chart" uri="{CE6537A1-D6FC-4f65-9D91-7224C49458BB}"/>
                <c:ext xmlns:c16="http://schemas.microsoft.com/office/drawing/2014/chart" uri="{C3380CC4-5D6E-409C-BE32-E72D297353CC}">
                  <c16:uniqueId val="{00000002-A77A-43EE-86C1-B67645B04499}"/>
                </c:ext>
              </c:extLst>
            </c:dLbl>
            <c:dLbl>
              <c:idx val="5"/>
              <c:delete val="1"/>
              <c:extLst>
                <c:ext xmlns:c15="http://schemas.microsoft.com/office/drawing/2012/chart" uri="{CE6537A1-D6FC-4f65-9D91-7224C49458BB}"/>
                <c:ext xmlns:c16="http://schemas.microsoft.com/office/drawing/2014/chart" uri="{C3380CC4-5D6E-409C-BE32-E72D297353CC}">
                  <c16:uniqueId val="{00000003-A77A-43EE-86C1-B67645B04499}"/>
                </c:ext>
              </c:extLst>
            </c:dLbl>
            <c:dLbl>
              <c:idx val="6"/>
              <c:delete val="1"/>
              <c:extLst>
                <c:ext xmlns:c15="http://schemas.microsoft.com/office/drawing/2012/chart" uri="{CE6537A1-D6FC-4f65-9D91-7224C49458BB}"/>
                <c:ext xmlns:c16="http://schemas.microsoft.com/office/drawing/2014/chart" uri="{C3380CC4-5D6E-409C-BE32-E72D297353CC}">
                  <c16:uniqueId val="{00000004-A77A-43EE-86C1-B67645B04499}"/>
                </c:ext>
              </c:extLst>
            </c:dLbl>
            <c:dLbl>
              <c:idx val="7"/>
              <c:delete val="1"/>
              <c:extLst>
                <c:ext xmlns:c15="http://schemas.microsoft.com/office/drawing/2012/chart" uri="{CE6537A1-D6FC-4f65-9D91-7224C49458BB}"/>
                <c:ext xmlns:c16="http://schemas.microsoft.com/office/drawing/2014/chart" uri="{C3380CC4-5D6E-409C-BE32-E72D297353CC}">
                  <c16:uniqueId val="{00000005-A77A-43EE-86C1-B67645B04499}"/>
                </c:ext>
              </c:extLst>
            </c:dLbl>
            <c:dLbl>
              <c:idx val="8"/>
              <c:delete val="1"/>
              <c:extLst>
                <c:ext xmlns:c15="http://schemas.microsoft.com/office/drawing/2012/chart" uri="{CE6537A1-D6FC-4f65-9D91-7224C49458BB}"/>
                <c:ext xmlns:c16="http://schemas.microsoft.com/office/drawing/2014/chart" uri="{C3380CC4-5D6E-409C-BE32-E72D297353CC}">
                  <c16:uniqueId val="{00000006-A77A-43EE-86C1-B67645B04499}"/>
                </c:ext>
              </c:extLst>
            </c:dLbl>
            <c:dLbl>
              <c:idx val="10"/>
              <c:delete val="1"/>
              <c:extLst>
                <c:ext xmlns:c15="http://schemas.microsoft.com/office/drawing/2012/chart" uri="{CE6537A1-D6FC-4f65-9D91-7224C49458BB}"/>
                <c:ext xmlns:c16="http://schemas.microsoft.com/office/drawing/2014/chart" uri="{C3380CC4-5D6E-409C-BE32-E72D297353CC}">
                  <c16:uniqueId val="{00000007-A77A-43EE-86C1-B67645B04499}"/>
                </c:ext>
              </c:extLst>
            </c:dLbl>
            <c:dLbl>
              <c:idx val="11"/>
              <c:delete val="1"/>
              <c:extLst>
                <c:ext xmlns:c15="http://schemas.microsoft.com/office/drawing/2012/chart" uri="{CE6537A1-D6FC-4f65-9D91-7224C49458BB}"/>
                <c:ext xmlns:c16="http://schemas.microsoft.com/office/drawing/2014/chart" uri="{C3380CC4-5D6E-409C-BE32-E72D297353CC}">
                  <c16:uniqueId val="{00000008-A77A-43EE-86C1-B67645B04499}"/>
                </c:ext>
              </c:extLst>
            </c:dLbl>
            <c:dLbl>
              <c:idx val="12"/>
              <c:delete val="1"/>
              <c:extLst>
                <c:ext xmlns:c15="http://schemas.microsoft.com/office/drawing/2012/chart" uri="{CE6537A1-D6FC-4f65-9D91-7224C49458BB}"/>
                <c:ext xmlns:c16="http://schemas.microsoft.com/office/drawing/2014/chart" uri="{C3380CC4-5D6E-409C-BE32-E72D297353CC}">
                  <c16:uniqueId val="{00000009-A77A-43EE-86C1-B67645B04499}"/>
                </c:ext>
              </c:extLst>
            </c:dLbl>
            <c:dLbl>
              <c:idx val="13"/>
              <c:delete val="1"/>
              <c:extLst>
                <c:ext xmlns:c15="http://schemas.microsoft.com/office/drawing/2012/chart" uri="{CE6537A1-D6FC-4f65-9D91-7224C49458BB}"/>
                <c:ext xmlns:c16="http://schemas.microsoft.com/office/drawing/2014/chart" uri="{C3380CC4-5D6E-409C-BE32-E72D297353CC}">
                  <c16:uniqueId val="{0000000A-A77A-43EE-86C1-B67645B04499}"/>
                </c:ext>
              </c:extLst>
            </c:dLbl>
            <c:dLbl>
              <c:idx val="15"/>
              <c:delete val="1"/>
              <c:extLst>
                <c:ext xmlns:c15="http://schemas.microsoft.com/office/drawing/2012/chart" uri="{CE6537A1-D6FC-4f65-9D91-7224C49458BB}"/>
                <c:ext xmlns:c16="http://schemas.microsoft.com/office/drawing/2014/chart" uri="{C3380CC4-5D6E-409C-BE32-E72D297353CC}">
                  <c16:uniqueId val="{0000000B-A77A-43EE-86C1-B67645B04499}"/>
                </c:ext>
              </c:extLst>
            </c:dLbl>
            <c:dLbl>
              <c:idx val="16"/>
              <c:delete val="1"/>
              <c:extLst>
                <c:ext xmlns:c15="http://schemas.microsoft.com/office/drawing/2012/chart" uri="{CE6537A1-D6FC-4f65-9D91-7224C49458BB}"/>
                <c:ext xmlns:c16="http://schemas.microsoft.com/office/drawing/2014/chart" uri="{C3380CC4-5D6E-409C-BE32-E72D297353CC}">
                  <c16:uniqueId val="{0000000C-A77A-43EE-86C1-B67645B04499}"/>
                </c:ext>
              </c:extLst>
            </c:dLbl>
            <c:dLbl>
              <c:idx val="17"/>
              <c:delete val="1"/>
              <c:extLst>
                <c:ext xmlns:c15="http://schemas.microsoft.com/office/drawing/2012/chart" uri="{CE6537A1-D6FC-4f65-9D91-7224C49458BB}"/>
                <c:ext xmlns:c16="http://schemas.microsoft.com/office/drawing/2014/chart" uri="{C3380CC4-5D6E-409C-BE32-E72D297353CC}">
                  <c16:uniqueId val="{0000000D-A77A-43EE-86C1-B67645B04499}"/>
                </c:ext>
              </c:extLst>
            </c:dLbl>
            <c:dLbl>
              <c:idx val="18"/>
              <c:delete val="1"/>
              <c:extLst>
                <c:ext xmlns:c15="http://schemas.microsoft.com/office/drawing/2012/chart" uri="{CE6537A1-D6FC-4f65-9D91-7224C49458BB}"/>
                <c:ext xmlns:c16="http://schemas.microsoft.com/office/drawing/2014/chart" uri="{C3380CC4-5D6E-409C-BE32-E72D297353CC}">
                  <c16:uniqueId val="{0000000E-A77A-43EE-86C1-B67645B044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Table'!$N$28:$N$267</c:f>
              <c:numCache>
                <c:formatCode>_("$"* #,##0_);_("$"* \(#,##0\);_("$"* "-"??_);_(@_)</c:formatCode>
                <c:ptCount val="20"/>
                <c:pt idx="0">
                  <c:v>-62.554407072922004</c:v>
                </c:pt>
                <c:pt idx="1">
                  <c:v>27.028092927077523</c:v>
                </c:pt>
                <c:pt idx="2">
                  <c:v>119.74598042707748</c:v>
                </c:pt>
                <c:pt idx="3">
                  <c:v>215.70899398957727</c:v>
                </c:pt>
                <c:pt idx="4">
                  <c:v>315.03071302676472</c:v>
                </c:pt>
                <c:pt idx="5">
                  <c:v>417.82869223025364</c:v>
                </c:pt>
                <c:pt idx="6">
                  <c:v>524.2246007058643</c:v>
                </c:pt>
                <c:pt idx="7">
                  <c:v>634.34436597812191</c:v>
                </c:pt>
                <c:pt idx="8">
                  <c:v>748.31832303490819</c:v>
                </c:pt>
                <c:pt idx="9">
                  <c:v>866.28136858868174</c:v>
                </c:pt>
                <c:pt idx="10">
                  <c:v>988.37312073683825</c:v>
                </c:pt>
                <c:pt idx="11">
                  <c:v>1114.7380842101793</c:v>
                </c:pt>
                <c:pt idx="12">
                  <c:v>1245.5258214050873</c:v>
                </c:pt>
                <c:pt idx="13">
                  <c:v>1380.8911294018171</c:v>
                </c:pt>
                <c:pt idx="14">
                  <c:v>1520.9942231784335</c:v>
                </c:pt>
                <c:pt idx="15">
                  <c:v>1666.0009252372311</c:v>
                </c:pt>
                <c:pt idx="16">
                  <c:v>1816.0828618680853</c:v>
                </c:pt>
                <c:pt idx="17">
                  <c:v>1971.4176662810205</c:v>
                </c:pt>
                <c:pt idx="18">
                  <c:v>2132.1891888484079</c:v>
                </c:pt>
                <c:pt idx="19">
                  <c:v>2298.5877147056544</c:v>
                </c:pt>
              </c:numCache>
            </c:numRef>
          </c:val>
          <c:smooth val="0"/>
          <c:extLst>
            <c:ext xmlns:c16="http://schemas.microsoft.com/office/drawing/2014/chart" uri="{C3380CC4-5D6E-409C-BE32-E72D297353CC}">
              <c16:uniqueId val="{0000001E-73D1-4ABC-A8AE-F6C9B98A398D}"/>
            </c:ext>
          </c:extLst>
        </c:ser>
        <c:dLbls>
          <c:dLblPos val="t"/>
          <c:showLegendKey val="0"/>
          <c:showVal val="1"/>
          <c:showCatName val="0"/>
          <c:showSerName val="0"/>
          <c:showPercent val="0"/>
          <c:showBubbleSize val="0"/>
        </c:dLbls>
        <c:smooth val="0"/>
        <c:axId val="1720037935"/>
        <c:axId val="1720038767"/>
      </c:lineChart>
      <c:catAx>
        <c:axId val="17200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20038767"/>
        <c:crosses val="autoZero"/>
        <c:auto val="1"/>
        <c:lblAlgn val="ctr"/>
        <c:lblOffset val="100"/>
        <c:noMultiLvlLbl val="0"/>
      </c:catAx>
      <c:valAx>
        <c:axId val="172003876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accent1">
            <a:lumMod val="5000"/>
            <a:lumOff val="95000"/>
          </a:schemeClr>
        </a:gs>
        <a:gs pos="57000">
          <a:schemeClr val="bg1">
            <a:lumMod val="95000"/>
          </a:schemeClr>
        </a:gs>
        <a:gs pos="100000">
          <a:schemeClr val="bg1">
            <a:lumMod val="75000"/>
          </a:schemeClr>
        </a:gs>
      </a:gsLst>
      <a:lin ang="0" scaled="1"/>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oddHeader>&amp;L&amp;"Garamond,Regular"&amp;22&amp;A&amp;R&amp;"Garamond,Regular"&amp;22&amp;F</c:oddHeader>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Garamond" panose="02020404030301010803" pitchFamily="18" charset="0"/>
                <a:ea typeface="+mn-ea"/>
                <a:cs typeface="+mn-cs"/>
              </a:defRPr>
            </a:pPr>
            <a:r>
              <a:rPr lang="en-US" sz="3200" b="1">
                <a:solidFill>
                  <a:sysClr val="windowText" lastClr="000000"/>
                </a:solidFill>
                <a:latin typeface="Garamond" panose="02020404030301010803" pitchFamily="18" charset="0"/>
              </a:rPr>
              <a:t>Annual Increase in Wealth</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lineChart>
        <c:grouping val="standard"/>
        <c:varyColors val="0"/>
        <c:ser>
          <c:idx val="0"/>
          <c:order val="0"/>
          <c:tx>
            <c:v>Annual Increase in Wealth</c:v>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'Advanced Table'!$V$39:$V$387</c:f>
              <c:numCache>
                <c:formatCode>_("$"* #,##0_);_("$"* \(#,##0\);_("$"* "-"??_);_(@_)</c:formatCode>
                <c:ptCount val="30"/>
                <c:pt idx="0">
                  <c:v>41741.842827230983</c:v>
                </c:pt>
                <c:pt idx="1">
                  <c:v>45294.005505629466</c:v>
                </c:pt>
                <c:pt idx="2">
                  <c:v>49087.519224285701</c:v>
                </c:pt>
                <c:pt idx="3">
                  <c:v>53137.459569903818</c:v>
                </c:pt>
                <c:pt idx="4">
                  <c:v>57459.810144756688</c:v>
                </c:pt>
                <c:pt idx="5">
                  <c:v>62071.516485204629</c:v>
                </c:pt>
                <c:pt idx="6">
                  <c:v>66990.543175457511</c:v>
                </c:pt>
                <c:pt idx="7">
                  <c:v>72235.934346968308</c:v>
                </c:pt>
                <c:pt idx="8">
                  <c:v>77827.877765295445</c:v>
                </c:pt>
                <c:pt idx="9">
                  <c:v>83787.772718446911</c:v>
                </c:pt>
                <c:pt idx="10">
                  <c:v>90138.301933608716</c:v>
                </c:pt>
                <c:pt idx="11">
                  <c:v>96903.507762870053</c:v>
                </c:pt>
                <c:pt idx="12">
                  <c:v>104108.87289306405</c:v>
                </c:pt>
                <c:pt idx="13">
                  <c:v>111781.40585029591</c:v>
                </c:pt>
                <c:pt idx="14">
                  <c:v>119949.73158606584</c:v>
                </c:pt>
                <c:pt idx="15">
                  <c:v>128644.18744928809</c:v>
                </c:pt>
                <c:pt idx="16">
                  <c:v>137896.92486693664</c:v>
                </c:pt>
                <c:pt idx="17">
                  <c:v>147742.01707562082</c:v>
                </c:pt>
                <c:pt idx="18">
                  <c:v>158215.57326717209</c:v>
                </c:pt>
                <c:pt idx="19">
                  <c:v>169355.85953339282</c:v>
                </c:pt>
                <c:pt idx="20">
                  <c:v>181203.42701851344</c:v>
                </c:pt>
                <c:pt idx="21">
                  <c:v>193801.24771279236</c:v>
                </c:pt>
                <c:pt idx="22">
                  <c:v>207194.85834708624</c:v>
                </c:pt>
                <c:pt idx="23">
                  <c:v>221432.51287625125</c:v>
                </c:pt>
                <c:pt idx="24">
                  <c:v>236565.34406901011</c:v>
                </c:pt>
                <c:pt idx="25">
                  <c:v>252647.53475353401</c:v>
                </c:pt>
                <c:pt idx="26">
                  <c:v>269736.49930159422</c:v>
                </c:pt>
                <c:pt idx="27">
                  <c:v>287893.07596976357</c:v>
                </c:pt>
                <c:pt idx="28">
                  <c:v>307181.73075404763</c:v>
                </c:pt>
                <c:pt idx="29">
                  <c:v>327667.19052313175</c:v>
                </c:pt>
              </c:numCache>
            </c:numRef>
          </c:val>
          <c:smooth val="0"/>
          <c:extLst>
            <c:ext xmlns:c16="http://schemas.microsoft.com/office/drawing/2014/chart" uri="{C3380CC4-5D6E-409C-BE32-E72D297353CC}">
              <c16:uniqueId val="{00000004-FB5D-4482-8576-E8768DACCFA8}"/>
            </c:ext>
          </c:extLst>
        </c:ser>
        <c:dLbls>
          <c:dLblPos val="t"/>
          <c:showLegendKey val="0"/>
          <c:showVal val="1"/>
          <c:showCatName val="0"/>
          <c:showSerName val="0"/>
          <c:showPercent val="0"/>
          <c:showBubbleSize val="0"/>
        </c:dLbls>
        <c:smooth val="0"/>
        <c:axId val="1720037935"/>
        <c:axId val="1720038767"/>
      </c:lineChart>
      <c:catAx>
        <c:axId val="17200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8767"/>
        <c:crosses val="autoZero"/>
        <c:auto val="1"/>
        <c:lblAlgn val="ctr"/>
        <c:lblOffset val="100"/>
        <c:noMultiLvlLbl val="0"/>
      </c:catAx>
      <c:valAx>
        <c:axId val="172003876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oddHeader>&amp;L&amp;"Garamond,Regular"&amp;22&amp;A&amp;R&amp;"Garamond,Regular"&amp;22&amp;F</c:oddHeader>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a:solidFill>
                  <a:sysClr val="windowText" lastClr="000000"/>
                </a:solidFill>
                <a:latin typeface="Garamond" panose="02020404030301010803" pitchFamily="18" charset="0"/>
              </a:rPr>
              <a:t>Total Investment Value</a:t>
            </a:r>
          </a:p>
        </c:rich>
      </c:tx>
      <c:layout>
        <c:manualLayout>
          <c:xMode val="edge"/>
          <c:yMode val="edge"/>
          <c:x val="0.3444444308350333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303232871816142E-2"/>
          <c:y val="5.0969644490916219E-2"/>
          <c:w val="0.95294917112437705"/>
          <c:h val="0.87980957743080346"/>
        </c:manualLayout>
      </c:layout>
      <c:barChart>
        <c:barDir val="col"/>
        <c:grouping val="stacked"/>
        <c:varyColors val="0"/>
        <c:ser>
          <c:idx val="0"/>
          <c:order val="0"/>
          <c:tx>
            <c:v>Equity</c:v>
          </c:tx>
          <c:spPr>
            <a:solidFill>
              <a:srgbClr val="172C51"/>
            </a:solidFill>
            <a:ln>
              <a:solidFill>
                <a:srgbClr val="172C51"/>
              </a:solidFill>
            </a:ln>
            <a:effectLst/>
          </c:spPr>
          <c:invertIfNegative val="0"/>
          <c:dLbls>
            <c:delete val="1"/>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Table'!$Q$39:$Q$267</c:f>
              <c:numCache>
                <c:formatCode>_("$"* #,##0_);_("$"* \(#,##0\);_("$"* "-"??_);_(@_)</c:formatCode>
                <c:ptCount val="20"/>
                <c:pt idx="0">
                  <c:v>159295.78503531427</c:v>
                </c:pt>
                <c:pt idx="1">
                  <c:v>195762.0128175267</c:v>
                </c:pt>
                <c:pt idx="2">
                  <c:v>234536.83323652553</c:v>
                </c:pt>
                <c:pt idx="3">
                  <c:v>275767.24936698098</c:v>
                </c:pt>
                <c:pt idx="4">
                  <c:v>319609.68931863178</c:v>
                </c:pt>
                <c:pt idx="5">
                  <c:v>366230.61536037247</c:v>
                </c:pt>
                <c:pt idx="6">
                  <c:v>415807.17277262977</c:v>
                </c:pt>
                <c:pt idx="7">
                  <c:v>468527.88104598259</c:v>
                </c:pt>
                <c:pt idx="8">
                  <c:v>524593.37021845405</c:v>
                </c:pt>
                <c:pt idx="9">
                  <c:v>584217.16533016134</c:v>
                </c:pt>
                <c:pt idx="10">
                  <c:v>647626.52217283426</c:v>
                </c:pt>
                <c:pt idx="11">
                  <c:v>715063.31772398087</c:v>
                </c:pt>
                <c:pt idx="12">
                  <c:v>786784.99888209521</c:v>
                </c:pt>
                <c:pt idx="13">
                  <c:v>863065.59336126538</c:v>
                </c:pt>
                <c:pt idx="14">
                  <c:v>944196.78686189302</c:v>
                </c:pt>
                <c:pt idx="15">
                  <c:v>1030489.0709101001</c:v>
                </c:pt>
                <c:pt idx="16">
                  <c:v>1122272.9660529871</c:v>
                </c:pt>
                <c:pt idx="17">
                  <c:v>1219900.3254115081</c:v>
                </c:pt>
                <c:pt idx="18">
                  <c:v>1323745.7239286925</c:v>
                </c:pt>
                <c:pt idx="19">
                  <c:v>1434207.9390097931</c:v>
                </c:pt>
              </c:numCache>
            </c:numRef>
          </c:val>
          <c:extLst>
            <c:ext xmlns:c16="http://schemas.microsoft.com/office/drawing/2014/chart" uri="{C3380CC4-5D6E-409C-BE32-E72D297353CC}">
              <c16:uniqueId val="{00000000-39C4-4CFB-8E04-BF8CB246C782}"/>
            </c:ext>
          </c:extLst>
        </c:ser>
        <c:ser>
          <c:idx val="1"/>
          <c:order val="1"/>
          <c:tx>
            <c:v>Accumulated Cash</c:v>
          </c:tx>
          <c:spPr>
            <a:solidFill>
              <a:sysClr val="window" lastClr="FFFFFF"/>
            </a:solidFill>
            <a:ln>
              <a:solidFill>
                <a:srgbClr val="172C51"/>
              </a:solidFill>
            </a:ln>
            <a:effectLst/>
          </c:spPr>
          <c:invertIfNegative val="0"/>
          <c:dLbls>
            <c:delete val="1"/>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Table'!$T$39:$T$267</c:f>
              <c:numCache>
                <c:formatCode>_("$"* #,##0_);_("$"* \(#,##0\);_("$"* "-"??_);_(@_)</c:formatCode>
                <c:ptCount val="20"/>
                <c:pt idx="0">
                  <c:v>7446.0577919167154</c:v>
                </c:pt>
                <c:pt idx="1">
                  <c:v>16273.835515333762</c:v>
                </c:pt>
                <c:pt idx="2">
                  <c:v>26586.53432062062</c:v>
                </c:pt>
                <c:pt idx="3">
                  <c:v>38493.577760068998</c:v>
                </c:pt>
                <c:pt idx="4">
                  <c:v>52110.947953174866</c:v>
                </c:pt>
                <c:pt idx="5">
                  <c:v>67561.538396638804</c:v>
                </c:pt>
                <c:pt idx="6">
                  <c:v>84975.524159839057</c:v>
                </c:pt>
                <c:pt idx="7">
                  <c:v>104490.75023345456</c:v>
                </c:pt>
                <c:pt idx="8">
                  <c:v>126253.13882627852</c:v>
                </c:pt>
                <c:pt idx="9">
                  <c:v>150417.11643301806</c:v>
                </c:pt>
                <c:pt idx="10">
                  <c:v>177146.06152395392</c:v>
                </c:pt>
                <c:pt idx="11">
                  <c:v>206612.7737356773</c:v>
                </c:pt>
                <c:pt idx="12">
                  <c:v>238999.96547062712</c:v>
                </c:pt>
                <c:pt idx="13">
                  <c:v>274500.77684175293</c:v>
                </c:pt>
                <c:pt idx="14">
                  <c:v>313319.31492719107</c:v>
                </c:pt>
                <c:pt idx="15">
                  <c:v>355671.21832827205</c:v>
                </c:pt>
                <c:pt idx="16">
                  <c:v>401784.24805232161</c:v>
                </c:pt>
                <c:pt idx="17">
                  <c:v>451898.90576942154</c:v>
                </c:pt>
                <c:pt idx="18">
                  <c:v>506269.08051940921</c:v>
                </c:pt>
                <c:pt idx="19">
                  <c:v>565162.72497170127</c:v>
                </c:pt>
              </c:numCache>
            </c:numRef>
          </c:val>
          <c:extLst>
            <c:ext xmlns:c16="http://schemas.microsoft.com/office/drawing/2014/chart" uri="{C3380CC4-5D6E-409C-BE32-E72D297353CC}">
              <c16:uniqueId val="{00000001-39C4-4CFB-8E04-BF8CB246C782}"/>
            </c:ext>
          </c:extLst>
        </c:ser>
        <c:dLbls>
          <c:showLegendKey val="0"/>
          <c:showVal val="1"/>
          <c:showCatName val="0"/>
          <c:showSerName val="0"/>
          <c:showPercent val="0"/>
          <c:showBubbleSize val="0"/>
        </c:dLbls>
        <c:gapWidth val="376"/>
        <c:overlap val="100"/>
        <c:axId val="601242975"/>
        <c:axId val="601245471"/>
      </c:barChart>
      <c:lineChart>
        <c:grouping val="standard"/>
        <c:varyColors val="0"/>
        <c:ser>
          <c:idx val="2"/>
          <c:order val="2"/>
          <c:tx>
            <c:v>Combined Value</c:v>
          </c:tx>
          <c:spPr>
            <a:ln w="28575" cap="rnd">
              <a:solidFill>
                <a:srgbClr val="970A1A"/>
              </a:solidFill>
              <a:round/>
            </a:ln>
            <a:effectLst/>
          </c:spPr>
          <c:marker>
            <c:symbol val="none"/>
          </c:marker>
          <c:dLbls>
            <c:dLbl>
              <c:idx val="0"/>
              <c:layout>
                <c:manualLayout>
                  <c:x val="-5.9057809919912482E-2"/>
                  <c:y val="-6.4513388051890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8D4-4367-B00D-6787BF904555}"/>
                </c:ext>
              </c:extLst>
            </c:dLbl>
            <c:dLbl>
              <c:idx val="1"/>
              <c:delete val="1"/>
              <c:extLst>
                <c:ext xmlns:c15="http://schemas.microsoft.com/office/drawing/2012/chart" uri="{CE6537A1-D6FC-4f65-9D91-7224C49458BB}"/>
                <c:ext xmlns:c16="http://schemas.microsoft.com/office/drawing/2014/chart" uri="{C3380CC4-5D6E-409C-BE32-E72D297353CC}">
                  <c16:uniqueId val="{00000000-8640-450E-A905-8A4D33C81EC0}"/>
                </c:ext>
              </c:extLst>
            </c:dLbl>
            <c:dLbl>
              <c:idx val="2"/>
              <c:delete val="1"/>
              <c:extLst>
                <c:ext xmlns:c15="http://schemas.microsoft.com/office/drawing/2012/chart" uri="{CE6537A1-D6FC-4f65-9D91-7224C49458BB}"/>
                <c:ext xmlns:c16="http://schemas.microsoft.com/office/drawing/2014/chart" uri="{C3380CC4-5D6E-409C-BE32-E72D297353CC}">
                  <c16:uniqueId val="{00000000-2357-42DB-BF02-BC6E21DADBDC}"/>
                </c:ext>
              </c:extLst>
            </c:dLbl>
            <c:dLbl>
              <c:idx val="3"/>
              <c:delete val="1"/>
              <c:extLst>
                <c:ext xmlns:c15="http://schemas.microsoft.com/office/drawing/2012/chart" uri="{CE6537A1-D6FC-4f65-9D91-7224C49458BB}"/>
                <c:ext xmlns:c16="http://schemas.microsoft.com/office/drawing/2014/chart" uri="{C3380CC4-5D6E-409C-BE32-E72D297353CC}">
                  <c16:uniqueId val="{00000001-2357-42DB-BF02-BC6E21DADBDC}"/>
                </c:ext>
              </c:extLst>
            </c:dLbl>
            <c:dLbl>
              <c:idx val="4"/>
              <c:layout>
                <c:manualLayout>
                  <c:x val="-6.6926460003996824E-2"/>
                  <c:y val="-7.108002779939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57-42DB-BF02-BC6E21DADBDC}"/>
                </c:ext>
              </c:extLst>
            </c:dLbl>
            <c:dLbl>
              <c:idx val="5"/>
              <c:delete val="1"/>
              <c:extLst>
                <c:ext xmlns:c15="http://schemas.microsoft.com/office/drawing/2012/chart" uri="{CE6537A1-D6FC-4f65-9D91-7224C49458BB}"/>
                <c:ext xmlns:c16="http://schemas.microsoft.com/office/drawing/2014/chart" uri="{C3380CC4-5D6E-409C-BE32-E72D297353CC}">
                  <c16:uniqueId val="{00000003-2357-42DB-BF02-BC6E21DADBDC}"/>
                </c:ext>
              </c:extLst>
            </c:dLbl>
            <c:dLbl>
              <c:idx val="6"/>
              <c:delete val="1"/>
              <c:extLst>
                <c:ext xmlns:c15="http://schemas.microsoft.com/office/drawing/2012/chart" uri="{CE6537A1-D6FC-4f65-9D91-7224C49458BB}"/>
                <c:ext xmlns:c16="http://schemas.microsoft.com/office/drawing/2014/chart" uri="{C3380CC4-5D6E-409C-BE32-E72D297353CC}">
                  <c16:uniqueId val="{00000004-2357-42DB-BF02-BC6E21DADBDC}"/>
                </c:ext>
              </c:extLst>
            </c:dLbl>
            <c:dLbl>
              <c:idx val="7"/>
              <c:delete val="1"/>
              <c:extLst>
                <c:ext xmlns:c15="http://schemas.microsoft.com/office/drawing/2012/chart" uri="{CE6537A1-D6FC-4f65-9D91-7224C49458BB}"/>
                <c:ext xmlns:c16="http://schemas.microsoft.com/office/drawing/2014/chart" uri="{C3380CC4-5D6E-409C-BE32-E72D297353CC}">
                  <c16:uniqueId val="{00000005-2357-42DB-BF02-BC6E21DADBDC}"/>
                </c:ext>
              </c:extLst>
            </c:dLbl>
            <c:dLbl>
              <c:idx val="8"/>
              <c:delete val="1"/>
              <c:extLst>
                <c:ext xmlns:c15="http://schemas.microsoft.com/office/drawing/2012/chart" uri="{CE6537A1-D6FC-4f65-9D91-7224C49458BB}"/>
                <c:ext xmlns:c16="http://schemas.microsoft.com/office/drawing/2014/chart" uri="{C3380CC4-5D6E-409C-BE32-E72D297353CC}">
                  <c16:uniqueId val="{00000006-2357-42DB-BF02-BC6E21DADBDC}"/>
                </c:ext>
              </c:extLst>
            </c:dLbl>
            <c:dLbl>
              <c:idx val="9"/>
              <c:layout>
                <c:manualLayout>
                  <c:x val="-6.6788975386497057E-2"/>
                  <c:y val="-8.7006320327888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57-42DB-BF02-BC6E21DADBDC}"/>
                </c:ext>
              </c:extLst>
            </c:dLbl>
            <c:dLbl>
              <c:idx val="10"/>
              <c:delete val="1"/>
              <c:extLst>
                <c:ext xmlns:c15="http://schemas.microsoft.com/office/drawing/2012/chart" uri="{CE6537A1-D6FC-4f65-9D91-7224C49458BB}"/>
                <c:ext xmlns:c16="http://schemas.microsoft.com/office/drawing/2014/chart" uri="{C3380CC4-5D6E-409C-BE32-E72D297353CC}">
                  <c16:uniqueId val="{00000008-2357-42DB-BF02-BC6E21DADBDC}"/>
                </c:ext>
              </c:extLst>
            </c:dLbl>
            <c:dLbl>
              <c:idx val="11"/>
              <c:delete val="1"/>
              <c:extLst>
                <c:ext xmlns:c15="http://schemas.microsoft.com/office/drawing/2012/chart" uri="{CE6537A1-D6FC-4f65-9D91-7224C49458BB}"/>
                <c:ext xmlns:c16="http://schemas.microsoft.com/office/drawing/2014/chart" uri="{C3380CC4-5D6E-409C-BE32-E72D297353CC}">
                  <c16:uniqueId val="{00000009-2357-42DB-BF02-BC6E21DADBDC}"/>
                </c:ext>
              </c:extLst>
            </c:dLbl>
            <c:dLbl>
              <c:idx val="12"/>
              <c:delete val="1"/>
              <c:extLst>
                <c:ext xmlns:c15="http://schemas.microsoft.com/office/drawing/2012/chart" uri="{CE6537A1-D6FC-4f65-9D91-7224C49458BB}"/>
                <c:ext xmlns:c16="http://schemas.microsoft.com/office/drawing/2014/chart" uri="{C3380CC4-5D6E-409C-BE32-E72D297353CC}">
                  <c16:uniqueId val="{0000001D-68D4-4367-B00D-6787BF904555}"/>
                </c:ext>
              </c:extLst>
            </c:dLbl>
            <c:dLbl>
              <c:idx val="13"/>
              <c:delete val="1"/>
              <c:extLst>
                <c:ext xmlns:c15="http://schemas.microsoft.com/office/drawing/2012/chart" uri="{CE6537A1-D6FC-4f65-9D91-7224C49458BB}"/>
                <c:ext xmlns:c16="http://schemas.microsoft.com/office/drawing/2014/chart" uri="{C3380CC4-5D6E-409C-BE32-E72D297353CC}">
                  <c16:uniqueId val="{0000000A-2357-42DB-BF02-BC6E21DADBDC}"/>
                </c:ext>
              </c:extLst>
            </c:dLbl>
            <c:dLbl>
              <c:idx val="14"/>
              <c:layout>
                <c:manualLayout>
                  <c:x val="-6.869723182611126E-2"/>
                  <c:y val="-9.34512329447693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57-42DB-BF02-BC6E21DADBDC}"/>
                </c:ext>
              </c:extLst>
            </c:dLbl>
            <c:dLbl>
              <c:idx val="15"/>
              <c:delete val="1"/>
              <c:extLst>
                <c:ext xmlns:c15="http://schemas.microsoft.com/office/drawing/2012/chart" uri="{CE6537A1-D6FC-4f65-9D91-7224C49458BB}"/>
                <c:ext xmlns:c16="http://schemas.microsoft.com/office/drawing/2014/chart" uri="{C3380CC4-5D6E-409C-BE32-E72D297353CC}">
                  <c16:uniqueId val="{0000000C-2357-42DB-BF02-BC6E21DADBDC}"/>
                </c:ext>
              </c:extLst>
            </c:dLbl>
            <c:dLbl>
              <c:idx val="16"/>
              <c:delete val="1"/>
              <c:extLst>
                <c:ext xmlns:c15="http://schemas.microsoft.com/office/drawing/2012/chart" uri="{CE6537A1-D6FC-4f65-9D91-7224C49458BB}"/>
                <c:ext xmlns:c16="http://schemas.microsoft.com/office/drawing/2014/chart" uri="{C3380CC4-5D6E-409C-BE32-E72D297353CC}">
                  <c16:uniqueId val="{0000000D-2357-42DB-BF02-BC6E21DADBDC}"/>
                </c:ext>
              </c:extLst>
            </c:dLbl>
            <c:dLbl>
              <c:idx val="17"/>
              <c:delete val="1"/>
              <c:extLst>
                <c:ext xmlns:c15="http://schemas.microsoft.com/office/drawing/2012/chart" uri="{CE6537A1-D6FC-4f65-9D91-7224C49458BB}"/>
                <c:ext xmlns:c16="http://schemas.microsoft.com/office/drawing/2014/chart" uri="{C3380CC4-5D6E-409C-BE32-E72D297353CC}">
                  <c16:uniqueId val="{0000000E-2357-42DB-BF02-BC6E21DADBDC}"/>
                </c:ext>
              </c:extLst>
            </c:dLbl>
            <c:dLbl>
              <c:idx val="18"/>
              <c:delete val="1"/>
              <c:extLst>
                <c:ext xmlns:c15="http://schemas.microsoft.com/office/drawing/2012/chart" uri="{CE6537A1-D6FC-4f65-9D91-7224C49458BB}"/>
                <c:ext xmlns:c16="http://schemas.microsoft.com/office/drawing/2014/chart" uri="{C3380CC4-5D6E-409C-BE32-E72D297353CC}">
                  <c16:uniqueId val="{0000000F-2357-42DB-BF02-BC6E21DADBDC}"/>
                </c:ext>
              </c:extLst>
            </c:dLbl>
            <c:dLbl>
              <c:idx val="19"/>
              <c:layout>
                <c:manualLayout>
                  <c:x val="-1.3993718900535943E-16"/>
                  <c:y val="-9.0228776636329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57-42DB-BF02-BC6E21DADBD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'Advanced Table'!$U$39:$U$267</c:f>
              <c:numCache>
                <c:formatCode>_("$"* #,##0_);_("$"* \(#,##0\);_("$"* "-"??_);_(@_)</c:formatCode>
                <c:ptCount val="20"/>
                <c:pt idx="0">
                  <c:v>166741.84282723098</c:v>
                </c:pt>
                <c:pt idx="1">
                  <c:v>212035.84833286045</c:v>
                </c:pt>
                <c:pt idx="2">
                  <c:v>261123.36755714615</c:v>
                </c:pt>
                <c:pt idx="3">
                  <c:v>314260.82712704997</c:v>
                </c:pt>
                <c:pt idx="4">
                  <c:v>371720.63727180666</c:v>
                </c:pt>
                <c:pt idx="5">
                  <c:v>433792.15375701129</c:v>
                </c:pt>
                <c:pt idx="6">
                  <c:v>500782.6969324688</c:v>
                </c:pt>
                <c:pt idx="7">
                  <c:v>573018.6312794371</c:v>
                </c:pt>
                <c:pt idx="8">
                  <c:v>650846.50904473255</c:v>
                </c:pt>
                <c:pt idx="9">
                  <c:v>734634.28176317946</c:v>
                </c:pt>
                <c:pt idx="10">
                  <c:v>824772.58369678818</c:v>
                </c:pt>
                <c:pt idx="11">
                  <c:v>921676.09145965823</c:v>
                </c:pt>
                <c:pt idx="12">
                  <c:v>1025784.9643527223</c:v>
                </c:pt>
                <c:pt idx="13">
                  <c:v>1137566.3702030182</c:v>
                </c:pt>
                <c:pt idx="14">
                  <c:v>1257516.101789084</c:v>
                </c:pt>
                <c:pt idx="15">
                  <c:v>1386160.2892383721</c:v>
                </c:pt>
                <c:pt idx="16">
                  <c:v>1524057.2141053088</c:v>
                </c:pt>
                <c:pt idx="17">
                  <c:v>1671799.2311809296</c:v>
                </c:pt>
                <c:pt idx="18">
                  <c:v>1830014.8044481017</c:v>
                </c:pt>
                <c:pt idx="19">
                  <c:v>1999370.6639814945</c:v>
                </c:pt>
              </c:numCache>
            </c:numRef>
          </c:val>
          <c:smooth val="0"/>
          <c:extLst>
            <c:ext xmlns:c16="http://schemas.microsoft.com/office/drawing/2014/chart" uri="{C3380CC4-5D6E-409C-BE32-E72D297353CC}">
              <c16:uniqueId val="{00000020-39C4-4CFB-8E04-BF8CB246C782}"/>
            </c:ext>
          </c:extLst>
        </c:ser>
        <c:ser>
          <c:idx val="3"/>
          <c:order val="3"/>
          <c:tx>
            <c:v>Comparison Rate</c:v>
          </c:tx>
          <c:spPr>
            <a:ln w="28575" cap="rnd">
              <a:solidFill>
                <a:srgbClr val="FCDF08"/>
              </a:solidFill>
              <a:round/>
            </a:ln>
            <a:effectLst/>
          </c:spPr>
          <c:marker>
            <c:symbol val="none"/>
          </c:marker>
          <c:dLbls>
            <c:delete val="1"/>
          </c:dLbls>
          <c:val>
            <c:numRef>
              <c:f>'Advanced Table'!$AI$39:$AI$267</c:f>
              <c:numCache>
                <c:formatCode>_("$"* #,##0_);_("$"* \(#,##0\);_("$"* "-"??_);_(@_)</c:formatCode>
                <c:ptCount val="20"/>
                <c:pt idx="0">
                  <c:v>137500</c:v>
                </c:pt>
                <c:pt idx="1">
                  <c:v>151250</c:v>
                </c:pt>
                <c:pt idx="2">
                  <c:v>166375</c:v>
                </c:pt>
                <c:pt idx="3">
                  <c:v>183012.50000000003</c:v>
                </c:pt>
                <c:pt idx="4">
                  <c:v>201313.75000000006</c:v>
                </c:pt>
                <c:pt idx="5">
                  <c:v>221445.12500000009</c:v>
                </c:pt>
                <c:pt idx="6">
                  <c:v>243589.63750000013</c:v>
                </c:pt>
                <c:pt idx="7">
                  <c:v>267948.60125000018</c:v>
                </c:pt>
                <c:pt idx="8">
                  <c:v>294743.46137500025</c:v>
                </c:pt>
                <c:pt idx="9">
                  <c:v>324217.80751250032</c:v>
                </c:pt>
                <c:pt idx="10">
                  <c:v>356639.58826375037</c:v>
                </c:pt>
                <c:pt idx="11">
                  <c:v>392303.54709012544</c:v>
                </c:pt>
                <c:pt idx="12">
                  <c:v>431533.901799138</c:v>
                </c:pt>
                <c:pt idx="13">
                  <c:v>474687.29197905184</c:v>
                </c:pt>
                <c:pt idx="14">
                  <c:v>522156.02117695706</c:v>
                </c:pt>
                <c:pt idx="15">
                  <c:v>574371.62329465279</c:v>
                </c:pt>
                <c:pt idx="16">
                  <c:v>631808.78562411817</c:v>
                </c:pt>
                <c:pt idx="17">
                  <c:v>694989.66418653005</c:v>
                </c:pt>
                <c:pt idx="18">
                  <c:v>764488.63060518308</c:v>
                </c:pt>
                <c:pt idx="19">
                  <c:v>840937.49366570148</c:v>
                </c:pt>
              </c:numCache>
            </c:numRef>
          </c:val>
          <c:smooth val="0"/>
          <c:extLst>
            <c:ext xmlns:c16="http://schemas.microsoft.com/office/drawing/2014/chart" uri="{C3380CC4-5D6E-409C-BE32-E72D297353CC}">
              <c16:uniqueId val="{00000001-9533-4A33-8D03-8EE58C95C408}"/>
            </c:ext>
          </c:extLst>
        </c:ser>
        <c:dLbls>
          <c:showLegendKey val="0"/>
          <c:showVal val="1"/>
          <c:showCatName val="0"/>
          <c:showSerName val="0"/>
          <c:showPercent val="0"/>
          <c:showBubbleSize val="0"/>
        </c:dLbls>
        <c:marker val="1"/>
        <c:smooth val="0"/>
        <c:axId val="601242975"/>
        <c:axId val="601245471"/>
      </c:lineChart>
      <c:catAx>
        <c:axId val="601242975"/>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601245471"/>
        <c:crosses val="autoZero"/>
        <c:auto val="1"/>
        <c:lblAlgn val="ctr"/>
        <c:lblOffset val="100"/>
        <c:noMultiLvlLbl val="0"/>
      </c:catAx>
      <c:valAx>
        <c:axId val="601245471"/>
        <c:scaling>
          <c:orientation val="minMax"/>
        </c:scaling>
        <c:delete val="0"/>
        <c:axPos val="l"/>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601242975"/>
        <c:crosses val="autoZero"/>
        <c:crossBetween val="between"/>
      </c:valAx>
      <c:spPr>
        <a:noFill/>
        <a:ln>
          <a:noFill/>
        </a:ln>
        <a:effectLst/>
      </c:spPr>
    </c:plotArea>
    <c:legend>
      <c:legendPos val="r"/>
      <c:legendEntry>
        <c:idx val="2"/>
        <c:delete val="1"/>
      </c:legendEntry>
      <c:layout>
        <c:manualLayout>
          <c:xMode val="edge"/>
          <c:yMode val="edge"/>
          <c:x val="0.17088085484521914"/>
          <c:y val="0.2590513954694485"/>
          <c:w val="0.27253519729032583"/>
          <c:h val="0.2356250498788005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5000"/>
            <a:lumOff val="95000"/>
          </a:schemeClr>
        </a:gs>
        <a:gs pos="57000">
          <a:schemeClr val="bg1">
            <a:lumMod val="95000"/>
          </a:schemeClr>
        </a:gs>
        <a:gs pos="100000">
          <a:schemeClr val="bg1">
            <a:lumMod val="75000"/>
          </a:schemeClr>
        </a:gs>
      </a:gsLst>
      <a:lin ang="0" scaled="1"/>
      <a:tileRect/>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a:solidFill>
                  <a:sysClr val="windowText" lastClr="000000"/>
                </a:solidFill>
                <a:latin typeface="Garamond" panose="02020404030301010803" pitchFamily="18" charset="0"/>
              </a:rPr>
              <a:t>Total Investment Value</a:t>
            </a:r>
          </a:p>
        </c:rich>
      </c:tx>
      <c:layout>
        <c:manualLayout>
          <c:xMode val="edge"/>
          <c:yMode val="edge"/>
          <c:x val="0.3444444308350333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303232871816142E-2"/>
          <c:y val="5.0969644490916219E-2"/>
          <c:w val="0.95294917112437705"/>
          <c:h val="0.88778993193448819"/>
        </c:manualLayout>
      </c:layout>
      <c:barChart>
        <c:barDir val="col"/>
        <c:grouping val="stacked"/>
        <c:varyColors val="0"/>
        <c:ser>
          <c:idx val="0"/>
          <c:order val="0"/>
          <c:tx>
            <c:v>Equity</c:v>
          </c:tx>
          <c:spPr>
            <a:solidFill>
              <a:srgbClr val="00946E"/>
            </a:solidFill>
            <a:ln>
              <a:noFill/>
            </a:ln>
            <a:effectLst/>
          </c:spPr>
          <c:invertIfNegative val="0"/>
          <c:dLbls>
            <c:delete val="1"/>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Table'!$Q$39:$Q$267</c:f>
              <c:numCache>
                <c:formatCode>_("$"* #,##0_);_("$"* \(#,##0\);_("$"* "-"??_);_(@_)</c:formatCode>
                <c:ptCount val="20"/>
                <c:pt idx="0">
                  <c:v>159295.78503531427</c:v>
                </c:pt>
                <c:pt idx="1">
                  <c:v>195762.0128175267</c:v>
                </c:pt>
                <c:pt idx="2">
                  <c:v>234536.83323652553</c:v>
                </c:pt>
                <c:pt idx="3">
                  <c:v>275767.24936698098</c:v>
                </c:pt>
                <c:pt idx="4">
                  <c:v>319609.68931863178</c:v>
                </c:pt>
                <c:pt idx="5">
                  <c:v>366230.61536037247</c:v>
                </c:pt>
                <c:pt idx="6">
                  <c:v>415807.17277262977</c:v>
                </c:pt>
                <c:pt idx="7">
                  <c:v>468527.88104598259</c:v>
                </c:pt>
                <c:pt idx="8">
                  <c:v>524593.37021845405</c:v>
                </c:pt>
                <c:pt idx="9">
                  <c:v>584217.16533016134</c:v>
                </c:pt>
                <c:pt idx="10">
                  <c:v>647626.52217283426</c:v>
                </c:pt>
                <c:pt idx="11">
                  <c:v>715063.31772398087</c:v>
                </c:pt>
                <c:pt idx="12">
                  <c:v>786784.99888209521</c:v>
                </c:pt>
                <c:pt idx="13">
                  <c:v>863065.59336126538</c:v>
                </c:pt>
                <c:pt idx="14">
                  <c:v>944196.78686189302</c:v>
                </c:pt>
                <c:pt idx="15">
                  <c:v>1030489.0709101001</c:v>
                </c:pt>
                <c:pt idx="16">
                  <c:v>1122272.9660529871</c:v>
                </c:pt>
                <c:pt idx="17">
                  <c:v>1219900.3254115081</c:v>
                </c:pt>
                <c:pt idx="18">
                  <c:v>1323745.7239286925</c:v>
                </c:pt>
                <c:pt idx="19">
                  <c:v>1434207.9390097931</c:v>
                </c:pt>
              </c:numCache>
            </c:numRef>
          </c:val>
          <c:extLst>
            <c:ext xmlns:c16="http://schemas.microsoft.com/office/drawing/2014/chart" uri="{C3380CC4-5D6E-409C-BE32-E72D297353CC}">
              <c16:uniqueId val="{00000000-C516-4557-B939-D8BF9E1A4EE3}"/>
            </c:ext>
          </c:extLst>
        </c:ser>
        <c:ser>
          <c:idx val="1"/>
          <c:order val="1"/>
          <c:tx>
            <c:v>Accumulated Cash</c:v>
          </c:tx>
          <c:spPr>
            <a:solidFill>
              <a:srgbClr val="002E6D"/>
            </a:solidFill>
            <a:ln>
              <a:noFill/>
            </a:ln>
            <a:effectLst/>
          </c:spPr>
          <c:invertIfNegative val="0"/>
          <c:dLbls>
            <c:delete val="1"/>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Table'!$T$39:$T$267</c:f>
              <c:numCache>
                <c:formatCode>_("$"* #,##0_);_("$"* \(#,##0\);_("$"* "-"??_);_(@_)</c:formatCode>
                <c:ptCount val="20"/>
                <c:pt idx="0">
                  <c:v>7446.0577919167154</c:v>
                </c:pt>
                <c:pt idx="1">
                  <c:v>16273.835515333762</c:v>
                </c:pt>
                <c:pt idx="2">
                  <c:v>26586.53432062062</c:v>
                </c:pt>
                <c:pt idx="3">
                  <c:v>38493.577760068998</c:v>
                </c:pt>
                <c:pt idx="4">
                  <c:v>52110.947953174866</c:v>
                </c:pt>
                <c:pt idx="5">
                  <c:v>67561.538396638804</c:v>
                </c:pt>
                <c:pt idx="6">
                  <c:v>84975.524159839057</c:v>
                </c:pt>
                <c:pt idx="7">
                  <c:v>104490.75023345456</c:v>
                </c:pt>
                <c:pt idx="8">
                  <c:v>126253.13882627852</c:v>
                </c:pt>
                <c:pt idx="9">
                  <c:v>150417.11643301806</c:v>
                </c:pt>
                <c:pt idx="10">
                  <c:v>177146.06152395392</c:v>
                </c:pt>
                <c:pt idx="11">
                  <c:v>206612.7737356773</c:v>
                </c:pt>
                <c:pt idx="12">
                  <c:v>238999.96547062712</c:v>
                </c:pt>
                <c:pt idx="13">
                  <c:v>274500.77684175293</c:v>
                </c:pt>
                <c:pt idx="14">
                  <c:v>313319.31492719107</c:v>
                </c:pt>
                <c:pt idx="15">
                  <c:v>355671.21832827205</c:v>
                </c:pt>
                <c:pt idx="16">
                  <c:v>401784.24805232161</c:v>
                </c:pt>
                <c:pt idx="17">
                  <c:v>451898.90576942154</c:v>
                </c:pt>
                <c:pt idx="18">
                  <c:v>506269.08051940921</c:v>
                </c:pt>
                <c:pt idx="19">
                  <c:v>565162.72497170127</c:v>
                </c:pt>
              </c:numCache>
            </c:numRef>
          </c:val>
          <c:extLst>
            <c:ext xmlns:c16="http://schemas.microsoft.com/office/drawing/2014/chart" uri="{C3380CC4-5D6E-409C-BE32-E72D297353CC}">
              <c16:uniqueId val="{00000001-C516-4557-B939-D8BF9E1A4EE3}"/>
            </c:ext>
          </c:extLst>
        </c:ser>
        <c:dLbls>
          <c:showLegendKey val="0"/>
          <c:showVal val="1"/>
          <c:showCatName val="0"/>
          <c:showSerName val="0"/>
          <c:showPercent val="0"/>
          <c:showBubbleSize val="0"/>
        </c:dLbls>
        <c:gapWidth val="376"/>
        <c:overlap val="100"/>
        <c:axId val="601242975"/>
        <c:axId val="601245471"/>
      </c:barChart>
      <c:lineChart>
        <c:grouping val="standard"/>
        <c:varyColors val="0"/>
        <c:ser>
          <c:idx val="2"/>
          <c:order val="2"/>
          <c:tx>
            <c:v>Combined Value</c:v>
          </c:tx>
          <c:spPr>
            <a:ln w="28575" cap="rnd">
              <a:solidFill>
                <a:srgbClr val="002E6D"/>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C516-4557-B939-D8BF9E1A4EE3}"/>
                </c:ext>
              </c:extLst>
            </c:dLbl>
            <c:dLbl>
              <c:idx val="2"/>
              <c:delete val="1"/>
              <c:extLst>
                <c:ext xmlns:c15="http://schemas.microsoft.com/office/drawing/2012/chart" uri="{CE6537A1-D6FC-4f65-9D91-7224C49458BB}"/>
                <c:ext xmlns:c16="http://schemas.microsoft.com/office/drawing/2014/chart" uri="{C3380CC4-5D6E-409C-BE32-E72D297353CC}">
                  <c16:uniqueId val="{00000000-0944-4EB6-AB16-88F035A4EA49}"/>
                </c:ext>
              </c:extLst>
            </c:dLbl>
            <c:dLbl>
              <c:idx val="3"/>
              <c:delete val="1"/>
              <c:extLst>
                <c:ext xmlns:c15="http://schemas.microsoft.com/office/drawing/2012/chart" uri="{CE6537A1-D6FC-4f65-9D91-7224C49458BB}"/>
                <c:ext xmlns:c16="http://schemas.microsoft.com/office/drawing/2014/chart" uri="{C3380CC4-5D6E-409C-BE32-E72D297353CC}">
                  <c16:uniqueId val="{00000001-0944-4EB6-AB16-88F035A4EA49}"/>
                </c:ext>
              </c:extLst>
            </c:dLbl>
            <c:dLbl>
              <c:idx val="5"/>
              <c:delete val="1"/>
              <c:extLst>
                <c:ext xmlns:c15="http://schemas.microsoft.com/office/drawing/2012/chart" uri="{CE6537A1-D6FC-4f65-9D91-7224C49458BB}"/>
                <c:ext xmlns:c16="http://schemas.microsoft.com/office/drawing/2014/chart" uri="{C3380CC4-5D6E-409C-BE32-E72D297353CC}">
                  <c16:uniqueId val="{00000002-0944-4EB6-AB16-88F035A4EA49}"/>
                </c:ext>
              </c:extLst>
            </c:dLbl>
            <c:dLbl>
              <c:idx val="6"/>
              <c:delete val="1"/>
              <c:extLst>
                <c:ext xmlns:c15="http://schemas.microsoft.com/office/drawing/2012/chart" uri="{CE6537A1-D6FC-4f65-9D91-7224C49458BB}"/>
                <c:ext xmlns:c16="http://schemas.microsoft.com/office/drawing/2014/chart" uri="{C3380CC4-5D6E-409C-BE32-E72D297353CC}">
                  <c16:uniqueId val="{00000003-0944-4EB6-AB16-88F035A4EA49}"/>
                </c:ext>
              </c:extLst>
            </c:dLbl>
            <c:dLbl>
              <c:idx val="7"/>
              <c:delete val="1"/>
              <c:extLst>
                <c:ext xmlns:c15="http://schemas.microsoft.com/office/drawing/2012/chart" uri="{CE6537A1-D6FC-4f65-9D91-7224C49458BB}"/>
                <c:ext xmlns:c16="http://schemas.microsoft.com/office/drawing/2014/chart" uri="{C3380CC4-5D6E-409C-BE32-E72D297353CC}">
                  <c16:uniqueId val="{00000004-0944-4EB6-AB16-88F035A4EA49}"/>
                </c:ext>
              </c:extLst>
            </c:dLbl>
            <c:dLbl>
              <c:idx val="8"/>
              <c:delete val="1"/>
              <c:extLst>
                <c:ext xmlns:c15="http://schemas.microsoft.com/office/drawing/2012/chart" uri="{CE6537A1-D6FC-4f65-9D91-7224C49458BB}"/>
                <c:ext xmlns:c16="http://schemas.microsoft.com/office/drawing/2014/chart" uri="{C3380CC4-5D6E-409C-BE32-E72D297353CC}">
                  <c16:uniqueId val="{00000005-0944-4EB6-AB16-88F035A4EA49}"/>
                </c:ext>
              </c:extLst>
            </c:dLbl>
            <c:dLbl>
              <c:idx val="9"/>
              <c:layout>
                <c:manualLayout>
                  <c:x val="-7.5475598489404119E-2"/>
                  <c:y val="-6.8957700947038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44-4EB6-AB16-88F035A4EA49}"/>
                </c:ext>
              </c:extLst>
            </c:dLbl>
            <c:dLbl>
              <c:idx val="10"/>
              <c:delete val="1"/>
              <c:extLst>
                <c:ext xmlns:c15="http://schemas.microsoft.com/office/drawing/2012/chart" uri="{CE6537A1-D6FC-4f65-9D91-7224C49458BB}"/>
                <c:ext xmlns:c16="http://schemas.microsoft.com/office/drawing/2014/chart" uri="{C3380CC4-5D6E-409C-BE32-E72D297353CC}">
                  <c16:uniqueId val="{00000007-0944-4EB6-AB16-88F035A4EA49}"/>
                </c:ext>
              </c:extLst>
            </c:dLbl>
            <c:dLbl>
              <c:idx val="11"/>
              <c:delete val="1"/>
              <c:extLst>
                <c:ext xmlns:c15="http://schemas.microsoft.com/office/drawing/2012/chart" uri="{CE6537A1-D6FC-4f65-9D91-7224C49458BB}"/>
                <c:ext xmlns:c16="http://schemas.microsoft.com/office/drawing/2014/chart" uri="{C3380CC4-5D6E-409C-BE32-E72D297353CC}">
                  <c16:uniqueId val="{00000008-0944-4EB6-AB16-88F035A4EA49}"/>
                </c:ext>
              </c:extLst>
            </c:dLbl>
            <c:dLbl>
              <c:idx val="12"/>
              <c:delete val="1"/>
              <c:extLst>
                <c:ext xmlns:c15="http://schemas.microsoft.com/office/drawing/2012/chart" uri="{CE6537A1-D6FC-4f65-9D91-7224C49458BB}"/>
                <c:ext xmlns:c16="http://schemas.microsoft.com/office/drawing/2014/chart" uri="{C3380CC4-5D6E-409C-BE32-E72D297353CC}">
                  <c16:uniqueId val="{00000008-8F35-4678-AA6B-3B5E9215AA77}"/>
                </c:ext>
              </c:extLst>
            </c:dLbl>
            <c:dLbl>
              <c:idx val="13"/>
              <c:delete val="1"/>
              <c:extLst>
                <c:ext xmlns:c15="http://schemas.microsoft.com/office/drawing/2012/chart" uri="{CE6537A1-D6FC-4f65-9D91-7224C49458BB}"/>
                <c:ext xmlns:c16="http://schemas.microsoft.com/office/drawing/2014/chart" uri="{C3380CC4-5D6E-409C-BE32-E72D297353CC}">
                  <c16:uniqueId val="{00000009-0944-4EB6-AB16-88F035A4EA49}"/>
                </c:ext>
              </c:extLst>
            </c:dLbl>
            <c:dLbl>
              <c:idx val="14"/>
              <c:layout>
                <c:manualLayout>
                  <c:x val="-8.4985476355384768E-2"/>
                  <c:y val="-9.6152287236011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44-4EB6-AB16-88F035A4EA49}"/>
                </c:ext>
              </c:extLst>
            </c:dLbl>
            <c:dLbl>
              <c:idx val="15"/>
              <c:delete val="1"/>
              <c:extLst>
                <c:ext xmlns:c15="http://schemas.microsoft.com/office/drawing/2012/chart" uri="{CE6537A1-D6FC-4f65-9D91-7224C49458BB}"/>
                <c:ext xmlns:c16="http://schemas.microsoft.com/office/drawing/2014/chart" uri="{C3380CC4-5D6E-409C-BE32-E72D297353CC}">
                  <c16:uniqueId val="{0000000B-0944-4EB6-AB16-88F035A4EA49}"/>
                </c:ext>
              </c:extLst>
            </c:dLbl>
            <c:dLbl>
              <c:idx val="16"/>
              <c:delete val="1"/>
              <c:extLst>
                <c:ext xmlns:c15="http://schemas.microsoft.com/office/drawing/2012/chart" uri="{CE6537A1-D6FC-4f65-9D91-7224C49458BB}"/>
                <c:ext xmlns:c16="http://schemas.microsoft.com/office/drawing/2014/chart" uri="{C3380CC4-5D6E-409C-BE32-E72D297353CC}">
                  <c16:uniqueId val="{0000000C-0944-4EB6-AB16-88F035A4EA49}"/>
                </c:ext>
              </c:extLst>
            </c:dLbl>
            <c:dLbl>
              <c:idx val="17"/>
              <c:delete val="1"/>
              <c:extLst>
                <c:ext xmlns:c15="http://schemas.microsoft.com/office/drawing/2012/chart" uri="{CE6537A1-D6FC-4f65-9D91-7224C49458BB}"/>
                <c:ext xmlns:c16="http://schemas.microsoft.com/office/drawing/2014/chart" uri="{C3380CC4-5D6E-409C-BE32-E72D297353CC}">
                  <c16:uniqueId val="{0000000D-0944-4EB6-AB16-88F035A4EA49}"/>
                </c:ext>
              </c:extLst>
            </c:dLbl>
            <c:dLbl>
              <c:idx val="18"/>
              <c:delete val="1"/>
              <c:extLst>
                <c:ext xmlns:c15="http://schemas.microsoft.com/office/drawing/2012/chart" uri="{CE6537A1-D6FC-4f65-9D91-7224C49458BB}"/>
                <c:ext xmlns:c16="http://schemas.microsoft.com/office/drawing/2014/chart" uri="{C3380CC4-5D6E-409C-BE32-E72D297353CC}">
                  <c16:uniqueId val="{0000000E-0944-4EB6-AB16-88F035A4EA4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E6D"/>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'Advanced Table'!$U$39:$U$267</c:f>
              <c:numCache>
                <c:formatCode>_("$"* #,##0_);_("$"* \(#,##0\);_("$"* "-"??_);_(@_)</c:formatCode>
                <c:ptCount val="20"/>
                <c:pt idx="0">
                  <c:v>166741.84282723098</c:v>
                </c:pt>
                <c:pt idx="1">
                  <c:v>212035.84833286045</c:v>
                </c:pt>
                <c:pt idx="2">
                  <c:v>261123.36755714615</c:v>
                </c:pt>
                <c:pt idx="3">
                  <c:v>314260.82712704997</c:v>
                </c:pt>
                <c:pt idx="4">
                  <c:v>371720.63727180666</c:v>
                </c:pt>
                <c:pt idx="5">
                  <c:v>433792.15375701129</c:v>
                </c:pt>
                <c:pt idx="6">
                  <c:v>500782.6969324688</c:v>
                </c:pt>
                <c:pt idx="7">
                  <c:v>573018.6312794371</c:v>
                </c:pt>
                <c:pt idx="8">
                  <c:v>650846.50904473255</c:v>
                </c:pt>
                <c:pt idx="9">
                  <c:v>734634.28176317946</c:v>
                </c:pt>
                <c:pt idx="10">
                  <c:v>824772.58369678818</c:v>
                </c:pt>
                <c:pt idx="11">
                  <c:v>921676.09145965823</c:v>
                </c:pt>
                <c:pt idx="12">
                  <c:v>1025784.9643527223</c:v>
                </c:pt>
                <c:pt idx="13">
                  <c:v>1137566.3702030182</c:v>
                </c:pt>
                <c:pt idx="14">
                  <c:v>1257516.101789084</c:v>
                </c:pt>
                <c:pt idx="15">
                  <c:v>1386160.2892383721</c:v>
                </c:pt>
                <c:pt idx="16">
                  <c:v>1524057.2141053088</c:v>
                </c:pt>
                <c:pt idx="17">
                  <c:v>1671799.2311809296</c:v>
                </c:pt>
                <c:pt idx="18">
                  <c:v>1830014.8044481017</c:v>
                </c:pt>
                <c:pt idx="19">
                  <c:v>1999370.6639814945</c:v>
                </c:pt>
              </c:numCache>
            </c:numRef>
          </c:val>
          <c:smooth val="0"/>
          <c:extLst>
            <c:ext xmlns:c16="http://schemas.microsoft.com/office/drawing/2014/chart" uri="{C3380CC4-5D6E-409C-BE32-E72D297353CC}">
              <c16:uniqueId val="{00000028-C516-4557-B939-D8BF9E1A4EE3}"/>
            </c:ext>
          </c:extLst>
        </c:ser>
        <c:ser>
          <c:idx val="3"/>
          <c:order val="3"/>
          <c:tx>
            <c:v>Comparison Rate</c:v>
          </c:tx>
          <c:spPr>
            <a:ln w="28575" cap="rnd">
              <a:solidFill>
                <a:srgbClr val="F18A00"/>
              </a:solidFill>
              <a:round/>
            </a:ln>
            <a:effectLst/>
          </c:spPr>
          <c:marker>
            <c:symbol val="none"/>
          </c:marker>
          <c:dLbls>
            <c:delete val="1"/>
          </c:dLbls>
          <c:val>
            <c:numRef>
              <c:f>'Advanced Table'!$AI$39:$AI$267</c:f>
              <c:numCache>
                <c:formatCode>_("$"* #,##0_);_("$"* \(#,##0\);_("$"* "-"??_);_(@_)</c:formatCode>
                <c:ptCount val="20"/>
                <c:pt idx="0">
                  <c:v>137500</c:v>
                </c:pt>
                <c:pt idx="1">
                  <c:v>151250</c:v>
                </c:pt>
                <c:pt idx="2">
                  <c:v>166375</c:v>
                </c:pt>
                <c:pt idx="3">
                  <c:v>183012.50000000003</c:v>
                </c:pt>
                <c:pt idx="4">
                  <c:v>201313.75000000006</c:v>
                </c:pt>
                <c:pt idx="5">
                  <c:v>221445.12500000009</c:v>
                </c:pt>
                <c:pt idx="6">
                  <c:v>243589.63750000013</c:v>
                </c:pt>
                <c:pt idx="7">
                  <c:v>267948.60125000018</c:v>
                </c:pt>
                <c:pt idx="8">
                  <c:v>294743.46137500025</c:v>
                </c:pt>
                <c:pt idx="9">
                  <c:v>324217.80751250032</c:v>
                </c:pt>
                <c:pt idx="10">
                  <c:v>356639.58826375037</c:v>
                </c:pt>
                <c:pt idx="11">
                  <c:v>392303.54709012544</c:v>
                </c:pt>
                <c:pt idx="12">
                  <c:v>431533.901799138</c:v>
                </c:pt>
                <c:pt idx="13">
                  <c:v>474687.29197905184</c:v>
                </c:pt>
                <c:pt idx="14">
                  <c:v>522156.02117695706</c:v>
                </c:pt>
                <c:pt idx="15">
                  <c:v>574371.62329465279</c:v>
                </c:pt>
                <c:pt idx="16">
                  <c:v>631808.78562411817</c:v>
                </c:pt>
                <c:pt idx="17">
                  <c:v>694989.66418653005</c:v>
                </c:pt>
                <c:pt idx="18">
                  <c:v>764488.63060518308</c:v>
                </c:pt>
                <c:pt idx="19">
                  <c:v>840937.49366570148</c:v>
                </c:pt>
              </c:numCache>
            </c:numRef>
          </c:val>
          <c:smooth val="0"/>
          <c:extLst>
            <c:ext xmlns:c16="http://schemas.microsoft.com/office/drawing/2014/chart" uri="{C3380CC4-5D6E-409C-BE32-E72D297353CC}">
              <c16:uniqueId val="{00000001-0017-4279-9E82-84A253E24A25}"/>
            </c:ext>
          </c:extLst>
        </c:ser>
        <c:dLbls>
          <c:showLegendKey val="0"/>
          <c:showVal val="1"/>
          <c:showCatName val="0"/>
          <c:showSerName val="0"/>
          <c:showPercent val="0"/>
          <c:showBubbleSize val="0"/>
        </c:dLbls>
        <c:marker val="1"/>
        <c:smooth val="0"/>
        <c:axId val="601242975"/>
        <c:axId val="601245471"/>
      </c:lineChart>
      <c:catAx>
        <c:axId val="601242975"/>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601245471"/>
        <c:crosses val="autoZero"/>
        <c:auto val="1"/>
        <c:lblAlgn val="ctr"/>
        <c:lblOffset val="100"/>
        <c:noMultiLvlLbl val="0"/>
      </c:catAx>
      <c:valAx>
        <c:axId val="601245471"/>
        <c:scaling>
          <c:orientation val="minMax"/>
        </c:scaling>
        <c:delete val="0"/>
        <c:axPos val="l"/>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601242975"/>
        <c:crosses val="autoZero"/>
        <c:crossBetween val="between"/>
      </c:valAx>
      <c:spPr>
        <a:noFill/>
        <a:ln>
          <a:noFill/>
        </a:ln>
        <a:effectLst/>
      </c:spPr>
    </c:plotArea>
    <c:legend>
      <c:legendPos val="r"/>
      <c:legendEntry>
        <c:idx val="2"/>
        <c:delete val="1"/>
      </c:legendEntry>
      <c:layout>
        <c:manualLayout>
          <c:xMode val="edge"/>
          <c:yMode val="edge"/>
          <c:x val="0.17088085484521914"/>
          <c:y val="0.2590513954694485"/>
          <c:w val="0.27313913913990495"/>
          <c:h val="0.2274400698440080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5000"/>
            <a:lumOff val="95000"/>
          </a:schemeClr>
        </a:gs>
        <a:gs pos="57000">
          <a:schemeClr val="bg1">
            <a:lumMod val="95000"/>
          </a:schemeClr>
        </a:gs>
        <a:gs pos="100000">
          <a:schemeClr val="bg1">
            <a:lumMod val="75000"/>
          </a:schemeClr>
        </a:gs>
      </a:gsLst>
      <a:lin ang="0" scaled="1"/>
      <a:tileRect/>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 Net Monthly Income (w/ Maint. Reserves)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lineChart>
        <c:grouping val="standard"/>
        <c:varyColors val="0"/>
        <c:ser>
          <c:idx val="0"/>
          <c:order val="0"/>
          <c:tx>
            <c:v>Net Monthly Rental Income</c:v>
          </c:tx>
          <c:spPr>
            <a:ln w="28575" cap="rnd">
              <a:solidFill>
                <a:srgbClr val="002E6D"/>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BC2-441D-93B4-DA19A81EF91A}"/>
                </c:ext>
              </c:extLst>
            </c:dLbl>
            <c:dLbl>
              <c:idx val="2"/>
              <c:delete val="1"/>
              <c:extLst>
                <c:ext xmlns:c15="http://schemas.microsoft.com/office/drawing/2012/chart" uri="{CE6537A1-D6FC-4f65-9D91-7224C49458BB}"/>
                <c:ext xmlns:c16="http://schemas.microsoft.com/office/drawing/2014/chart" uri="{C3380CC4-5D6E-409C-BE32-E72D297353CC}">
                  <c16:uniqueId val="{00000000-A99A-40B4-973C-2368BCA2296C}"/>
                </c:ext>
              </c:extLst>
            </c:dLbl>
            <c:dLbl>
              <c:idx val="3"/>
              <c:delete val="1"/>
              <c:extLst>
                <c:ext xmlns:c15="http://schemas.microsoft.com/office/drawing/2012/chart" uri="{CE6537A1-D6FC-4f65-9D91-7224C49458BB}"/>
                <c:ext xmlns:c16="http://schemas.microsoft.com/office/drawing/2014/chart" uri="{C3380CC4-5D6E-409C-BE32-E72D297353CC}">
                  <c16:uniqueId val="{00000001-A99A-40B4-973C-2368BCA2296C}"/>
                </c:ext>
              </c:extLst>
            </c:dLbl>
            <c:dLbl>
              <c:idx val="5"/>
              <c:delete val="1"/>
              <c:extLst>
                <c:ext xmlns:c15="http://schemas.microsoft.com/office/drawing/2012/chart" uri="{CE6537A1-D6FC-4f65-9D91-7224C49458BB}"/>
                <c:ext xmlns:c16="http://schemas.microsoft.com/office/drawing/2014/chart" uri="{C3380CC4-5D6E-409C-BE32-E72D297353CC}">
                  <c16:uniqueId val="{00000002-A99A-40B4-973C-2368BCA2296C}"/>
                </c:ext>
              </c:extLst>
            </c:dLbl>
            <c:dLbl>
              <c:idx val="6"/>
              <c:delete val="1"/>
              <c:extLst>
                <c:ext xmlns:c15="http://schemas.microsoft.com/office/drawing/2012/chart" uri="{CE6537A1-D6FC-4f65-9D91-7224C49458BB}"/>
                <c:ext xmlns:c16="http://schemas.microsoft.com/office/drawing/2014/chart" uri="{C3380CC4-5D6E-409C-BE32-E72D297353CC}">
                  <c16:uniqueId val="{00000003-A99A-40B4-973C-2368BCA2296C}"/>
                </c:ext>
              </c:extLst>
            </c:dLbl>
            <c:dLbl>
              <c:idx val="7"/>
              <c:delete val="1"/>
              <c:extLst>
                <c:ext xmlns:c15="http://schemas.microsoft.com/office/drawing/2012/chart" uri="{CE6537A1-D6FC-4f65-9D91-7224C49458BB}"/>
                <c:ext xmlns:c16="http://schemas.microsoft.com/office/drawing/2014/chart" uri="{C3380CC4-5D6E-409C-BE32-E72D297353CC}">
                  <c16:uniqueId val="{00000004-A99A-40B4-973C-2368BCA2296C}"/>
                </c:ext>
              </c:extLst>
            </c:dLbl>
            <c:dLbl>
              <c:idx val="8"/>
              <c:delete val="1"/>
              <c:extLst>
                <c:ext xmlns:c15="http://schemas.microsoft.com/office/drawing/2012/chart" uri="{CE6537A1-D6FC-4f65-9D91-7224C49458BB}"/>
                <c:ext xmlns:c16="http://schemas.microsoft.com/office/drawing/2014/chart" uri="{C3380CC4-5D6E-409C-BE32-E72D297353CC}">
                  <c16:uniqueId val="{00000005-A99A-40B4-973C-2368BCA2296C}"/>
                </c:ext>
              </c:extLst>
            </c:dLbl>
            <c:dLbl>
              <c:idx val="10"/>
              <c:delete val="1"/>
              <c:extLst>
                <c:ext xmlns:c15="http://schemas.microsoft.com/office/drawing/2012/chart" uri="{CE6537A1-D6FC-4f65-9D91-7224C49458BB}"/>
                <c:ext xmlns:c16="http://schemas.microsoft.com/office/drawing/2014/chart" uri="{C3380CC4-5D6E-409C-BE32-E72D297353CC}">
                  <c16:uniqueId val="{00000006-A99A-40B4-973C-2368BCA2296C}"/>
                </c:ext>
              </c:extLst>
            </c:dLbl>
            <c:dLbl>
              <c:idx val="11"/>
              <c:delete val="1"/>
              <c:extLst>
                <c:ext xmlns:c15="http://schemas.microsoft.com/office/drawing/2012/chart" uri="{CE6537A1-D6FC-4f65-9D91-7224C49458BB}"/>
                <c:ext xmlns:c16="http://schemas.microsoft.com/office/drawing/2014/chart" uri="{C3380CC4-5D6E-409C-BE32-E72D297353CC}">
                  <c16:uniqueId val="{00000007-A99A-40B4-973C-2368BCA2296C}"/>
                </c:ext>
              </c:extLst>
            </c:dLbl>
            <c:dLbl>
              <c:idx val="12"/>
              <c:delete val="1"/>
              <c:extLst>
                <c:ext xmlns:c15="http://schemas.microsoft.com/office/drawing/2012/chart" uri="{CE6537A1-D6FC-4f65-9D91-7224C49458BB}"/>
                <c:ext xmlns:c16="http://schemas.microsoft.com/office/drawing/2014/chart" uri="{C3380CC4-5D6E-409C-BE32-E72D297353CC}">
                  <c16:uniqueId val="{00000009-CF63-4B6C-BE32-21019A79BD30}"/>
                </c:ext>
              </c:extLst>
            </c:dLbl>
            <c:dLbl>
              <c:idx val="13"/>
              <c:delete val="1"/>
              <c:extLst>
                <c:ext xmlns:c15="http://schemas.microsoft.com/office/drawing/2012/chart" uri="{CE6537A1-D6FC-4f65-9D91-7224C49458BB}"/>
                <c:ext xmlns:c16="http://schemas.microsoft.com/office/drawing/2014/chart" uri="{C3380CC4-5D6E-409C-BE32-E72D297353CC}">
                  <c16:uniqueId val="{00000008-A99A-40B4-973C-2368BCA2296C}"/>
                </c:ext>
              </c:extLst>
            </c:dLbl>
            <c:dLbl>
              <c:idx val="15"/>
              <c:delete val="1"/>
              <c:extLst>
                <c:ext xmlns:c15="http://schemas.microsoft.com/office/drawing/2012/chart" uri="{CE6537A1-D6FC-4f65-9D91-7224C49458BB}"/>
                <c:ext xmlns:c16="http://schemas.microsoft.com/office/drawing/2014/chart" uri="{C3380CC4-5D6E-409C-BE32-E72D297353CC}">
                  <c16:uniqueId val="{00000009-A99A-40B4-973C-2368BCA2296C}"/>
                </c:ext>
              </c:extLst>
            </c:dLbl>
            <c:dLbl>
              <c:idx val="16"/>
              <c:delete val="1"/>
              <c:extLst>
                <c:ext xmlns:c15="http://schemas.microsoft.com/office/drawing/2012/chart" uri="{CE6537A1-D6FC-4f65-9D91-7224C49458BB}"/>
                <c:ext xmlns:c16="http://schemas.microsoft.com/office/drawing/2014/chart" uri="{C3380CC4-5D6E-409C-BE32-E72D297353CC}">
                  <c16:uniqueId val="{0000000A-A99A-40B4-973C-2368BCA2296C}"/>
                </c:ext>
              </c:extLst>
            </c:dLbl>
            <c:dLbl>
              <c:idx val="17"/>
              <c:delete val="1"/>
              <c:extLst>
                <c:ext xmlns:c15="http://schemas.microsoft.com/office/drawing/2012/chart" uri="{CE6537A1-D6FC-4f65-9D91-7224C49458BB}"/>
                <c:ext xmlns:c16="http://schemas.microsoft.com/office/drawing/2014/chart" uri="{C3380CC4-5D6E-409C-BE32-E72D297353CC}">
                  <c16:uniqueId val="{0000000B-A99A-40B4-973C-2368BCA2296C}"/>
                </c:ext>
              </c:extLst>
            </c:dLbl>
            <c:dLbl>
              <c:idx val="18"/>
              <c:delete val="1"/>
              <c:extLst>
                <c:ext xmlns:c15="http://schemas.microsoft.com/office/drawing/2012/chart" uri="{CE6537A1-D6FC-4f65-9D91-7224C49458BB}"/>
                <c:ext xmlns:c16="http://schemas.microsoft.com/office/drawing/2014/chart" uri="{C3380CC4-5D6E-409C-BE32-E72D297353CC}">
                  <c16:uniqueId val="{0000000C-A99A-40B4-973C-2368BCA2296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E6D"/>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Table'!$O$39:$O$267</c:f>
              <c:numCache>
                <c:formatCode>_("$"* #,##0_);_("$"* \(#,##0\);_("$"* "-"??_);_(@_)</c:formatCode>
                <c:ptCount val="20"/>
                <c:pt idx="0">
                  <c:v>2276.8333333333335</c:v>
                </c:pt>
                <c:pt idx="1">
                  <c:v>2356.5224999999996</c:v>
                </c:pt>
                <c:pt idx="2">
                  <c:v>2439.0007874999997</c:v>
                </c:pt>
                <c:pt idx="3">
                  <c:v>2524.3658150624992</c:v>
                </c:pt>
                <c:pt idx="4">
                  <c:v>2612.7186185896867</c:v>
                </c:pt>
                <c:pt idx="5">
                  <c:v>2704.1637702403254</c:v>
                </c:pt>
                <c:pt idx="6">
                  <c:v>2798.8095021987369</c:v>
                </c:pt>
                <c:pt idx="7">
                  <c:v>2896.7678347756923</c:v>
                </c:pt>
                <c:pt idx="8">
                  <c:v>2998.1547089928413</c:v>
                </c:pt>
                <c:pt idx="9">
                  <c:v>3103.0901238075908</c:v>
                </c:pt>
                <c:pt idx="10">
                  <c:v>3211.6982781408565</c:v>
                </c:pt>
                <c:pt idx="11">
                  <c:v>3324.1077178757864</c:v>
                </c:pt>
                <c:pt idx="12">
                  <c:v>3440.4514880014385</c:v>
                </c:pt>
                <c:pt idx="13">
                  <c:v>3560.8672900814881</c:v>
                </c:pt>
                <c:pt idx="14">
                  <c:v>3685.4976452343408</c:v>
                </c:pt>
                <c:pt idx="15">
                  <c:v>3814.4900628175419</c:v>
                </c:pt>
                <c:pt idx="16">
                  <c:v>3947.9972150161561</c:v>
                </c:pt>
                <c:pt idx="17">
                  <c:v>4086.1771175417211</c:v>
                </c:pt>
                <c:pt idx="18">
                  <c:v>4229.193316655681</c:v>
                </c:pt>
                <c:pt idx="19">
                  <c:v>4377.2150827386286</c:v>
                </c:pt>
              </c:numCache>
            </c:numRef>
          </c:val>
          <c:smooth val="0"/>
          <c:extLst>
            <c:ext xmlns:c16="http://schemas.microsoft.com/office/drawing/2014/chart" uri="{C3380CC4-5D6E-409C-BE32-E72D297353CC}">
              <c16:uniqueId val="{0000001E-4BC2-441D-93B4-DA19A81EF91A}"/>
            </c:ext>
          </c:extLst>
        </c:ser>
        <c:dLbls>
          <c:dLblPos val="t"/>
          <c:showLegendKey val="0"/>
          <c:showVal val="1"/>
          <c:showCatName val="0"/>
          <c:showSerName val="0"/>
          <c:showPercent val="0"/>
          <c:showBubbleSize val="0"/>
        </c:dLbls>
        <c:smooth val="0"/>
        <c:axId val="1720037935"/>
        <c:axId val="1720038767"/>
      </c:lineChart>
      <c:catAx>
        <c:axId val="17200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20038767"/>
        <c:crosses val="autoZero"/>
        <c:auto val="1"/>
        <c:lblAlgn val="ctr"/>
        <c:lblOffset val="100"/>
        <c:noMultiLvlLbl val="0"/>
      </c:catAx>
      <c:valAx>
        <c:axId val="172003876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accent1">
            <a:lumMod val="5000"/>
            <a:lumOff val="95000"/>
          </a:schemeClr>
        </a:gs>
        <a:gs pos="57000">
          <a:schemeClr val="bg1">
            <a:lumMod val="95000"/>
          </a:schemeClr>
        </a:gs>
        <a:gs pos="100000">
          <a:schemeClr val="bg1">
            <a:lumMod val="75000"/>
          </a:schemeClr>
        </a:gs>
      </a:gsLst>
      <a:lin ang="0" scaled="1"/>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oddHeader>&amp;L&amp;"Garamond,Regular"&amp;22&amp;A&amp;R&amp;"Garamond,Regular"&amp;22&amp;F</c:oddHeader>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800" b="1">
                <a:latin typeface="Garamond" panose="02020404030301010803" pitchFamily="18" charset="0"/>
              </a:rPr>
              <a:t>Projected Revenue</a:t>
            </a:r>
            <a:r>
              <a:rPr lang="en-US" sz="2800" b="1" baseline="0">
                <a:latin typeface="Garamond" panose="02020404030301010803" pitchFamily="18" charset="0"/>
              </a:rPr>
              <a:t>, Expenses, &amp; Debt Service</a:t>
            </a:r>
            <a:endParaRPr lang="en-US" sz="2800" b="1">
              <a:latin typeface="Garamond" panose="02020404030301010803" pitchFamily="18"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52504536114726E-2"/>
          <c:y val="8.3221253567575176E-2"/>
          <c:w val="0.94399849409806902"/>
          <c:h val="0.82775957900828712"/>
        </c:manualLayout>
      </c:layout>
      <c:lineChart>
        <c:grouping val="standard"/>
        <c:varyColors val="0"/>
        <c:ser>
          <c:idx val="0"/>
          <c:order val="0"/>
          <c:tx>
            <c:v>Revenue</c:v>
          </c:tx>
          <c:spPr>
            <a:ln w="28575" cap="rnd">
              <a:solidFill>
                <a:srgbClr val="172C5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24E4-444D-B63C-EC200DFAA79A}"/>
                </c:ext>
              </c:extLst>
            </c:dLbl>
            <c:dLbl>
              <c:idx val="2"/>
              <c:delete val="1"/>
              <c:extLst>
                <c:ext xmlns:c15="http://schemas.microsoft.com/office/drawing/2012/chart" uri="{CE6537A1-D6FC-4f65-9D91-7224C49458BB}"/>
                <c:ext xmlns:c16="http://schemas.microsoft.com/office/drawing/2014/chart" uri="{C3380CC4-5D6E-409C-BE32-E72D297353CC}">
                  <c16:uniqueId val="{00000001-24E4-444D-B63C-EC200DFAA79A}"/>
                </c:ext>
              </c:extLst>
            </c:dLbl>
            <c:dLbl>
              <c:idx val="3"/>
              <c:delete val="1"/>
              <c:extLst>
                <c:ext xmlns:c15="http://schemas.microsoft.com/office/drawing/2012/chart" uri="{CE6537A1-D6FC-4f65-9D91-7224C49458BB}"/>
                <c:ext xmlns:c16="http://schemas.microsoft.com/office/drawing/2014/chart" uri="{C3380CC4-5D6E-409C-BE32-E72D297353CC}">
                  <c16:uniqueId val="{00000002-24E4-444D-B63C-EC200DFAA79A}"/>
                </c:ext>
              </c:extLst>
            </c:dLbl>
            <c:dLbl>
              <c:idx val="5"/>
              <c:delete val="1"/>
              <c:extLst>
                <c:ext xmlns:c15="http://schemas.microsoft.com/office/drawing/2012/chart" uri="{CE6537A1-D6FC-4f65-9D91-7224C49458BB}"/>
                <c:ext xmlns:c16="http://schemas.microsoft.com/office/drawing/2014/chart" uri="{C3380CC4-5D6E-409C-BE32-E72D297353CC}">
                  <c16:uniqueId val="{00000003-24E4-444D-B63C-EC200DFAA79A}"/>
                </c:ext>
              </c:extLst>
            </c:dLbl>
            <c:dLbl>
              <c:idx val="6"/>
              <c:delete val="1"/>
              <c:extLst>
                <c:ext xmlns:c15="http://schemas.microsoft.com/office/drawing/2012/chart" uri="{CE6537A1-D6FC-4f65-9D91-7224C49458BB}"/>
                <c:ext xmlns:c16="http://schemas.microsoft.com/office/drawing/2014/chart" uri="{C3380CC4-5D6E-409C-BE32-E72D297353CC}">
                  <c16:uniqueId val="{00000004-24E4-444D-B63C-EC200DFAA79A}"/>
                </c:ext>
              </c:extLst>
            </c:dLbl>
            <c:dLbl>
              <c:idx val="7"/>
              <c:delete val="1"/>
              <c:extLst>
                <c:ext xmlns:c15="http://schemas.microsoft.com/office/drawing/2012/chart" uri="{CE6537A1-D6FC-4f65-9D91-7224C49458BB}"/>
                <c:ext xmlns:c16="http://schemas.microsoft.com/office/drawing/2014/chart" uri="{C3380CC4-5D6E-409C-BE32-E72D297353CC}">
                  <c16:uniqueId val="{00000005-24E4-444D-B63C-EC200DFAA79A}"/>
                </c:ext>
              </c:extLst>
            </c:dLbl>
            <c:dLbl>
              <c:idx val="8"/>
              <c:delete val="1"/>
              <c:extLst>
                <c:ext xmlns:c15="http://schemas.microsoft.com/office/drawing/2012/chart" uri="{CE6537A1-D6FC-4f65-9D91-7224C49458BB}"/>
                <c:ext xmlns:c16="http://schemas.microsoft.com/office/drawing/2014/chart" uri="{C3380CC4-5D6E-409C-BE32-E72D297353CC}">
                  <c16:uniqueId val="{00000006-24E4-444D-B63C-EC200DFAA79A}"/>
                </c:ext>
              </c:extLst>
            </c:dLbl>
            <c:dLbl>
              <c:idx val="10"/>
              <c:delete val="1"/>
              <c:extLst>
                <c:ext xmlns:c15="http://schemas.microsoft.com/office/drawing/2012/chart" uri="{CE6537A1-D6FC-4f65-9D91-7224C49458BB}"/>
                <c:ext xmlns:c16="http://schemas.microsoft.com/office/drawing/2014/chart" uri="{C3380CC4-5D6E-409C-BE32-E72D297353CC}">
                  <c16:uniqueId val="{00000007-24E4-444D-B63C-EC200DFAA79A}"/>
                </c:ext>
              </c:extLst>
            </c:dLbl>
            <c:dLbl>
              <c:idx val="11"/>
              <c:delete val="1"/>
              <c:extLst>
                <c:ext xmlns:c15="http://schemas.microsoft.com/office/drawing/2012/chart" uri="{CE6537A1-D6FC-4f65-9D91-7224C49458BB}"/>
                <c:ext xmlns:c16="http://schemas.microsoft.com/office/drawing/2014/chart" uri="{C3380CC4-5D6E-409C-BE32-E72D297353CC}">
                  <c16:uniqueId val="{00000008-24E4-444D-B63C-EC200DFAA79A}"/>
                </c:ext>
              </c:extLst>
            </c:dLbl>
            <c:dLbl>
              <c:idx val="12"/>
              <c:delete val="1"/>
              <c:extLst>
                <c:ext xmlns:c15="http://schemas.microsoft.com/office/drawing/2012/chart" uri="{CE6537A1-D6FC-4f65-9D91-7224C49458BB}"/>
                <c:ext xmlns:c16="http://schemas.microsoft.com/office/drawing/2014/chart" uri="{C3380CC4-5D6E-409C-BE32-E72D297353CC}">
                  <c16:uniqueId val="{00000009-24E4-444D-B63C-EC200DFAA79A}"/>
                </c:ext>
              </c:extLst>
            </c:dLbl>
            <c:dLbl>
              <c:idx val="13"/>
              <c:delete val="1"/>
              <c:extLst>
                <c:ext xmlns:c15="http://schemas.microsoft.com/office/drawing/2012/chart" uri="{CE6537A1-D6FC-4f65-9D91-7224C49458BB}"/>
                <c:ext xmlns:c16="http://schemas.microsoft.com/office/drawing/2014/chart" uri="{C3380CC4-5D6E-409C-BE32-E72D297353CC}">
                  <c16:uniqueId val="{0000000A-24E4-444D-B63C-EC200DFAA79A}"/>
                </c:ext>
              </c:extLst>
            </c:dLbl>
            <c:dLbl>
              <c:idx val="15"/>
              <c:delete val="1"/>
              <c:extLst>
                <c:ext xmlns:c15="http://schemas.microsoft.com/office/drawing/2012/chart" uri="{CE6537A1-D6FC-4f65-9D91-7224C49458BB}"/>
                <c:ext xmlns:c16="http://schemas.microsoft.com/office/drawing/2014/chart" uri="{C3380CC4-5D6E-409C-BE32-E72D297353CC}">
                  <c16:uniqueId val="{0000000B-24E4-444D-B63C-EC200DFAA79A}"/>
                </c:ext>
              </c:extLst>
            </c:dLbl>
            <c:dLbl>
              <c:idx val="16"/>
              <c:delete val="1"/>
              <c:extLst>
                <c:ext xmlns:c15="http://schemas.microsoft.com/office/drawing/2012/chart" uri="{CE6537A1-D6FC-4f65-9D91-7224C49458BB}"/>
                <c:ext xmlns:c16="http://schemas.microsoft.com/office/drawing/2014/chart" uri="{C3380CC4-5D6E-409C-BE32-E72D297353CC}">
                  <c16:uniqueId val="{0000000C-24E4-444D-B63C-EC200DFAA79A}"/>
                </c:ext>
              </c:extLst>
            </c:dLbl>
            <c:dLbl>
              <c:idx val="17"/>
              <c:delete val="1"/>
              <c:extLst>
                <c:ext xmlns:c15="http://schemas.microsoft.com/office/drawing/2012/chart" uri="{CE6537A1-D6FC-4f65-9D91-7224C49458BB}"/>
                <c:ext xmlns:c16="http://schemas.microsoft.com/office/drawing/2014/chart" uri="{C3380CC4-5D6E-409C-BE32-E72D297353CC}">
                  <c16:uniqueId val="{0000000D-24E4-444D-B63C-EC200DFAA79A}"/>
                </c:ext>
              </c:extLst>
            </c:dLbl>
            <c:dLbl>
              <c:idx val="18"/>
              <c:delete val="1"/>
              <c:extLst>
                <c:ext xmlns:c15="http://schemas.microsoft.com/office/drawing/2012/chart" uri="{CE6537A1-D6FC-4f65-9D91-7224C49458BB}"/>
                <c:ext xmlns:c16="http://schemas.microsoft.com/office/drawing/2014/chart" uri="{C3380CC4-5D6E-409C-BE32-E72D297353CC}">
                  <c16:uniqueId val="{0000000E-24E4-444D-B63C-EC200DFAA79A}"/>
                </c:ext>
              </c:extLst>
            </c:dLbl>
            <c:dLbl>
              <c:idx val="20"/>
              <c:delete val="1"/>
              <c:extLst>
                <c:ext xmlns:c15="http://schemas.microsoft.com/office/drawing/2012/chart" uri="{CE6537A1-D6FC-4f65-9D91-7224C49458BB}"/>
                <c:ext xmlns:c16="http://schemas.microsoft.com/office/drawing/2014/chart" uri="{C3380CC4-5D6E-409C-BE32-E72D297353CC}">
                  <c16:uniqueId val="{0000000F-24E4-444D-B63C-EC200DFAA79A}"/>
                </c:ext>
              </c:extLst>
            </c:dLbl>
            <c:dLbl>
              <c:idx val="21"/>
              <c:delete val="1"/>
              <c:extLst>
                <c:ext xmlns:c15="http://schemas.microsoft.com/office/drawing/2012/chart" uri="{CE6537A1-D6FC-4f65-9D91-7224C49458BB}"/>
                <c:ext xmlns:c16="http://schemas.microsoft.com/office/drawing/2014/chart" uri="{C3380CC4-5D6E-409C-BE32-E72D297353CC}">
                  <c16:uniqueId val="{00000010-24E4-444D-B63C-EC200DFAA79A}"/>
                </c:ext>
              </c:extLst>
            </c:dLbl>
            <c:dLbl>
              <c:idx val="22"/>
              <c:delete val="1"/>
              <c:extLst>
                <c:ext xmlns:c15="http://schemas.microsoft.com/office/drawing/2012/chart" uri="{CE6537A1-D6FC-4f65-9D91-7224C49458BB}"/>
                <c:ext xmlns:c16="http://schemas.microsoft.com/office/drawing/2014/chart" uri="{C3380CC4-5D6E-409C-BE32-E72D297353CC}">
                  <c16:uniqueId val="{00000011-24E4-444D-B63C-EC200DFAA79A}"/>
                </c:ext>
              </c:extLst>
            </c:dLbl>
            <c:dLbl>
              <c:idx val="23"/>
              <c:delete val="1"/>
              <c:extLst>
                <c:ext xmlns:c15="http://schemas.microsoft.com/office/drawing/2012/chart" uri="{CE6537A1-D6FC-4f65-9D91-7224C49458BB}"/>
                <c:ext xmlns:c16="http://schemas.microsoft.com/office/drawing/2014/chart" uri="{C3380CC4-5D6E-409C-BE32-E72D297353CC}">
                  <c16:uniqueId val="{00000012-24E4-444D-B63C-EC200DFAA79A}"/>
                </c:ext>
              </c:extLst>
            </c:dLbl>
            <c:dLbl>
              <c:idx val="25"/>
              <c:delete val="1"/>
              <c:extLst>
                <c:ext xmlns:c15="http://schemas.microsoft.com/office/drawing/2012/chart" uri="{CE6537A1-D6FC-4f65-9D91-7224C49458BB}"/>
                <c:ext xmlns:c16="http://schemas.microsoft.com/office/drawing/2014/chart" uri="{C3380CC4-5D6E-409C-BE32-E72D297353CC}">
                  <c16:uniqueId val="{00000013-24E4-444D-B63C-EC200DFAA79A}"/>
                </c:ext>
              </c:extLst>
            </c:dLbl>
            <c:dLbl>
              <c:idx val="26"/>
              <c:delete val="1"/>
              <c:extLst>
                <c:ext xmlns:c15="http://schemas.microsoft.com/office/drawing/2012/chart" uri="{CE6537A1-D6FC-4f65-9D91-7224C49458BB}"/>
                <c:ext xmlns:c16="http://schemas.microsoft.com/office/drawing/2014/chart" uri="{C3380CC4-5D6E-409C-BE32-E72D297353CC}">
                  <c16:uniqueId val="{00000014-24E4-444D-B63C-EC200DFAA79A}"/>
                </c:ext>
              </c:extLst>
            </c:dLbl>
            <c:dLbl>
              <c:idx val="27"/>
              <c:delete val="1"/>
              <c:extLst>
                <c:ext xmlns:c15="http://schemas.microsoft.com/office/drawing/2012/chart" uri="{CE6537A1-D6FC-4f65-9D91-7224C49458BB}"/>
                <c:ext xmlns:c16="http://schemas.microsoft.com/office/drawing/2014/chart" uri="{C3380CC4-5D6E-409C-BE32-E72D297353CC}">
                  <c16:uniqueId val="{00000015-24E4-444D-B63C-EC200DFAA79A}"/>
                </c:ext>
              </c:extLst>
            </c:dLbl>
            <c:dLbl>
              <c:idx val="28"/>
              <c:delete val="1"/>
              <c:extLst>
                <c:ext xmlns:c15="http://schemas.microsoft.com/office/drawing/2012/chart" uri="{CE6537A1-D6FC-4f65-9D91-7224C49458BB}"/>
                <c:ext xmlns:c16="http://schemas.microsoft.com/office/drawing/2014/chart" uri="{C3380CC4-5D6E-409C-BE32-E72D297353CC}">
                  <c16:uniqueId val="{00000016-24E4-444D-B63C-EC200DFAA79A}"/>
                </c:ext>
              </c:extLst>
            </c:dLbl>
            <c:dLbl>
              <c:idx val="30"/>
              <c:delete val="1"/>
              <c:extLst>
                <c:ext xmlns:c15="http://schemas.microsoft.com/office/drawing/2012/chart" uri="{CE6537A1-D6FC-4f65-9D91-7224C49458BB}"/>
                <c:ext xmlns:c16="http://schemas.microsoft.com/office/drawing/2014/chart" uri="{C3380CC4-5D6E-409C-BE32-E72D297353CC}">
                  <c16:uniqueId val="{00000017-24E4-444D-B63C-EC200DFAA79A}"/>
                </c:ext>
              </c:extLst>
            </c:dLbl>
            <c:dLbl>
              <c:idx val="31"/>
              <c:delete val="1"/>
              <c:extLst>
                <c:ext xmlns:c15="http://schemas.microsoft.com/office/drawing/2012/chart" uri="{CE6537A1-D6FC-4f65-9D91-7224C49458BB}"/>
                <c:ext xmlns:c16="http://schemas.microsoft.com/office/drawing/2014/chart" uri="{C3380CC4-5D6E-409C-BE32-E72D297353CC}">
                  <c16:uniqueId val="{00000018-24E4-444D-B63C-EC200DFAA79A}"/>
                </c:ext>
              </c:extLst>
            </c:dLbl>
            <c:dLbl>
              <c:idx val="32"/>
              <c:delete val="1"/>
              <c:extLst>
                <c:ext xmlns:c15="http://schemas.microsoft.com/office/drawing/2012/chart" uri="{CE6537A1-D6FC-4f65-9D91-7224C49458BB}"/>
                <c:ext xmlns:c16="http://schemas.microsoft.com/office/drawing/2014/chart" uri="{C3380CC4-5D6E-409C-BE32-E72D297353CC}">
                  <c16:uniqueId val="{00000019-24E4-444D-B63C-EC200DFAA79A}"/>
                </c:ext>
              </c:extLst>
            </c:dLbl>
            <c:dLbl>
              <c:idx val="33"/>
              <c:delete val="1"/>
              <c:extLst>
                <c:ext xmlns:c15="http://schemas.microsoft.com/office/drawing/2012/chart" uri="{CE6537A1-D6FC-4f65-9D91-7224C49458BB}"/>
                <c:ext xmlns:c16="http://schemas.microsoft.com/office/drawing/2014/chart" uri="{C3380CC4-5D6E-409C-BE32-E72D297353CC}">
                  <c16:uniqueId val="{0000001A-24E4-444D-B63C-EC200DFAA79A}"/>
                </c:ext>
              </c:extLst>
            </c:dLbl>
            <c:spPr>
              <a:noFill/>
              <a:ln>
                <a:noFill/>
              </a:ln>
              <a:effectLst/>
            </c:spPr>
            <c:txPr>
              <a:bodyPr rot="0" spcFirstLastPara="1" vertOverflow="ellipsis" horzOverflow="clip" vert="horz" wrap="square" lIns="38100" tIns="19050" rIns="38100" bIns="18288"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Table'!$D$28:$D$507</c15:sqref>
                  </c15:fullRef>
                </c:ext>
              </c:extLst>
              <c:f>('Advanced Table'!$D$28:$D$62,'Advanced Table'!$D$68:$D$507)</c:f>
              <c:numCache>
                <c:formatCode>_("$"* #,##0_);_("$"* \(#,##0\);_("$"* "-"??_);_(@_)</c:formatCode>
                <c:ptCount val="35"/>
                <c:pt idx="0">
                  <c:v>2784</c:v>
                </c:pt>
                <c:pt idx="1">
                  <c:v>2881.4399999999996</c:v>
                </c:pt>
                <c:pt idx="2">
                  <c:v>2982.2903999999994</c:v>
                </c:pt>
                <c:pt idx="3">
                  <c:v>3086.6705639999991</c:v>
                </c:pt>
                <c:pt idx="4">
                  <c:v>3194.704033739999</c:v>
                </c:pt>
                <c:pt idx="5">
                  <c:v>3306.5186749208988</c:v>
                </c:pt>
                <c:pt idx="6">
                  <c:v>3422.2468285431301</c:v>
                </c:pt>
                <c:pt idx="7">
                  <c:v>3542.0254675421393</c:v>
                </c:pt>
                <c:pt idx="8">
                  <c:v>3665.996358906114</c:v>
                </c:pt>
                <c:pt idx="9">
                  <c:v>3794.3062314678277</c:v>
                </c:pt>
                <c:pt idx="10">
                  <c:v>3927.1069495692013</c:v>
                </c:pt>
                <c:pt idx="11">
                  <c:v>4064.5556928041233</c:v>
                </c:pt>
                <c:pt idx="12">
                  <c:v>4206.8151420522672</c:v>
                </c:pt>
                <c:pt idx="13">
                  <c:v>4354.0536720240962</c:v>
                </c:pt>
                <c:pt idx="14">
                  <c:v>4506.4455505449396</c:v>
                </c:pt>
                <c:pt idx="15">
                  <c:v>4664.1711448140122</c:v>
                </c:pt>
                <c:pt idx="16">
                  <c:v>4827.4171348825021</c:v>
                </c:pt>
                <c:pt idx="17">
                  <c:v>4996.3767346033892</c:v>
                </c:pt>
                <c:pt idx="18">
                  <c:v>5171.2499203145071</c:v>
                </c:pt>
                <c:pt idx="19">
                  <c:v>5352.2436675255149</c:v>
                </c:pt>
                <c:pt idx="20">
                  <c:v>5539.5721958889071</c:v>
                </c:pt>
                <c:pt idx="21">
                  <c:v>5733.457222745018</c:v>
                </c:pt>
                <c:pt idx="22">
                  <c:v>5934.1282255410933</c:v>
                </c:pt>
                <c:pt idx="23">
                  <c:v>6141.8227134350309</c:v>
                </c:pt>
                <c:pt idx="24">
                  <c:v>6356.7865084052564</c:v>
                </c:pt>
                <c:pt idx="25">
                  <c:v>6579.2740361994402</c:v>
                </c:pt>
                <c:pt idx="26">
                  <c:v>6809.5486274664199</c:v>
                </c:pt>
                <c:pt idx="27">
                  <c:v>7047.8828294277437</c:v>
                </c:pt>
                <c:pt idx="28">
                  <c:v>7294.5587284577141</c:v>
                </c:pt>
                <c:pt idx="29">
                  <c:v>7549.8682839537332</c:v>
                </c:pt>
                <c:pt idx="30">
                  <c:v>7814.1136738921132</c:v>
                </c:pt>
                <c:pt idx="31">
                  <c:v>8087.6076524783366</c:v>
                </c:pt>
                <c:pt idx="32">
                  <c:v>8370.6739203150773</c:v>
                </c:pt>
                <c:pt idx="33">
                  <c:v>8663.6475075261042</c:v>
                </c:pt>
                <c:pt idx="34">
                  <c:v>8966.875170289517</c:v>
                </c:pt>
              </c:numCache>
            </c:numRef>
          </c:val>
          <c:smooth val="0"/>
          <c:extLst>
            <c:ext xmlns:c16="http://schemas.microsoft.com/office/drawing/2014/chart" uri="{C3380CC4-5D6E-409C-BE32-E72D297353CC}">
              <c16:uniqueId val="{0000001B-24E4-444D-B63C-EC200DFAA79A}"/>
            </c:ext>
          </c:extLst>
        </c:ser>
        <c:ser>
          <c:idx val="2"/>
          <c:order val="1"/>
          <c:tx>
            <c:strRef>
              <c:f>'Advanced Table'!$L$26</c:f>
              <c:strCache>
                <c:ptCount val="1"/>
                <c:pt idx="0">
                  <c:v> NOE </c:v>
                </c:pt>
              </c:strCache>
            </c:strRef>
          </c:tx>
          <c:spPr>
            <a:ln w="28575" cap="rnd">
              <a:solidFill>
                <a:schemeClr val="accent3"/>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3A-24E4-444D-B63C-EC200DFAA79A}"/>
                </c:ext>
              </c:extLst>
            </c:dLbl>
            <c:dLbl>
              <c:idx val="2"/>
              <c:delete val="1"/>
              <c:extLst>
                <c:ext xmlns:c15="http://schemas.microsoft.com/office/drawing/2012/chart" uri="{CE6537A1-D6FC-4f65-9D91-7224C49458BB}"/>
                <c:ext xmlns:c16="http://schemas.microsoft.com/office/drawing/2014/chart" uri="{C3380CC4-5D6E-409C-BE32-E72D297353CC}">
                  <c16:uniqueId val="{00000039-24E4-444D-B63C-EC200DFAA79A}"/>
                </c:ext>
              </c:extLst>
            </c:dLbl>
            <c:dLbl>
              <c:idx val="3"/>
              <c:delete val="1"/>
              <c:extLst>
                <c:ext xmlns:c15="http://schemas.microsoft.com/office/drawing/2012/chart" uri="{CE6537A1-D6FC-4f65-9D91-7224C49458BB}"/>
                <c:ext xmlns:c16="http://schemas.microsoft.com/office/drawing/2014/chart" uri="{C3380CC4-5D6E-409C-BE32-E72D297353CC}">
                  <c16:uniqueId val="{0000003B-24E4-444D-B63C-EC200DFAA79A}"/>
                </c:ext>
              </c:extLst>
            </c:dLbl>
            <c:dLbl>
              <c:idx val="5"/>
              <c:delete val="1"/>
              <c:extLst>
                <c:ext xmlns:c15="http://schemas.microsoft.com/office/drawing/2012/chart" uri="{CE6537A1-D6FC-4f65-9D91-7224C49458BB}"/>
                <c:ext xmlns:c16="http://schemas.microsoft.com/office/drawing/2014/chart" uri="{C3380CC4-5D6E-409C-BE32-E72D297353CC}">
                  <c16:uniqueId val="{0000003C-24E4-444D-B63C-EC200DFAA79A}"/>
                </c:ext>
              </c:extLst>
            </c:dLbl>
            <c:dLbl>
              <c:idx val="6"/>
              <c:delete val="1"/>
              <c:extLst>
                <c:ext xmlns:c15="http://schemas.microsoft.com/office/drawing/2012/chart" uri="{CE6537A1-D6FC-4f65-9D91-7224C49458BB}"/>
                <c:ext xmlns:c16="http://schemas.microsoft.com/office/drawing/2014/chart" uri="{C3380CC4-5D6E-409C-BE32-E72D297353CC}">
                  <c16:uniqueId val="{0000003D-24E4-444D-B63C-EC200DFAA79A}"/>
                </c:ext>
              </c:extLst>
            </c:dLbl>
            <c:dLbl>
              <c:idx val="7"/>
              <c:delete val="1"/>
              <c:extLst>
                <c:ext xmlns:c15="http://schemas.microsoft.com/office/drawing/2012/chart" uri="{CE6537A1-D6FC-4f65-9D91-7224C49458BB}"/>
                <c:ext xmlns:c16="http://schemas.microsoft.com/office/drawing/2014/chart" uri="{C3380CC4-5D6E-409C-BE32-E72D297353CC}">
                  <c16:uniqueId val="{0000003E-24E4-444D-B63C-EC200DFAA79A}"/>
                </c:ext>
              </c:extLst>
            </c:dLbl>
            <c:dLbl>
              <c:idx val="8"/>
              <c:delete val="1"/>
              <c:extLst>
                <c:ext xmlns:c15="http://schemas.microsoft.com/office/drawing/2012/chart" uri="{CE6537A1-D6FC-4f65-9D91-7224C49458BB}"/>
                <c:ext xmlns:c16="http://schemas.microsoft.com/office/drawing/2014/chart" uri="{C3380CC4-5D6E-409C-BE32-E72D297353CC}">
                  <c16:uniqueId val="{0000003F-24E4-444D-B63C-EC200DFAA79A}"/>
                </c:ext>
              </c:extLst>
            </c:dLbl>
            <c:dLbl>
              <c:idx val="10"/>
              <c:delete val="1"/>
              <c:extLst>
                <c:ext xmlns:c15="http://schemas.microsoft.com/office/drawing/2012/chart" uri="{CE6537A1-D6FC-4f65-9D91-7224C49458BB}"/>
                <c:ext xmlns:c16="http://schemas.microsoft.com/office/drawing/2014/chart" uri="{C3380CC4-5D6E-409C-BE32-E72D297353CC}">
                  <c16:uniqueId val="{00000040-24E4-444D-B63C-EC200DFAA79A}"/>
                </c:ext>
              </c:extLst>
            </c:dLbl>
            <c:dLbl>
              <c:idx val="11"/>
              <c:delete val="1"/>
              <c:extLst>
                <c:ext xmlns:c15="http://schemas.microsoft.com/office/drawing/2012/chart" uri="{CE6537A1-D6FC-4f65-9D91-7224C49458BB}"/>
                <c:ext xmlns:c16="http://schemas.microsoft.com/office/drawing/2014/chart" uri="{C3380CC4-5D6E-409C-BE32-E72D297353CC}">
                  <c16:uniqueId val="{00000041-24E4-444D-B63C-EC200DFAA79A}"/>
                </c:ext>
              </c:extLst>
            </c:dLbl>
            <c:dLbl>
              <c:idx val="12"/>
              <c:delete val="1"/>
              <c:extLst>
                <c:ext xmlns:c15="http://schemas.microsoft.com/office/drawing/2012/chart" uri="{CE6537A1-D6FC-4f65-9D91-7224C49458BB}"/>
                <c:ext xmlns:c16="http://schemas.microsoft.com/office/drawing/2014/chart" uri="{C3380CC4-5D6E-409C-BE32-E72D297353CC}">
                  <c16:uniqueId val="{00000042-24E4-444D-B63C-EC200DFAA79A}"/>
                </c:ext>
              </c:extLst>
            </c:dLbl>
            <c:dLbl>
              <c:idx val="13"/>
              <c:delete val="1"/>
              <c:extLst>
                <c:ext xmlns:c15="http://schemas.microsoft.com/office/drawing/2012/chart" uri="{CE6537A1-D6FC-4f65-9D91-7224C49458BB}"/>
                <c:ext xmlns:c16="http://schemas.microsoft.com/office/drawing/2014/chart" uri="{C3380CC4-5D6E-409C-BE32-E72D297353CC}">
                  <c16:uniqueId val="{00000044-24E4-444D-B63C-EC200DFAA79A}"/>
                </c:ext>
              </c:extLst>
            </c:dLbl>
            <c:dLbl>
              <c:idx val="15"/>
              <c:delete val="1"/>
              <c:extLst>
                <c:ext xmlns:c15="http://schemas.microsoft.com/office/drawing/2012/chart" uri="{CE6537A1-D6FC-4f65-9D91-7224C49458BB}"/>
                <c:ext xmlns:c16="http://schemas.microsoft.com/office/drawing/2014/chart" uri="{C3380CC4-5D6E-409C-BE32-E72D297353CC}">
                  <c16:uniqueId val="{00000045-24E4-444D-B63C-EC200DFAA79A}"/>
                </c:ext>
              </c:extLst>
            </c:dLbl>
            <c:dLbl>
              <c:idx val="16"/>
              <c:delete val="1"/>
              <c:extLst>
                <c:ext xmlns:c15="http://schemas.microsoft.com/office/drawing/2012/chart" uri="{CE6537A1-D6FC-4f65-9D91-7224C49458BB}"/>
                <c:ext xmlns:c16="http://schemas.microsoft.com/office/drawing/2014/chart" uri="{C3380CC4-5D6E-409C-BE32-E72D297353CC}">
                  <c16:uniqueId val="{00000046-24E4-444D-B63C-EC200DFAA79A}"/>
                </c:ext>
              </c:extLst>
            </c:dLbl>
            <c:dLbl>
              <c:idx val="17"/>
              <c:delete val="1"/>
              <c:extLst>
                <c:ext xmlns:c15="http://schemas.microsoft.com/office/drawing/2012/chart" uri="{CE6537A1-D6FC-4f65-9D91-7224C49458BB}"/>
                <c:ext xmlns:c16="http://schemas.microsoft.com/office/drawing/2014/chart" uri="{C3380CC4-5D6E-409C-BE32-E72D297353CC}">
                  <c16:uniqueId val="{00000047-24E4-444D-B63C-EC200DFAA79A}"/>
                </c:ext>
              </c:extLst>
            </c:dLbl>
            <c:dLbl>
              <c:idx val="18"/>
              <c:delete val="1"/>
              <c:extLst>
                <c:ext xmlns:c15="http://schemas.microsoft.com/office/drawing/2012/chart" uri="{CE6537A1-D6FC-4f65-9D91-7224C49458BB}"/>
                <c:ext xmlns:c16="http://schemas.microsoft.com/office/drawing/2014/chart" uri="{C3380CC4-5D6E-409C-BE32-E72D297353CC}">
                  <c16:uniqueId val="{00000048-24E4-444D-B63C-EC200DFAA79A}"/>
                </c:ext>
              </c:extLst>
            </c:dLbl>
            <c:dLbl>
              <c:idx val="20"/>
              <c:delete val="1"/>
              <c:extLst>
                <c:ext xmlns:c15="http://schemas.microsoft.com/office/drawing/2012/chart" uri="{CE6537A1-D6FC-4f65-9D91-7224C49458BB}"/>
                <c:ext xmlns:c16="http://schemas.microsoft.com/office/drawing/2014/chart" uri="{C3380CC4-5D6E-409C-BE32-E72D297353CC}">
                  <c16:uniqueId val="{00000049-24E4-444D-B63C-EC200DFAA79A}"/>
                </c:ext>
              </c:extLst>
            </c:dLbl>
            <c:dLbl>
              <c:idx val="21"/>
              <c:delete val="1"/>
              <c:extLst>
                <c:ext xmlns:c15="http://schemas.microsoft.com/office/drawing/2012/chart" uri="{CE6537A1-D6FC-4f65-9D91-7224C49458BB}"/>
                <c:ext xmlns:c16="http://schemas.microsoft.com/office/drawing/2014/chart" uri="{C3380CC4-5D6E-409C-BE32-E72D297353CC}">
                  <c16:uniqueId val="{0000004A-24E4-444D-B63C-EC200DFAA79A}"/>
                </c:ext>
              </c:extLst>
            </c:dLbl>
            <c:dLbl>
              <c:idx val="22"/>
              <c:delete val="1"/>
              <c:extLst>
                <c:ext xmlns:c15="http://schemas.microsoft.com/office/drawing/2012/chart" uri="{CE6537A1-D6FC-4f65-9D91-7224C49458BB}"/>
                <c:ext xmlns:c16="http://schemas.microsoft.com/office/drawing/2014/chart" uri="{C3380CC4-5D6E-409C-BE32-E72D297353CC}">
                  <c16:uniqueId val="{0000004B-24E4-444D-B63C-EC200DFAA79A}"/>
                </c:ext>
              </c:extLst>
            </c:dLbl>
            <c:dLbl>
              <c:idx val="23"/>
              <c:delete val="1"/>
              <c:extLst>
                <c:ext xmlns:c15="http://schemas.microsoft.com/office/drawing/2012/chart" uri="{CE6537A1-D6FC-4f65-9D91-7224C49458BB}"/>
                <c:ext xmlns:c16="http://schemas.microsoft.com/office/drawing/2014/chart" uri="{C3380CC4-5D6E-409C-BE32-E72D297353CC}">
                  <c16:uniqueId val="{0000004C-24E4-444D-B63C-EC200DFAA79A}"/>
                </c:ext>
              </c:extLst>
            </c:dLbl>
            <c:dLbl>
              <c:idx val="25"/>
              <c:delete val="1"/>
              <c:extLst>
                <c:ext xmlns:c15="http://schemas.microsoft.com/office/drawing/2012/chart" uri="{CE6537A1-D6FC-4f65-9D91-7224C49458BB}"/>
                <c:ext xmlns:c16="http://schemas.microsoft.com/office/drawing/2014/chart" uri="{C3380CC4-5D6E-409C-BE32-E72D297353CC}">
                  <c16:uniqueId val="{0000004D-24E4-444D-B63C-EC200DFAA79A}"/>
                </c:ext>
              </c:extLst>
            </c:dLbl>
            <c:dLbl>
              <c:idx val="26"/>
              <c:delete val="1"/>
              <c:extLst>
                <c:ext xmlns:c15="http://schemas.microsoft.com/office/drawing/2012/chart" uri="{CE6537A1-D6FC-4f65-9D91-7224C49458BB}"/>
                <c:ext xmlns:c16="http://schemas.microsoft.com/office/drawing/2014/chart" uri="{C3380CC4-5D6E-409C-BE32-E72D297353CC}">
                  <c16:uniqueId val="{0000004E-24E4-444D-B63C-EC200DFAA79A}"/>
                </c:ext>
              </c:extLst>
            </c:dLbl>
            <c:dLbl>
              <c:idx val="27"/>
              <c:delete val="1"/>
              <c:extLst>
                <c:ext xmlns:c15="http://schemas.microsoft.com/office/drawing/2012/chart" uri="{CE6537A1-D6FC-4f65-9D91-7224C49458BB}"/>
                <c:ext xmlns:c16="http://schemas.microsoft.com/office/drawing/2014/chart" uri="{C3380CC4-5D6E-409C-BE32-E72D297353CC}">
                  <c16:uniqueId val="{0000004F-24E4-444D-B63C-EC200DFAA79A}"/>
                </c:ext>
              </c:extLst>
            </c:dLbl>
            <c:dLbl>
              <c:idx val="28"/>
              <c:delete val="1"/>
              <c:extLst>
                <c:ext xmlns:c15="http://schemas.microsoft.com/office/drawing/2012/chart" uri="{CE6537A1-D6FC-4f65-9D91-7224C49458BB}"/>
                <c:ext xmlns:c16="http://schemas.microsoft.com/office/drawing/2014/chart" uri="{C3380CC4-5D6E-409C-BE32-E72D297353CC}">
                  <c16:uniqueId val="{00000050-24E4-444D-B63C-EC200DFAA79A}"/>
                </c:ext>
              </c:extLst>
            </c:dLbl>
            <c:dLbl>
              <c:idx val="30"/>
              <c:delete val="1"/>
              <c:extLst>
                <c:ext xmlns:c15="http://schemas.microsoft.com/office/drawing/2012/chart" uri="{CE6537A1-D6FC-4f65-9D91-7224C49458BB}"/>
                <c:ext xmlns:c16="http://schemas.microsoft.com/office/drawing/2014/chart" uri="{C3380CC4-5D6E-409C-BE32-E72D297353CC}">
                  <c16:uniqueId val="{00000052-24E4-444D-B63C-EC200DFAA79A}"/>
                </c:ext>
              </c:extLst>
            </c:dLbl>
            <c:dLbl>
              <c:idx val="31"/>
              <c:delete val="1"/>
              <c:extLst>
                <c:ext xmlns:c15="http://schemas.microsoft.com/office/drawing/2012/chart" uri="{CE6537A1-D6FC-4f65-9D91-7224C49458BB}"/>
                <c:ext xmlns:c16="http://schemas.microsoft.com/office/drawing/2014/chart" uri="{C3380CC4-5D6E-409C-BE32-E72D297353CC}">
                  <c16:uniqueId val="{00000051-24E4-444D-B63C-EC200DFAA79A}"/>
                </c:ext>
              </c:extLst>
            </c:dLbl>
            <c:dLbl>
              <c:idx val="32"/>
              <c:delete val="1"/>
              <c:extLst>
                <c:ext xmlns:c15="http://schemas.microsoft.com/office/drawing/2012/chart" uri="{CE6537A1-D6FC-4f65-9D91-7224C49458BB}"/>
                <c:ext xmlns:c16="http://schemas.microsoft.com/office/drawing/2014/chart" uri="{C3380CC4-5D6E-409C-BE32-E72D297353CC}">
                  <c16:uniqueId val="{00000053-24E4-444D-B63C-EC200DFAA79A}"/>
                </c:ext>
              </c:extLst>
            </c:dLbl>
            <c:dLbl>
              <c:idx val="33"/>
              <c:delete val="1"/>
              <c:extLst>
                <c:ext xmlns:c15="http://schemas.microsoft.com/office/drawing/2012/chart" uri="{CE6537A1-D6FC-4f65-9D91-7224C49458BB}"/>
                <c:ext xmlns:c16="http://schemas.microsoft.com/office/drawing/2014/chart" uri="{C3380CC4-5D6E-409C-BE32-E72D297353CC}">
                  <c16:uniqueId val="{00000054-24E4-444D-B63C-EC200DFAA7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Table'!$L$39:$L$507</c15:sqref>
                  </c15:fullRef>
                </c:ext>
              </c:extLst>
              <c:f>('Advanced Table'!$L$39:$L$73,'Advanced Table'!$L$79:$L$507)</c:f>
              <c:numCache>
                <c:formatCode>_("$"* #,##0_);_("$"* \(#,##0\);_("$"* "-"??_);_(@_)</c:formatCode>
                <c:ptCount val="35"/>
                <c:pt idx="0">
                  <c:v>507.16666666666663</c:v>
                </c:pt>
                <c:pt idx="1">
                  <c:v>524.9174999999999</c:v>
                </c:pt>
                <c:pt idx="2">
                  <c:v>543.28961249999998</c:v>
                </c:pt>
                <c:pt idx="3">
                  <c:v>562.30474893749988</c:v>
                </c:pt>
                <c:pt idx="4">
                  <c:v>581.98541515031229</c:v>
                </c:pt>
                <c:pt idx="5">
                  <c:v>602.35490468057321</c:v>
                </c:pt>
                <c:pt idx="6">
                  <c:v>623.43732634439323</c:v>
                </c:pt>
                <c:pt idx="7">
                  <c:v>645.25763276644693</c:v>
                </c:pt>
                <c:pt idx="8">
                  <c:v>667.84164991327248</c:v>
                </c:pt>
                <c:pt idx="9">
                  <c:v>691.21610766023696</c:v>
                </c:pt>
                <c:pt idx="10">
                  <c:v>715.4086714283452</c:v>
                </c:pt>
                <c:pt idx="11">
                  <c:v>740.4479749283372</c:v>
                </c:pt>
                <c:pt idx="12">
                  <c:v>766.36365405082893</c:v>
                </c:pt>
                <c:pt idx="13">
                  <c:v>793.1863819426078</c:v>
                </c:pt>
                <c:pt idx="14">
                  <c:v>820.94790531059903</c:v>
                </c:pt>
                <c:pt idx="15">
                  <c:v>849.68108199646997</c:v>
                </c:pt>
                <c:pt idx="16">
                  <c:v>879.41991986634639</c:v>
                </c:pt>
                <c:pt idx="17">
                  <c:v>910.19961706166828</c:v>
                </c:pt>
                <c:pt idx="18">
                  <c:v>942.05660365882659</c:v>
                </c:pt>
                <c:pt idx="19">
                  <c:v>975.02858478688552</c:v>
                </c:pt>
                <c:pt idx="20">
                  <c:v>1009.1545852544264</c:v>
                </c:pt>
                <c:pt idx="21">
                  <c:v>1044.4749957383312</c:v>
                </c:pt>
                <c:pt idx="22">
                  <c:v>1081.0316205891727</c:v>
                </c:pt>
                <c:pt idx="23">
                  <c:v>1118.8677273097937</c:v>
                </c:pt>
                <c:pt idx="24">
                  <c:v>1158.0280977656364</c:v>
                </c:pt>
                <c:pt idx="25">
                  <c:v>1198.5590811874335</c:v>
                </c:pt>
                <c:pt idx="26">
                  <c:v>1240.5086490289937</c:v>
                </c:pt>
                <c:pt idx="27">
                  <c:v>1283.9264517450083</c:v>
                </c:pt>
                <c:pt idx="28">
                  <c:v>1328.8638775560835</c:v>
                </c:pt>
                <c:pt idx="29">
                  <c:v>1375.3741132705463</c:v>
                </c:pt>
                <c:pt idx="30">
                  <c:v>1423.5122072350155</c:v>
                </c:pt>
                <c:pt idx="31">
                  <c:v>1473.3351344882408</c:v>
                </c:pt>
                <c:pt idx="32">
                  <c:v>1524.9018641953292</c:v>
                </c:pt>
                <c:pt idx="33">
                  <c:v>1578.2734294421657</c:v>
                </c:pt>
                <c:pt idx="34">
                  <c:v>1633.5129994726412</c:v>
                </c:pt>
              </c:numCache>
            </c:numRef>
          </c:val>
          <c:smooth val="0"/>
          <c:extLst>
            <c:ext xmlns:c16="http://schemas.microsoft.com/office/drawing/2014/chart" uri="{C3380CC4-5D6E-409C-BE32-E72D297353CC}">
              <c16:uniqueId val="{00000038-24E4-444D-B63C-EC200DFAA79A}"/>
            </c:ext>
          </c:extLst>
        </c:ser>
        <c:dLbls>
          <c:dLblPos val="t"/>
          <c:showLegendKey val="0"/>
          <c:showVal val="1"/>
          <c:showCatName val="0"/>
          <c:showSerName val="0"/>
          <c:showPercent val="0"/>
          <c:showBubbleSize val="0"/>
        </c:dLbls>
        <c:smooth val="0"/>
        <c:axId val="185158287"/>
        <c:axId val="418832095"/>
      </c:lineChart>
      <c:catAx>
        <c:axId val="18515828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2095"/>
        <c:crosses val="autoZero"/>
        <c:auto val="1"/>
        <c:lblAlgn val="ctr"/>
        <c:lblOffset val="100"/>
        <c:noMultiLvlLbl val="0"/>
      </c:catAx>
      <c:valAx>
        <c:axId val="41883209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5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800" b="1">
                <a:latin typeface="Garamond" panose="02020404030301010803" pitchFamily="18" charset="0"/>
              </a:rPr>
              <a:t>Projected Revenue</a:t>
            </a:r>
            <a:r>
              <a:rPr lang="en-US" sz="2800" b="1" baseline="0">
                <a:latin typeface="Garamond" panose="02020404030301010803" pitchFamily="18" charset="0"/>
              </a:rPr>
              <a:t>, Expenses, &amp; Debt Service</a:t>
            </a:r>
            <a:endParaRPr lang="en-US" sz="2800" b="1">
              <a:latin typeface="Garamond" panose="02020404030301010803" pitchFamily="18" charset="0"/>
            </a:endParaRPr>
          </a:p>
        </c:rich>
      </c:tx>
      <c:overlay val="0"/>
      <c:spPr>
        <a:noFill/>
        <a:ln>
          <a:noFill/>
        </a:ln>
        <a:effectLst/>
      </c:spPr>
    </c:title>
    <c:autoTitleDeleted val="0"/>
    <c:plotArea>
      <c:layout>
        <c:manualLayout>
          <c:layoutTarget val="inner"/>
          <c:xMode val="edge"/>
          <c:yMode val="edge"/>
          <c:x val="4.6593322842098016E-2"/>
          <c:y val="8.3221253567575176E-2"/>
          <c:w val="0.94399849409806902"/>
          <c:h val="0.82775957900828712"/>
        </c:manualLayout>
      </c:layout>
      <c:lineChart>
        <c:grouping val="standard"/>
        <c:varyColors val="0"/>
        <c:ser>
          <c:idx val="0"/>
          <c:order val="0"/>
          <c:tx>
            <c:v>Revenue</c:v>
          </c:tx>
          <c:spPr>
            <a:ln w="28575" cap="rnd">
              <a:solidFill>
                <a:srgbClr val="172C5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7-FE2E-4BC4-B737-26B94DAF9D12}"/>
                </c:ext>
              </c:extLst>
            </c:dLbl>
            <c:dLbl>
              <c:idx val="2"/>
              <c:delete val="1"/>
              <c:extLst>
                <c:ext xmlns:c15="http://schemas.microsoft.com/office/drawing/2012/chart" uri="{CE6537A1-D6FC-4f65-9D91-7224C49458BB}"/>
                <c:ext xmlns:c16="http://schemas.microsoft.com/office/drawing/2014/chart" uri="{C3380CC4-5D6E-409C-BE32-E72D297353CC}">
                  <c16:uniqueId val="{00000005-FE2E-4BC4-B737-26B94DAF9D12}"/>
                </c:ext>
              </c:extLst>
            </c:dLbl>
            <c:dLbl>
              <c:idx val="3"/>
              <c:delete val="1"/>
              <c:extLst>
                <c:ext xmlns:c15="http://schemas.microsoft.com/office/drawing/2012/chart" uri="{CE6537A1-D6FC-4f65-9D91-7224C49458BB}"/>
                <c:ext xmlns:c16="http://schemas.microsoft.com/office/drawing/2014/chart" uri="{C3380CC4-5D6E-409C-BE32-E72D297353CC}">
                  <c16:uniqueId val="{00000004-FE2E-4BC4-B737-26B94DAF9D12}"/>
                </c:ext>
              </c:extLst>
            </c:dLbl>
            <c:dLbl>
              <c:idx val="5"/>
              <c:delete val="1"/>
              <c:extLst>
                <c:ext xmlns:c15="http://schemas.microsoft.com/office/drawing/2012/chart" uri="{CE6537A1-D6FC-4f65-9D91-7224C49458BB}"/>
                <c:ext xmlns:c16="http://schemas.microsoft.com/office/drawing/2014/chart" uri="{C3380CC4-5D6E-409C-BE32-E72D297353CC}">
                  <c16:uniqueId val="{00000020-FE2E-4BC4-B737-26B94DAF9D12}"/>
                </c:ext>
              </c:extLst>
            </c:dLbl>
            <c:dLbl>
              <c:idx val="6"/>
              <c:delete val="1"/>
              <c:extLst>
                <c:ext xmlns:c15="http://schemas.microsoft.com/office/drawing/2012/chart" uri="{CE6537A1-D6FC-4f65-9D91-7224C49458BB}"/>
                <c:ext xmlns:c16="http://schemas.microsoft.com/office/drawing/2014/chart" uri="{C3380CC4-5D6E-409C-BE32-E72D297353CC}">
                  <c16:uniqueId val="{00000021-FE2E-4BC4-B737-26B94DAF9D12}"/>
                </c:ext>
              </c:extLst>
            </c:dLbl>
            <c:dLbl>
              <c:idx val="7"/>
              <c:delete val="1"/>
              <c:extLst>
                <c:ext xmlns:c15="http://schemas.microsoft.com/office/drawing/2012/chart" uri="{CE6537A1-D6FC-4f65-9D91-7224C49458BB}"/>
                <c:ext xmlns:c16="http://schemas.microsoft.com/office/drawing/2014/chart" uri="{C3380CC4-5D6E-409C-BE32-E72D297353CC}">
                  <c16:uniqueId val="{00000022-FE2E-4BC4-B737-26B94DAF9D12}"/>
                </c:ext>
              </c:extLst>
            </c:dLbl>
            <c:dLbl>
              <c:idx val="8"/>
              <c:delete val="1"/>
              <c:extLst>
                <c:ext xmlns:c15="http://schemas.microsoft.com/office/drawing/2012/chart" uri="{CE6537A1-D6FC-4f65-9D91-7224C49458BB}"/>
                <c:ext xmlns:c16="http://schemas.microsoft.com/office/drawing/2014/chart" uri="{C3380CC4-5D6E-409C-BE32-E72D297353CC}">
                  <c16:uniqueId val="{00000023-FE2E-4BC4-B737-26B94DAF9D12}"/>
                </c:ext>
              </c:extLst>
            </c:dLbl>
            <c:dLbl>
              <c:idx val="10"/>
              <c:delete val="1"/>
              <c:extLst>
                <c:ext xmlns:c15="http://schemas.microsoft.com/office/drawing/2012/chart" uri="{CE6537A1-D6FC-4f65-9D91-7224C49458BB}"/>
                <c:ext xmlns:c16="http://schemas.microsoft.com/office/drawing/2014/chart" uri="{C3380CC4-5D6E-409C-BE32-E72D297353CC}">
                  <c16:uniqueId val="{00000024-FE2E-4BC4-B737-26B94DAF9D12}"/>
                </c:ext>
              </c:extLst>
            </c:dLbl>
            <c:dLbl>
              <c:idx val="11"/>
              <c:delete val="1"/>
              <c:extLst>
                <c:ext xmlns:c15="http://schemas.microsoft.com/office/drawing/2012/chart" uri="{CE6537A1-D6FC-4f65-9D91-7224C49458BB}"/>
                <c:ext xmlns:c16="http://schemas.microsoft.com/office/drawing/2014/chart" uri="{C3380CC4-5D6E-409C-BE32-E72D297353CC}">
                  <c16:uniqueId val="{00000026-FE2E-4BC4-B737-26B94DAF9D12}"/>
                </c:ext>
              </c:extLst>
            </c:dLbl>
            <c:dLbl>
              <c:idx val="12"/>
              <c:delete val="1"/>
              <c:extLst>
                <c:ext xmlns:c15="http://schemas.microsoft.com/office/drawing/2012/chart" uri="{CE6537A1-D6FC-4f65-9D91-7224C49458BB}"/>
                <c:ext xmlns:c16="http://schemas.microsoft.com/office/drawing/2014/chart" uri="{C3380CC4-5D6E-409C-BE32-E72D297353CC}">
                  <c16:uniqueId val="{00000025-FE2E-4BC4-B737-26B94DAF9D12}"/>
                </c:ext>
              </c:extLst>
            </c:dLbl>
            <c:dLbl>
              <c:idx val="13"/>
              <c:delete val="1"/>
              <c:extLst>
                <c:ext xmlns:c15="http://schemas.microsoft.com/office/drawing/2012/chart" uri="{CE6537A1-D6FC-4f65-9D91-7224C49458BB}"/>
                <c:ext xmlns:c16="http://schemas.microsoft.com/office/drawing/2014/chart" uri="{C3380CC4-5D6E-409C-BE32-E72D297353CC}">
                  <c16:uniqueId val="{00000027-FE2E-4BC4-B737-26B94DAF9D12}"/>
                </c:ext>
              </c:extLst>
            </c:dLbl>
            <c:dLbl>
              <c:idx val="15"/>
              <c:delete val="1"/>
              <c:extLst>
                <c:ext xmlns:c15="http://schemas.microsoft.com/office/drawing/2012/chart" uri="{CE6537A1-D6FC-4f65-9D91-7224C49458BB}"/>
                <c:ext xmlns:c16="http://schemas.microsoft.com/office/drawing/2014/chart" uri="{C3380CC4-5D6E-409C-BE32-E72D297353CC}">
                  <c16:uniqueId val="{00000029-FE2E-4BC4-B737-26B94DAF9D12}"/>
                </c:ext>
              </c:extLst>
            </c:dLbl>
            <c:dLbl>
              <c:idx val="16"/>
              <c:delete val="1"/>
              <c:extLst>
                <c:ext xmlns:c15="http://schemas.microsoft.com/office/drawing/2012/chart" uri="{CE6537A1-D6FC-4f65-9D91-7224C49458BB}"/>
                <c:ext xmlns:c16="http://schemas.microsoft.com/office/drawing/2014/chart" uri="{C3380CC4-5D6E-409C-BE32-E72D297353CC}">
                  <c16:uniqueId val="{00000028-FE2E-4BC4-B737-26B94DAF9D12}"/>
                </c:ext>
              </c:extLst>
            </c:dLbl>
            <c:dLbl>
              <c:idx val="17"/>
              <c:delete val="1"/>
              <c:extLst>
                <c:ext xmlns:c15="http://schemas.microsoft.com/office/drawing/2012/chart" uri="{CE6537A1-D6FC-4f65-9D91-7224C49458BB}"/>
                <c:ext xmlns:c16="http://schemas.microsoft.com/office/drawing/2014/chart" uri="{C3380CC4-5D6E-409C-BE32-E72D297353CC}">
                  <c16:uniqueId val="{0000002A-FE2E-4BC4-B737-26B94DAF9D12}"/>
                </c:ext>
              </c:extLst>
            </c:dLbl>
            <c:dLbl>
              <c:idx val="18"/>
              <c:delete val="1"/>
              <c:extLst>
                <c:ext xmlns:c15="http://schemas.microsoft.com/office/drawing/2012/chart" uri="{CE6537A1-D6FC-4f65-9D91-7224C49458BB}"/>
                <c:ext xmlns:c16="http://schemas.microsoft.com/office/drawing/2014/chart" uri="{C3380CC4-5D6E-409C-BE32-E72D297353CC}">
                  <c16:uniqueId val="{0000002B-FE2E-4BC4-B737-26B94DAF9D12}"/>
                </c:ext>
              </c:extLst>
            </c:dLbl>
            <c:dLbl>
              <c:idx val="20"/>
              <c:delete val="1"/>
              <c:extLst>
                <c:ext xmlns:c15="http://schemas.microsoft.com/office/drawing/2012/chart" uri="{CE6537A1-D6FC-4f65-9D91-7224C49458BB}"/>
                <c:ext xmlns:c16="http://schemas.microsoft.com/office/drawing/2014/chart" uri="{C3380CC4-5D6E-409C-BE32-E72D297353CC}">
                  <c16:uniqueId val="{0000002C-FE2E-4BC4-B737-26B94DAF9D12}"/>
                </c:ext>
              </c:extLst>
            </c:dLbl>
            <c:dLbl>
              <c:idx val="21"/>
              <c:delete val="1"/>
              <c:extLst>
                <c:ext xmlns:c15="http://schemas.microsoft.com/office/drawing/2012/chart" uri="{CE6537A1-D6FC-4f65-9D91-7224C49458BB}"/>
                <c:ext xmlns:c16="http://schemas.microsoft.com/office/drawing/2014/chart" uri="{C3380CC4-5D6E-409C-BE32-E72D297353CC}">
                  <c16:uniqueId val="{0000002D-FE2E-4BC4-B737-26B94DAF9D12}"/>
                </c:ext>
              </c:extLst>
            </c:dLbl>
            <c:dLbl>
              <c:idx val="22"/>
              <c:delete val="1"/>
              <c:extLst>
                <c:ext xmlns:c15="http://schemas.microsoft.com/office/drawing/2012/chart" uri="{CE6537A1-D6FC-4f65-9D91-7224C49458BB}"/>
                <c:ext xmlns:c16="http://schemas.microsoft.com/office/drawing/2014/chart" uri="{C3380CC4-5D6E-409C-BE32-E72D297353CC}">
                  <c16:uniqueId val="{0000002E-FE2E-4BC4-B737-26B94DAF9D12}"/>
                </c:ext>
              </c:extLst>
            </c:dLbl>
            <c:dLbl>
              <c:idx val="23"/>
              <c:delete val="1"/>
              <c:extLst>
                <c:ext xmlns:c15="http://schemas.microsoft.com/office/drawing/2012/chart" uri="{CE6537A1-D6FC-4f65-9D91-7224C49458BB}"/>
                <c:ext xmlns:c16="http://schemas.microsoft.com/office/drawing/2014/chart" uri="{C3380CC4-5D6E-409C-BE32-E72D297353CC}">
                  <c16:uniqueId val="{0000002F-FE2E-4BC4-B737-26B94DAF9D12}"/>
                </c:ext>
              </c:extLst>
            </c:dLbl>
            <c:dLbl>
              <c:idx val="25"/>
              <c:delete val="1"/>
              <c:extLst>
                <c:ext xmlns:c15="http://schemas.microsoft.com/office/drawing/2012/chart" uri="{CE6537A1-D6FC-4f65-9D91-7224C49458BB}"/>
                <c:ext xmlns:c16="http://schemas.microsoft.com/office/drawing/2014/chart" uri="{C3380CC4-5D6E-409C-BE32-E72D297353CC}">
                  <c16:uniqueId val="{00000030-FE2E-4BC4-B737-26B94DAF9D12}"/>
                </c:ext>
              </c:extLst>
            </c:dLbl>
            <c:dLbl>
              <c:idx val="26"/>
              <c:delete val="1"/>
              <c:extLst>
                <c:ext xmlns:c15="http://schemas.microsoft.com/office/drawing/2012/chart" uri="{CE6537A1-D6FC-4f65-9D91-7224C49458BB}"/>
                <c:ext xmlns:c16="http://schemas.microsoft.com/office/drawing/2014/chart" uri="{C3380CC4-5D6E-409C-BE32-E72D297353CC}">
                  <c16:uniqueId val="{00000031-FE2E-4BC4-B737-26B94DAF9D12}"/>
                </c:ext>
              </c:extLst>
            </c:dLbl>
            <c:dLbl>
              <c:idx val="27"/>
              <c:delete val="1"/>
              <c:extLst>
                <c:ext xmlns:c15="http://schemas.microsoft.com/office/drawing/2012/chart" uri="{CE6537A1-D6FC-4f65-9D91-7224C49458BB}"/>
                <c:ext xmlns:c16="http://schemas.microsoft.com/office/drawing/2014/chart" uri="{C3380CC4-5D6E-409C-BE32-E72D297353CC}">
                  <c16:uniqueId val="{00000032-FE2E-4BC4-B737-26B94DAF9D12}"/>
                </c:ext>
              </c:extLst>
            </c:dLbl>
            <c:dLbl>
              <c:idx val="28"/>
              <c:delete val="1"/>
              <c:extLst>
                <c:ext xmlns:c15="http://schemas.microsoft.com/office/drawing/2012/chart" uri="{CE6537A1-D6FC-4f65-9D91-7224C49458BB}"/>
                <c:ext xmlns:c16="http://schemas.microsoft.com/office/drawing/2014/chart" uri="{C3380CC4-5D6E-409C-BE32-E72D297353CC}">
                  <c16:uniqueId val="{00000033-FE2E-4BC4-B737-26B94DAF9D12}"/>
                </c:ext>
              </c:extLst>
            </c:dLbl>
            <c:dLbl>
              <c:idx val="30"/>
              <c:delete val="1"/>
              <c:extLst>
                <c:ext xmlns:c15="http://schemas.microsoft.com/office/drawing/2012/chart" uri="{CE6537A1-D6FC-4f65-9D91-7224C49458BB}"/>
                <c:ext xmlns:c16="http://schemas.microsoft.com/office/drawing/2014/chart" uri="{C3380CC4-5D6E-409C-BE32-E72D297353CC}">
                  <c16:uniqueId val="{00000034-FE2E-4BC4-B737-26B94DAF9D12}"/>
                </c:ext>
              </c:extLst>
            </c:dLbl>
            <c:dLbl>
              <c:idx val="31"/>
              <c:delete val="1"/>
              <c:extLst>
                <c:ext xmlns:c15="http://schemas.microsoft.com/office/drawing/2012/chart" uri="{CE6537A1-D6FC-4f65-9D91-7224C49458BB}"/>
                <c:ext xmlns:c16="http://schemas.microsoft.com/office/drawing/2014/chart" uri="{C3380CC4-5D6E-409C-BE32-E72D297353CC}">
                  <c16:uniqueId val="{00000035-FE2E-4BC4-B737-26B94DAF9D12}"/>
                </c:ext>
              </c:extLst>
            </c:dLbl>
            <c:dLbl>
              <c:idx val="32"/>
              <c:delete val="1"/>
              <c:extLst>
                <c:ext xmlns:c15="http://schemas.microsoft.com/office/drawing/2012/chart" uri="{CE6537A1-D6FC-4f65-9D91-7224C49458BB}"/>
                <c:ext xmlns:c16="http://schemas.microsoft.com/office/drawing/2014/chart" uri="{C3380CC4-5D6E-409C-BE32-E72D297353CC}">
                  <c16:uniqueId val="{00000036-FE2E-4BC4-B737-26B94DAF9D12}"/>
                </c:ext>
              </c:extLst>
            </c:dLbl>
            <c:dLbl>
              <c:idx val="33"/>
              <c:delete val="1"/>
              <c:extLst>
                <c:ext xmlns:c15="http://schemas.microsoft.com/office/drawing/2012/chart" uri="{CE6537A1-D6FC-4f65-9D91-7224C49458BB}"/>
                <c:ext xmlns:c16="http://schemas.microsoft.com/office/drawing/2014/chart" uri="{C3380CC4-5D6E-409C-BE32-E72D297353CC}">
                  <c16:uniqueId val="{00000037-FE2E-4BC4-B737-26B94DAF9D12}"/>
                </c:ext>
              </c:extLst>
            </c:dLbl>
            <c:spPr>
              <a:noFill/>
              <a:ln>
                <a:noFill/>
              </a:ln>
              <a:effectLst/>
            </c:spPr>
            <c:txPr>
              <a:bodyPr rot="0" spcFirstLastPara="1" vertOverflow="ellipsis" vert="horz" wrap="square" lIns="38100" tIns="19050" rIns="38100" bIns="18288"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Table'!$D$28:$D$507</c15:sqref>
                  </c15:fullRef>
                </c:ext>
              </c:extLst>
              <c:f>('Advanced Table'!$D$28:$D$62,'Advanced Table'!$D$68:$D$507)</c:f>
              <c:numCache>
                <c:formatCode>_("$"* #,##0_);_("$"* \(#,##0\);_("$"* "-"??_);_(@_)</c:formatCode>
                <c:ptCount val="35"/>
                <c:pt idx="0">
                  <c:v>2784</c:v>
                </c:pt>
                <c:pt idx="1">
                  <c:v>2881.4399999999996</c:v>
                </c:pt>
                <c:pt idx="2">
                  <c:v>2982.2903999999994</c:v>
                </c:pt>
                <c:pt idx="3">
                  <c:v>3086.6705639999991</c:v>
                </c:pt>
                <c:pt idx="4">
                  <c:v>3194.704033739999</c:v>
                </c:pt>
                <c:pt idx="5">
                  <c:v>3306.5186749208988</c:v>
                </c:pt>
                <c:pt idx="6">
                  <c:v>3422.2468285431301</c:v>
                </c:pt>
                <c:pt idx="7">
                  <c:v>3542.0254675421393</c:v>
                </c:pt>
                <c:pt idx="8">
                  <c:v>3665.996358906114</c:v>
                </c:pt>
                <c:pt idx="9">
                  <c:v>3794.3062314678277</c:v>
                </c:pt>
                <c:pt idx="10">
                  <c:v>3927.1069495692013</c:v>
                </c:pt>
                <c:pt idx="11">
                  <c:v>4064.5556928041233</c:v>
                </c:pt>
                <c:pt idx="12">
                  <c:v>4206.8151420522672</c:v>
                </c:pt>
                <c:pt idx="13">
                  <c:v>4354.0536720240962</c:v>
                </c:pt>
                <c:pt idx="14">
                  <c:v>4506.4455505449396</c:v>
                </c:pt>
                <c:pt idx="15">
                  <c:v>4664.1711448140122</c:v>
                </c:pt>
                <c:pt idx="16">
                  <c:v>4827.4171348825021</c:v>
                </c:pt>
                <c:pt idx="17">
                  <c:v>4996.3767346033892</c:v>
                </c:pt>
                <c:pt idx="18">
                  <c:v>5171.2499203145071</c:v>
                </c:pt>
                <c:pt idx="19">
                  <c:v>5352.2436675255149</c:v>
                </c:pt>
                <c:pt idx="20">
                  <c:v>5539.5721958889071</c:v>
                </c:pt>
                <c:pt idx="21">
                  <c:v>5733.457222745018</c:v>
                </c:pt>
                <c:pt idx="22">
                  <c:v>5934.1282255410933</c:v>
                </c:pt>
                <c:pt idx="23">
                  <c:v>6141.8227134350309</c:v>
                </c:pt>
                <c:pt idx="24">
                  <c:v>6356.7865084052564</c:v>
                </c:pt>
                <c:pt idx="25">
                  <c:v>6579.2740361994402</c:v>
                </c:pt>
                <c:pt idx="26">
                  <c:v>6809.5486274664199</c:v>
                </c:pt>
                <c:pt idx="27">
                  <c:v>7047.8828294277437</c:v>
                </c:pt>
                <c:pt idx="28">
                  <c:v>7294.5587284577141</c:v>
                </c:pt>
                <c:pt idx="29">
                  <c:v>7549.8682839537332</c:v>
                </c:pt>
                <c:pt idx="30">
                  <c:v>7814.1136738921132</c:v>
                </c:pt>
                <c:pt idx="31">
                  <c:v>8087.6076524783366</c:v>
                </c:pt>
                <c:pt idx="32">
                  <c:v>8370.6739203150773</c:v>
                </c:pt>
                <c:pt idx="33">
                  <c:v>8663.6475075261042</c:v>
                </c:pt>
                <c:pt idx="34">
                  <c:v>8966.875170289517</c:v>
                </c:pt>
              </c:numCache>
            </c:numRef>
          </c:val>
          <c:smooth val="0"/>
          <c:extLst>
            <c:ext xmlns:c16="http://schemas.microsoft.com/office/drawing/2014/chart" uri="{C3380CC4-5D6E-409C-BE32-E72D297353CC}">
              <c16:uniqueId val="{00000000-FE2E-4BC4-B737-26B94DAF9D12}"/>
            </c:ext>
          </c:extLst>
        </c:ser>
        <c:ser>
          <c:idx val="1"/>
          <c:order val="1"/>
          <c:tx>
            <c:v>NOE+Debt Service</c:v>
          </c:tx>
          <c:spPr>
            <a:ln w="28575" cap="rnd">
              <a:solidFill>
                <a:srgbClr val="970A1A"/>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FE2E-4BC4-B737-26B94DAF9D12}"/>
                </c:ext>
              </c:extLst>
            </c:dLbl>
            <c:dLbl>
              <c:idx val="2"/>
              <c:delete val="1"/>
              <c:extLst>
                <c:ext xmlns:c15="http://schemas.microsoft.com/office/drawing/2012/chart" uri="{CE6537A1-D6FC-4f65-9D91-7224C49458BB}"/>
                <c:ext xmlns:c16="http://schemas.microsoft.com/office/drawing/2014/chart" uri="{C3380CC4-5D6E-409C-BE32-E72D297353CC}">
                  <c16:uniqueId val="{00000003-FE2E-4BC4-B737-26B94DAF9D12}"/>
                </c:ext>
              </c:extLst>
            </c:dLbl>
            <c:dLbl>
              <c:idx val="3"/>
              <c:delete val="1"/>
              <c:extLst>
                <c:ext xmlns:c15="http://schemas.microsoft.com/office/drawing/2012/chart" uri="{CE6537A1-D6FC-4f65-9D91-7224C49458BB}"/>
                <c:ext xmlns:c16="http://schemas.microsoft.com/office/drawing/2014/chart" uri="{C3380CC4-5D6E-409C-BE32-E72D297353CC}">
                  <c16:uniqueId val="{00000002-FE2E-4BC4-B737-26B94DAF9D12}"/>
                </c:ext>
              </c:extLst>
            </c:dLbl>
            <c:dLbl>
              <c:idx val="5"/>
              <c:delete val="1"/>
              <c:extLst>
                <c:ext xmlns:c15="http://schemas.microsoft.com/office/drawing/2012/chart" uri="{CE6537A1-D6FC-4f65-9D91-7224C49458BB}"/>
                <c:ext xmlns:c16="http://schemas.microsoft.com/office/drawing/2014/chart" uri="{C3380CC4-5D6E-409C-BE32-E72D297353CC}">
                  <c16:uniqueId val="{00000009-FE2E-4BC4-B737-26B94DAF9D12}"/>
                </c:ext>
              </c:extLst>
            </c:dLbl>
            <c:dLbl>
              <c:idx val="6"/>
              <c:delete val="1"/>
              <c:extLst>
                <c:ext xmlns:c15="http://schemas.microsoft.com/office/drawing/2012/chart" uri="{CE6537A1-D6FC-4f65-9D91-7224C49458BB}"/>
                <c:ext xmlns:c16="http://schemas.microsoft.com/office/drawing/2014/chart" uri="{C3380CC4-5D6E-409C-BE32-E72D297353CC}">
                  <c16:uniqueId val="{00000008-FE2E-4BC4-B737-26B94DAF9D12}"/>
                </c:ext>
              </c:extLst>
            </c:dLbl>
            <c:dLbl>
              <c:idx val="7"/>
              <c:delete val="1"/>
              <c:extLst>
                <c:ext xmlns:c15="http://schemas.microsoft.com/office/drawing/2012/chart" uri="{CE6537A1-D6FC-4f65-9D91-7224C49458BB}"/>
                <c:ext xmlns:c16="http://schemas.microsoft.com/office/drawing/2014/chart" uri="{C3380CC4-5D6E-409C-BE32-E72D297353CC}">
                  <c16:uniqueId val="{0000000A-FE2E-4BC4-B737-26B94DAF9D12}"/>
                </c:ext>
              </c:extLst>
            </c:dLbl>
            <c:dLbl>
              <c:idx val="8"/>
              <c:delete val="1"/>
              <c:extLst>
                <c:ext xmlns:c15="http://schemas.microsoft.com/office/drawing/2012/chart" uri="{CE6537A1-D6FC-4f65-9D91-7224C49458BB}"/>
                <c:ext xmlns:c16="http://schemas.microsoft.com/office/drawing/2014/chart" uri="{C3380CC4-5D6E-409C-BE32-E72D297353CC}">
                  <c16:uniqueId val="{0000000B-FE2E-4BC4-B737-26B94DAF9D12}"/>
                </c:ext>
              </c:extLst>
            </c:dLbl>
            <c:dLbl>
              <c:idx val="10"/>
              <c:delete val="1"/>
              <c:extLst>
                <c:ext xmlns:c15="http://schemas.microsoft.com/office/drawing/2012/chart" uri="{CE6537A1-D6FC-4f65-9D91-7224C49458BB}"/>
                <c:ext xmlns:c16="http://schemas.microsoft.com/office/drawing/2014/chart" uri="{C3380CC4-5D6E-409C-BE32-E72D297353CC}">
                  <c16:uniqueId val="{0000000C-FE2E-4BC4-B737-26B94DAF9D12}"/>
                </c:ext>
              </c:extLst>
            </c:dLbl>
            <c:dLbl>
              <c:idx val="11"/>
              <c:delete val="1"/>
              <c:extLst>
                <c:ext xmlns:c15="http://schemas.microsoft.com/office/drawing/2012/chart" uri="{CE6537A1-D6FC-4f65-9D91-7224C49458BB}"/>
                <c:ext xmlns:c16="http://schemas.microsoft.com/office/drawing/2014/chart" uri="{C3380CC4-5D6E-409C-BE32-E72D297353CC}">
                  <c16:uniqueId val="{0000000E-FE2E-4BC4-B737-26B94DAF9D12}"/>
                </c:ext>
              </c:extLst>
            </c:dLbl>
            <c:dLbl>
              <c:idx val="12"/>
              <c:delete val="1"/>
              <c:extLst>
                <c:ext xmlns:c15="http://schemas.microsoft.com/office/drawing/2012/chart" uri="{CE6537A1-D6FC-4f65-9D91-7224C49458BB}"/>
                <c:ext xmlns:c16="http://schemas.microsoft.com/office/drawing/2014/chart" uri="{C3380CC4-5D6E-409C-BE32-E72D297353CC}">
                  <c16:uniqueId val="{0000000D-FE2E-4BC4-B737-26B94DAF9D12}"/>
                </c:ext>
              </c:extLst>
            </c:dLbl>
            <c:dLbl>
              <c:idx val="13"/>
              <c:delete val="1"/>
              <c:extLst>
                <c:ext xmlns:c15="http://schemas.microsoft.com/office/drawing/2012/chart" uri="{CE6537A1-D6FC-4f65-9D91-7224C49458BB}"/>
                <c:ext xmlns:c16="http://schemas.microsoft.com/office/drawing/2014/chart" uri="{C3380CC4-5D6E-409C-BE32-E72D297353CC}">
                  <c16:uniqueId val="{0000000F-FE2E-4BC4-B737-26B94DAF9D12}"/>
                </c:ext>
              </c:extLst>
            </c:dLbl>
            <c:dLbl>
              <c:idx val="15"/>
              <c:delete val="1"/>
              <c:extLst>
                <c:ext xmlns:c15="http://schemas.microsoft.com/office/drawing/2012/chart" uri="{CE6537A1-D6FC-4f65-9D91-7224C49458BB}"/>
                <c:ext xmlns:c16="http://schemas.microsoft.com/office/drawing/2014/chart" uri="{C3380CC4-5D6E-409C-BE32-E72D297353CC}">
                  <c16:uniqueId val="{00000010-FE2E-4BC4-B737-26B94DAF9D12}"/>
                </c:ext>
              </c:extLst>
            </c:dLbl>
            <c:dLbl>
              <c:idx val="16"/>
              <c:delete val="1"/>
              <c:extLst>
                <c:ext xmlns:c15="http://schemas.microsoft.com/office/drawing/2012/chart" uri="{CE6537A1-D6FC-4f65-9D91-7224C49458BB}"/>
                <c:ext xmlns:c16="http://schemas.microsoft.com/office/drawing/2014/chart" uri="{C3380CC4-5D6E-409C-BE32-E72D297353CC}">
                  <c16:uniqueId val="{00000011-FE2E-4BC4-B737-26B94DAF9D12}"/>
                </c:ext>
              </c:extLst>
            </c:dLbl>
            <c:dLbl>
              <c:idx val="17"/>
              <c:delete val="1"/>
              <c:extLst>
                <c:ext xmlns:c15="http://schemas.microsoft.com/office/drawing/2012/chart" uri="{CE6537A1-D6FC-4f65-9D91-7224C49458BB}"/>
                <c:ext xmlns:c16="http://schemas.microsoft.com/office/drawing/2014/chart" uri="{C3380CC4-5D6E-409C-BE32-E72D297353CC}">
                  <c16:uniqueId val="{00000012-FE2E-4BC4-B737-26B94DAF9D12}"/>
                </c:ext>
              </c:extLst>
            </c:dLbl>
            <c:dLbl>
              <c:idx val="18"/>
              <c:delete val="1"/>
              <c:extLst>
                <c:ext xmlns:c15="http://schemas.microsoft.com/office/drawing/2012/chart" uri="{CE6537A1-D6FC-4f65-9D91-7224C49458BB}"/>
                <c:ext xmlns:c16="http://schemas.microsoft.com/office/drawing/2014/chart" uri="{C3380CC4-5D6E-409C-BE32-E72D297353CC}">
                  <c16:uniqueId val="{00000013-FE2E-4BC4-B737-26B94DAF9D12}"/>
                </c:ext>
              </c:extLst>
            </c:dLbl>
            <c:dLbl>
              <c:idx val="20"/>
              <c:delete val="1"/>
              <c:extLst>
                <c:ext xmlns:c15="http://schemas.microsoft.com/office/drawing/2012/chart" uri="{CE6537A1-D6FC-4f65-9D91-7224C49458BB}"/>
                <c:ext xmlns:c16="http://schemas.microsoft.com/office/drawing/2014/chart" uri="{C3380CC4-5D6E-409C-BE32-E72D297353CC}">
                  <c16:uniqueId val="{00000014-FE2E-4BC4-B737-26B94DAF9D12}"/>
                </c:ext>
              </c:extLst>
            </c:dLbl>
            <c:dLbl>
              <c:idx val="21"/>
              <c:delete val="1"/>
              <c:extLst>
                <c:ext xmlns:c15="http://schemas.microsoft.com/office/drawing/2012/chart" uri="{CE6537A1-D6FC-4f65-9D91-7224C49458BB}"/>
                <c:ext xmlns:c16="http://schemas.microsoft.com/office/drawing/2014/chart" uri="{C3380CC4-5D6E-409C-BE32-E72D297353CC}">
                  <c16:uniqueId val="{00000015-FE2E-4BC4-B737-26B94DAF9D12}"/>
                </c:ext>
              </c:extLst>
            </c:dLbl>
            <c:dLbl>
              <c:idx val="22"/>
              <c:delete val="1"/>
              <c:extLst>
                <c:ext xmlns:c15="http://schemas.microsoft.com/office/drawing/2012/chart" uri="{CE6537A1-D6FC-4f65-9D91-7224C49458BB}"/>
                <c:ext xmlns:c16="http://schemas.microsoft.com/office/drawing/2014/chart" uri="{C3380CC4-5D6E-409C-BE32-E72D297353CC}">
                  <c16:uniqueId val="{00000016-FE2E-4BC4-B737-26B94DAF9D12}"/>
                </c:ext>
              </c:extLst>
            </c:dLbl>
            <c:dLbl>
              <c:idx val="23"/>
              <c:delete val="1"/>
              <c:extLst>
                <c:ext xmlns:c15="http://schemas.microsoft.com/office/drawing/2012/chart" uri="{CE6537A1-D6FC-4f65-9D91-7224C49458BB}"/>
                <c:ext xmlns:c16="http://schemas.microsoft.com/office/drawing/2014/chart" uri="{C3380CC4-5D6E-409C-BE32-E72D297353CC}">
                  <c16:uniqueId val="{00000017-FE2E-4BC4-B737-26B94DAF9D12}"/>
                </c:ext>
              </c:extLst>
            </c:dLbl>
            <c:dLbl>
              <c:idx val="25"/>
              <c:delete val="1"/>
              <c:extLst>
                <c:ext xmlns:c15="http://schemas.microsoft.com/office/drawing/2012/chart" uri="{CE6537A1-D6FC-4f65-9D91-7224C49458BB}"/>
                <c:ext xmlns:c16="http://schemas.microsoft.com/office/drawing/2014/chart" uri="{C3380CC4-5D6E-409C-BE32-E72D297353CC}">
                  <c16:uniqueId val="{00000018-FE2E-4BC4-B737-26B94DAF9D12}"/>
                </c:ext>
              </c:extLst>
            </c:dLbl>
            <c:dLbl>
              <c:idx val="26"/>
              <c:delete val="1"/>
              <c:extLst>
                <c:ext xmlns:c15="http://schemas.microsoft.com/office/drawing/2012/chart" uri="{CE6537A1-D6FC-4f65-9D91-7224C49458BB}"/>
                <c:ext xmlns:c16="http://schemas.microsoft.com/office/drawing/2014/chart" uri="{C3380CC4-5D6E-409C-BE32-E72D297353CC}">
                  <c16:uniqueId val="{00000019-FE2E-4BC4-B737-26B94DAF9D12}"/>
                </c:ext>
              </c:extLst>
            </c:dLbl>
            <c:dLbl>
              <c:idx val="27"/>
              <c:delete val="1"/>
              <c:extLst>
                <c:ext xmlns:c15="http://schemas.microsoft.com/office/drawing/2012/chart" uri="{CE6537A1-D6FC-4f65-9D91-7224C49458BB}"/>
                <c:ext xmlns:c16="http://schemas.microsoft.com/office/drawing/2014/chart" uri="{C3380CC4-5D6E-409C-BE32-E72D297353CC}">
                  <c16:uniqueId val="{0000001A-FE2E-4BC4-B737-26B94DAF9D12}"/>
                </c:ext>
              </c:extLst>
            </c:dLbl>
            <c:dLbl>
              <c:idx val="28"/>
              <c:delete val="1"/>
              <c:extLst>
                <c:ext xmlns:c15="http://schemas.microsoft.com/office/drawing/2012/chart" uri="{CE6537A1-D6FC-4f65-9D91-7224C49458BB}"/>
                <c:ext xmlns:c16="http://schemas.microsoft.com/office/drawing/2014/chart" uri="{C3380CC4-5D6E-409C-BE32-E72D297353CC}">
                  <c16:uniqueId val="{0000001B-FE2E-4BC4-B737-26B94DAF9D12}"/>
                </c:ext>
              </c:extLst>
            </c:dLbl>
            <c:dLbl>
              <c:idx val="30"/>
              <c:delete val="1"/>
              <c:extLst>
                <c:ext xmlns:c15="http://schemas.microsoft.com/office/drawing/2012/chart" uri="{CE6537A1-D6FC-4f65-9D91-7224C49458BB}"/>
                <c:ext xmlns:c16="http://schemas.microsoft.com/office/drawing/2014/chart" uri="{C3380CC4-5D6E-409C-BE32-E72D297353CC}">
                  <c16:uniqueId val="{0000001C-FE2E-4BC4-B737-26B94DAF9D12}"/>
                </c:ext>
              </c:extLst>
            </c:dLbl>
            <c:dLbl>
              <c:idx val="31"/>
              <c:delete val="1"/>
              <c:extLst>
                <c:ext xmlns:c15="http://schemas.microsoft.com/office/drawing/2012/chart" uri="{CE6537A1-D6FC-4f65-9D91-7224C49458BB}"/>
                <c:ext xmlns:c16="http://schemas.microsoft.com/office/drawing/2014/chart" uri="{C3380CC4-5D6E-409C-BE32-E72D297353CC}">
                  <c16:uniqueId val="{0000001D-FE2E-4BC4-B737-26B94DAF9D12}"/>
                </c:ext>
              </c:extLst>
            </c:dLbl>
            <c:dLbl>
              <c:idx val="32"/>
              <c:delete val="1"/>
              <c:extLst>
                <c:ext xmlns:c15="http://schemas.microsoft.com/office/drawing/2012/chart" uri="{CE6537A1-D6FC-4f65-9D91-7224C49458BB}"/>
                <c:ext xmlns:c16="http://schemas.microsoft.com/office/drawing/2014/chart" uri="{C3380CC4-5D6E-409C-BE32-E72D297353CC}">
                  <c16:uniqueId val="{0000001E-FE2E-4BC4-B737-26B94DAF9D12}"/>
                </c:ext>
              </c:extLst>
            </c:dLbl>
            <c:dLbl>
              <c:idx val="33"/>
              <c:delete val="1"/>
              <c:extLst>
                <c:ext xmlns:c15="http://schemas.microsoft.com/office/drawing/2012/chart" uri="{CE6537A1-D6FC-4f65-9D91-7224C49458BB}"/>
                <c:ext xmlns:c16="http://schemas.microsoft.com/office/drawing/2014/chart" uri="{C3380CC4-5D6E-409C-BE32-E72D297353CC}">
                  <c16:uniqueId val="{0000001F-FE2E-4BC4-B737-26B94DAF9D1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Table'!$M$28:$M$507</c15:sqref>
                  </c15:fullRef>
                </c:ext>
              </c:extLst>
              <c:f>('Advanced Table'!$M$28:$M$62,'Advanced Table'!$M$68:$M$507)</c:f>
              <c:numCache>
                <c:formatCode>_("$"* #,##0_);_("$"* \(#,##0\);_("$"* "-"??_);_(@_)</c:formatCode>
                <c:ptCount val="35"/>
                <c:pt idx="0">
                  <c:v>3129.2210737395885</c:v>
                </c:pt>
                <c:pt idx="1">
                  <c:v>3146.971907072922</c:v>
                </c:pt>
                <c:pt idx="2">
                  <c:v>3165.3440195729218</c:v>
                </c:pt>
                <c:pt idx="3">
                  <c:v>3184.3591560104219</c:v>
                </c:pt>
                <c:pt idx="4">
                  <c:v>3204.0398222232343</c:v>
                </c:pt>
                <c:pt idx="5">
                  <c:v>3224.4093117534953</c:v>
                </c:pt>
                <c:pt idx="6">
                  <c:v>3245.4917334173151</c:v>
                </c:pt>
                <c:pt idx="7">
                  <c:v>3267.3120398393689</c:v>
                </c:pt>
                <c:pt idx="8">
                  <c:v>3289.8960569861947</c:v>
                </c:pt>
                <c:pt idx="9">
                  <c:v>3313.270514733159</c:v>
                </c:pt>
                <c:pt idx="10">
                  <c:v>3337.4630785012673</c:v>
                </c:pt>
                <c:pt idx="11">
                  <c:v>3362.5023820012593</c:v>
                </c:pt>
                <c:pt idx="12">
                  <c:v>3388.4180611237507</c:v>
                </c:pt>
                <c:pt idx="13">
                  <c:v>3415.24078901553</c:v>
                </c:pt>
                <c:pt idx="14">
                  <c:v>3443.0023123835208</c:v>
                </c:pt>
                <c:pt idx="15">
                  <c:v>3471.7354890693919</c:v>
                </c:pt>
                <c:pt idx="16">
                  <c:v>3501.4743269392684</c:v>
                </c:pt>
                <c:pt idx="17">
                  <c:v>3532.2540241345905</c:v>
                </c:pt>
                <c:pt idx="18">
                  <c:v>3564.1110107317486</c:v>
                </c:pt>
                <c:pt idx="19">
                  <c:v>3597.0829918598074</c:v>
                </c:pt>
                <c:pt idx="20">
                  <c:v>3631.2089923273484</c:v>
                </c:pt>
                <c:pt idx="21">
                  <c:v>3666.529402811253</c:v>
                </c:pt>
                <c:pt idx="22">
                  <c:v>3703.0860276620947</c:v>
                </c:pt>
                <c:pt idx="23">
                  <c:v>3740.9221343827157</c:v>
                </c:pt>
                <c:pt idx="24">
                  <c:v>3780.0825048385586</c:v>
                </c:pt>
                <c:pt idx="25">
                  <c:v>3820.6134882603556</c:v>
                </c:pt>
                <c:pt idx="26">
                  <c:v>3862.5630561019157</c:v>
                </c:pt>
                <c:pt idx="27">
                  <c:v>3905.9808588179303</c:v>
                </c:pt>
                <c:pt idx="28">
                  <c:v>3950.9182846290055</c:v>
                </c:pt>
                <c:pt idx="29">
                  <c:v>3981.1424681205099</c:v>
                </c:pt>
                <c:pt idx="30">
                  <c:v>1423.5122072350155</c:v>
                </c:pt>
                <c:pt idx="31">
                  <c:v>1473.3351344882408</c:v>
                </c:pt>
                <c:pt idx="32">
                  <c:v>1524.9018641953292</c:v>
                </c:pt>
                <c:pt idx="33">
                  <c:v>1578.2734294421657</c:v>
                </c:pt>
                <c:pt idx="34">
                  <c:v>1633.5129994726412</c:v>
                </c:pt>
              </c:numCache>
            </c:numRef>
          </c:val>
          <c:smooth val="0"/>
          <c:extLst>
            <c:ext xmlns:c16="http://schemas.microsoft.com/office/drawing/2014/chart" uri="{C3380CC4-5D6E-409C-BE32-E72D297353CC}">
              <c16:uniqueId val="{00000001-FE2E-4BC4-B737-26B94DAF9D12}"/>
            </c:ext>
          </c:extLst>
        </c:ser>
        <c:ser>
          <c:idx val="2"/>
          <c:order val="2"/>
          <c:tx>
            <c:strRef>
              <c:f>'Advanced Table'!$L$26</c:f>
              <c:strCache>
                <c:ptCount val="1"/>
                <c:pt idx="0">
                  <c:v> NOE </c:v>
                </c:pt>
              </c:strCache>
            </c:strRef>
          </c:tx>
          <c:spPr>
            <a:ln w="28575" cap="rnd">
              <a:solidFill>
                <a:schemeClr val="accent3"/>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3A-FE2E-4BC4-B737-26B94DAF9D12}"/>
                </c:ext>
              </c:extLst>
            </c:dLbl>
            <c:dLbl>
              <c:idx val="2"/>
              <c:delete val="1"/>
              <c:extLst>
                <c:ext xmlns:c15="http://schemas.microsoft.com/office/drawing/2012/chart" uri="{CE6537A1-D6FC-4f65-9D91-7224C49458BB}"/>
                <c:ext xmlns:c16="http://schemas.microsoft.com/office/drawing/2014/chart" uri="{C3380CC4-5D6E-409C-BE32-E72D297353CC}">
                  <c16:uniqueId val="{00000039-FE2E-4BC4-B737-26B94DAF9D12}"/>
                </c:ext>
              </c:extLst>
            </c:dLbl>
            <c:dLbl>
              <c:idx val="3"/>
              <c:delete val="1"/>
              <c:extLst>
                <c:ext xmlns:c15="http://schemas.microsoft.com/office/drawing/2012/chart" uri="{CE6537A1-D6FC-4f65-9D91-7224C49458BB}"/>
                <c:ext xmlns:c16="http://schemas.microsoft.com/office/drawing/2014/chart" uri="{C3380CC4-5D6E-409C-BE32-E72D297353CC}">
                  <c16:uniqueId val="{0000003B-FE2E-4BC4-B737-26B94DAF9D12}"/>
                </c:ext>
              </c:extLst>
            </c:dLbl>
            <c:dLbl>
              <c:idx val="5"/>
              <c:delete val="1"/>
              <c:extLst>
                <c:ext xmlns:c15="http://schemas.microsoft.com/office/drawing/2012/chart" uri="{CE6537A1-D6FC-4f65-9D91-7224C49458BB}"/>
                <c:ext xmlns:c16="http://schemas.microsoft.com/office/drawing/2014/chart" uri="{C3380CC4-5D6E-409C-BE32-E72D297353CC}">
                  <c16:uniqueId val="{0000003C-FE2E-4BC4-B737-26B94DAF9D12}"/>
                </c:ext>
              </c:extLst>
            </c:dLbl>
            <c:dLbl>
              <c:idx val="6"/>
              <c:delete val="1"/>
              <c:extLst>
                <c:ext xmlns:c15="http://schemas.microsoft.com/office/drawing/2012/chart" uri="{CE6537A1-D6FC-4f65-9D91-7224C49458BB}"/>
                <c:ext xmlns:c16="http://schemas.microsoft.com/office/drawing/2014/chart" uri="{C3380CC4-5D6E-409C-BE32-E72D297353CC}">
                  <c16:uniqueId val="{0000003D-FE2E-4BC4-B737-26B94DAF9D12}"/>
                </c:ext>
              </c:extLst>
            </c:dLbl>
            <c:dLbl>
              <c:idx val="7"/>
              <c:delete val="1"/>
              <c:extLst>
                <c:ext xmlns:c15="http://schemas.microsoft.com/office/drawing/2012/chart" uri="{CE6537A1-D6FC-4f65-9D91-7224C49458BB}"/>
                <c:ext xmlns:c16="http://schemas.microsoft.com/office/drawing/2014/chart" uri="{C3380CC4-5D6E-409C-BE32-E72D297353CC}">
                  <c16:uniqueId val="{0000003E-FE2E-4BC4-B737-26B94DAF9D12}"/>
                </c:ext>
              </c:extLst>
            </c:dLbl>
            <c:dLbl>
              <c:idx val="8"/>
              <c:delete val="1"/>
              <c:extLst>
                <c:ext xmlns:c15="http://schemas.microsoft.com/office/drawing/2012/chart" uri="{CE6537A1-D6FC-4f65-9D91-7224C49458BB}"/>
                <c:ext xmlns:c16="http://schemas.microsoft.com/office/drawing/2014/chart" uri="{C3380CC4-5D6E-409C-BE32-E72D297353CC}">
                  <c16:uniqueId val="{0000003F-FE2E-4BC4-B737-26B94DAF9D12}"/>
                </c:ext>
              </c:extLst>
            </c:dLbl>
            <c:dLbl>
              <c:idx val="10"/>
              <c:delete val="1"/>
              <c:extLst>
                <c:ext xmlns:c15="http://schemas.microsoft.com/office/drawing/2012/chart" uri="{CE6537A1-D6FC-4f65-9D91-7224C49458BB}"/>
                <c:ext xmlns:c16="http://schemas.microsoft.com/office/drawing/2014/chart" uri="{C3380CC4-5D6E-409C-BE32-E72D297353CC}">
                  <c16:uniqueId val="{00000040-FE2E-4BC4-B737-26B94DAF9D12}"/>
                </c:ext>
              </c:extLst>
            </c:dLbl>
            <c:dLbl>
              <c:idx val="11"/>
              <c:delete val="1"/>
              <c:extLst>
                <c:ext xmlns:c15="http://schemas.microsoft.com/office/drawing/2012/chart" uri="{CE6537A1-D6FC-4f65-9D91-7224C49458BB}"/>
                <c:ext xmlns:c16="http://schemas.microsoft.com/office/drawing/2014/chart" uri="{C3380CC4-5D6E-409C-BE32-E72D297353CC}">
                  <c16:uniqueId val="{00000041-FE2E-4BC4-B737-26B94DAF9D12}"/>
                </c:ext>
              </c:extLst>
            </c:dLbl>
            <c:dLbl>
              <c:idx val="12"/>
              <c:delete val="1"/>
              <c:extLst>
                <c:ext xmlns:c15="http://schemas.microsoft.com/office/drawing/2012/chart" uri="{CE6537A1-D6FC-4f65-9D91-7224C49458BB}"/>
                <c:ext xmlns:c16="http://schemas.microsoft.com/office/drawing/2014/chart" uri="{C3380CC4-5D6E-409C-BE32-E72D297353CC}">
                  <c16:uniqueId val="{00000042-FE2E-4BC4-B737-26B94DAF9D12}"/>
                </c:ext>
              </c:extLst>
            </c:dLbl>
            <c:dLbl>
              <c:idx val="13"/>
              <c:delete val="1"/>
              <c:extLst>
                <c:ext xmlns:c15="http://schemas.microsoft.com/office/drawing/2012/chart" uri="{CE6537A1-D6FC-4f65-9D91-7224C49458BB}"/>
                <c:ext xmlns:c16="http://schemas.microsoft.com/office/drawing/2014/chart" uri="{C3380CC4-5D6E-409C-BE32-E72D297353CC}">
                  <c16:uniqueId val="{00000043-FE2E-4BC4-B737-26B94DAF9D12}"/>
                </c:ext>
              </c:extLst>
            </c:dLbl>
            <c:dLbl>
              <c:idx val="15"/>
              <c:delete val="1"/>
              <c:extLst>
                <c:ext xmlns:c15="http://schemas.microsoft.com/office/drawing/2012/chart" uri="{CE6537A1-D6FC-4f65-9D91-7224C49458BB}"/>
                <c:ext xmlns:c16="http://schemas.microsoft.com/office/drawing/2014/chart" uri="{C3380CC4-5D6E-409C-BE32-E72D297353CC}">
                  <c16:uniqueId val="{00000045-FE2E-4BC4-B737-26B94DAF9D12}"/>
                </c:ext>
              </c:extLst>
            </c:dLbl>
            <c:dLbl>
              <c:idx val="16"/>
              <c:delete val="1"/>
              <c:extLst>
                <c:ext xmlns:c15="http://schemas.microsoft.com/office/drawing/2012/chart" uri="{CE6537A1-D6FC-4f65-9D91-7224C49458BB}"/>
                <c:ext xmlns:c16="http://schemas.microsoft.com/office/drawing/2014/chart" uri="{C3380CC4-5D6E-409C-BE32-E72D297353CC}">
                  <c16:uniqueId val="{00000044-FE2E-4BC4-B737-26B94DAF9D12}"/>
                </c:ext>
              </c:extLst>
            </c:dLbl>
            <c:dLbl>
              <c:idx val="17"/>
              <c:delete val="1"/>
              <c:extLst>
                <c:ext xmlns:c15="http://schemas.microsoft.com/office/drawing/2012/chart" uri="{CE6537A1-D6FC-4f65-9D91-7224C49458BB}"/>
                <c:ext xmlns:c16="http://schemas.microsoft.com/office/drawing/2014/chart" uri="{C3380CC4-5D6E-409C-BE32-E72D297353CC}">
                  <c16:uniqueId val="{00000046-FE2E-4BC4-B737-26B94DAF9D12}"/>
                </c:ext>
              </c:extLst>
            </c:dLbl>
            <c:dLbl>
              <c:idx val="18"/>
              <c:delete val="1"/>
              <c:extLst>
                <c:ext xmlns:c15="http://schemas.microsoft.com/office/drawing/2012/chart" uri="{CE6537A1-D6FC-4f65-9D91-7224C49458BB}"/>
                <c:ext xmlns:c16="http://schemas.microsoft.com/office/drawing/2014/chart" uri="{C3380CC4-5D6E-409C-BE32-E72D297353CC}">
                  <c16:uniqueId val="{00000047-FE2E-4BC4-B737-26B94DAF9D12}"/>
                </c:ext>
              </c:extLst>
            </c:dLbl>
            <c:dLbl>
              <c:idx val="20"/>
              <c:delete val="1"/>
              <c:extLst>
                <c:ext xmlns:c15="http://schemas.microsoft.com/office/drawing/2012/chart" uri="{CE6537A1-D6FC-4f65-9D91-7224C49458BB}"/>
                <c:ext xmlns:c16="http://schemas.microsoft.com/office/drawing/2014/chart" uri="{C3380CC4-5D6E-409C-BE32-E72D297353CC}">
                  <c16:uniqueId val="{00000049-FE2E-4BC4-B737-26B94DAF9D12}"/>
                </c:ext>
              </c:extLst>
            </c:dLbl>
            <c:dLbl>
              <c:idx val="21"/>
              <c:delete val="1"/>
              <c:extLst>
                <c:ext xmlns:c15="http://schemas.microsoft.com/office/drawing/2012/chart" uri="{CE6537A1-D6FC-4f65-9D91-7224C49458BB}"/>
                <c:ext xmlns:c16="http://schemas.microsoft.com/office/drawing/2014/chart" uri="{C3380CC4-5D6E-409C-BE32-E72D297353CC}">
                  <c16:uniqueId val="{00000048-FE2E-4BC4-B737-26B94DAF9D12}"/>
                </c:ext>
              </c:extLst>
            </c:dLbl>
            <c:dLbl>
              <c:idx val="22"/>
              <c:delete val="1"/>
              <c:extLst>
                <c:ext xmlns:c15="http://schemas.microsoft.com/office/drawing/2012/chart" uri="{CE6537A1-D6FC-4f65-9D91-7224C49458BB}"/>
                <c:ext xmlns:c16="http://schemas.microsoft.com/office/drawing/2014/chart" uri="{C3380CC4-5D6E-409C-BE32-E72D297353CC}">
                  <c16:uniqueId val="{0000004A-FE2E-4BC4-B737-26B94DAF9D12}"/>
                </c:ext>
              </c:extLst>
            </c:dLbl>
            <c:dLbl>
              <c:idx val="23"/>
              <c:delete val="1"/>
              <c:extLst>
                <c:ext xmlns:c15="http://schemas.microsoft.com/office/drawing/2012/chart" uri="{CE6537A1-D6FC-4f65-9D91-7224C49458BB}"/>
                <c:ext xmlns:c16="http://schemas.microsoft.com/office/drawing/2014/chart" uri="{C3380CC4-5D6E-409C-BE32-E72D297353CC}">
                  <c16:uniqueId val="{0000004B-FE2E-4BC4-B737-26B94DAF9D12}"/>
                </c:ext>
              </c:extLst>
            </c:dLbl>
            <c:dLbl>
              <c:idx val="25"/>
              <c:delete val="1"/>
              <c:extLst>
                <c:ext xmlns:c15="http://schemas.microsoft.com/office/drawing/2012/chart" uri="{CE6537A1-D6FC-4f65-9D91-7224C49458BB}"/>
                <c:ext xmlns:c16="http://schemas.microsoft.com/office/drawing/2014/chart" uri="{C3380CC4-5D6E-409C-BE32-E72D297353CC}">
                  <c16:uniqueId val="{0000004C-FE2E-4BC4-B737-26B94DAF9D12}"/>
                </c:ext>
              </c:extLst>
            </c:dLbl>
            <c:dLbl>
              <c:idx val="26"/>
              <c:delete val="1"/>
              <c:extLst>
                <c:ext xmlns:c15="http://schemas.microsoft.com/office/drawing/2012/chart" uri="{CE6537A1-D6FC-4f65-9D91-7224C49458BB}"/>
                <c:ext xmlns:c16="http://schemas.microsoft.com/office/drawing/2014/chart" uri="{C3380CC4-5D6E-409C-BE32-E72D297353CC}">
                  <c16:uniqueId val="{0000004D-FE2E-4BC4-B737-26B94DAF9D12}"/>
                </c:ext>
              </c:extLst>
            </c:dLbl>
            <c:dLbl>
              <c:idx val="27"/>
              <c:delete val="1"/>
              <c:extLst>
                <c:ext xmlns:c15="http://schemas.microsoft.com/office/drawing/2012/chart" uri="{CE6537A1-D6FC-4f65-9D91-7224C49458BB}"/>
                <c:ext xmlns:c16="http://schemas.microsoft.com/office/drawing/2014/chart" uri="{C3380CC4-5D6E-409C-BE32-E72D297353CC}">
                  <c16:uniqueId val="{0000004E-FE2E-4BC4-B737-26B94DAF9D12}"/>
                </c:ext>
              </c:extLst>
            </c:dLbl>
            <c:dLbl>
              <c:idx val="28"/>
              <c:delete val="1"/>
              <c:extLst>
                <c:ext xmlns:c15="http://schemas.microsoft.com/office/drawing/2012/chart" uri="{CE6537A1-D6FC-4f65-9D91-7224C49458BB}"/>
                <c:ext xmlns:c16="http://schemas.microsoft.com/office/drawing/2014/chart" uri="{C3380CC4-5D6E-409C-BE32-E72D297353CC}">
                  <c16:uniqueId val="{0000004F-FE2E-4BC4-B737-26B94DAF9D12}"/>
                </c:ext>
              </c:extLst>
            </c:dLbl>
            <c:dLbl>
              <c:idx val="30"/>
              <c:delete val="1"/>
              <c:extLst>
                <c:ext xmlns:c15="http://schemas.microsoft.com/office/drawing/2012/chart" uri="{CE6537A1-D6FC-4f65-9D91-7224C49458BB}"/>
                <c:ext xmlns:c16="http://schemas.microsoft.com/office/drawing/2014/chart" uri="{C3380CC4-5D6E-409C-BE32-E72D297353CC}">
                  <c16:uniqueId val="{00000050-FE2E-4BC4-B737-26B94DAF9D12}"/>
                </c:ext>
              </c:extLst>
            </c:dLbl>
            <c:dLbl>
              <c:idx val="31"/>
              <c:delete val="1"/>
              <c:extLst>
                <c:ext xmlns:c15="http://schemas.microsoft.com/office/drawing/2012/chart" uri="{CE6537A1-D6FC-4f65-9D91-7224C49458BB}"/>
                <c:ext xmlns:c16="http://schemas.microsoft.com/office/drawing/2014/chart" uri="{C3380CC4-5D6E-409C-BE32-E72D297353CC}">
                  <c16:uniqueId val="{00000051-FE2E-4BC4-B737-26B94DAF9D12}"/>
                </c:ext>
              </c:extLst>
            </c:dLbl>
            <c:dLbl>
              <c:idx val="32"/>
              <c:delete val="1"/>
              <c:extLst>
                <c:ext xmlns:c15="http://schemas.microsoft.com/office/drawing/2012/chart" uri="{CE6537A1-D6FC-4f65-9D91-7224C49458BB}"/>
                <c:ext xmlns:c16="http://schemas.microsoft.com/office/drawing/2014/chart" uri="{C3380CC4-5D6E-409C-BE32-E72D297353CC}">
                  <c16:uniqueId val="{00000052-FE2E-4BC4-B737-26B94DAF9D12}"/>
                </c:ext>
              </c:extLst>
            </c:dLbl>
            <c:dLbl>
              <c:idx val="33"/>
              <c:delete val="1"/>
              <c:extLst>
                <c:ext xmlns:c15="http://schemas.microsoft.com/office/drawing/2012/chart" uri="{CE6537A1-D6FC-4f65-9D91-7224C49458BB}"/>
                <c:ext xmlns:c16="http://schemas.microsoft.com/office/drawing/2014/chart" uri="{C3380CC4-5D6E-409C-BE32-E72D297353CC}">
                  <c16:uniqueId val="{00000053-FE2E-4BC4-B737-26B94DAF9D12}"/>
                </c:ext>
              </c:extLst>
            </c:dLbl>
            <c:dLbl>
              <c:idx val="34"/>
              <c:delete val="1"/>
              <c:extLst>
                <c:ext xmlns:c15="http://schemas.microsoft.com/office/drawing/2012/chart" uri="{CE6537A1-D6FC-4f65-9D91-7224C49458BB}"/>
                <c:ext xmlns:c16="http://schemas.microsoft.com/office/drawing/2014/chart" uri="{C3380CC4-5D6E-409C-BE32-E72D297353CC}">
                  <c16:uniqueId val="{00000054-FE2E-4BC4-B737-26B94DAF9D1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Table'!$L$39:$L$507</c15:sqref>
                  </c15:fullRef>
                </c:ext>
              </c:extLst>
              <c:f>('Advanced Table'!$L$39:$L$73,'Advanced Table'!$L$79:$L$507)</c:f>
              <c:numCache>
                <c:formatCode>_("$"* #,##0_);_("$"* \(#,##0\);_("$"* "-"??_);_(@_)</c:formatCode>
                <c:ptCount val="35"/>
                <c:pt idx="0">
                  <c:v>507.16666666666663</c:v>
                </c:pt>
                <c:pt idx="1">
                  <c:v>524.9174999999999</c:v>
                </c:pt>
                <c:pt idx="2">
                  <c:v>543.28961249999998</c:v>
                </c:pt>
                <c:pt idx="3">
                  <c:v>562.30474893749988</c:v>
                </c:pt>
                <c:pt idx="4">
                  <c:v>581.98541515031229</c:v>
                </c:pt>
                <c:pt idx="5">
                  <c:v>602.35490468057321</c:v>
                </c:pt>
                <c:pt idx="6">
                  <c:v>623.43732634439323</c:v>
                </c:pt>
                <c:pt idx="7">
                  <c:v>645.25763276644693</c:v>
                </c:pt>
                <c:pt idx="8">
                  <c:v>667.84164991327248</c:v>
                </c:pt>
                <c:pt idx="9">
                  <c:v>691.21610766023696</c:v>
                </c:pt>
                <c:pt idx="10">
                  <c:v>715.4086714283452</c:v>
                </c:pt>
                <c:pt idx="11">
                  <c:v>740.4479749283372</c:v>
                </c:pt>
                <c:pt idx="12">
                  <c:v>766.36365405082893</c:v>
                </c:pt>
                <c:pt idx="13">
                  <c:v>793.1863819426078</c:v>
                </c:pt>
                <c:pt idx="14">
                  <c:v>820.94790531059903</c:v>
                </c:pt>
                <c:pt idx="15">
                  <c:v>849.68108199646997</c:v>
                </c:pt>
                <c:pt idx="16">
                  <c:v>879.41991986634639</c:v>
                </c:pt>
                <c:pt idx="17">
                  <c:v>910.19961706166828</c:v>
                </c:pt>
                <c:pt idx="18">
                  <c:v>942.05660365882659</c:v>
                </c:pt>
                <c:pt idx="19">
                  <c:v>975.02858478688552</c:v>
                </c:pt>
                <c:pt idx="20">
                  <c:v>1009.1545852544264</c:v>
                </c:pt>
                <c:pt idx="21">
                  <c:v>1044.4749957383312</c:v>
                </c:pt>
                <c:pt idx="22">
                  <c:v>1081.0316205891727</c:v>
                </c:pt>
                <c:pt idx="23">
                  <c:v>1118.8677273097937</c:v>
                </c:pt>
                <c:pt idx="24">
                  <c:v>1158.0280977656364</c:v>
                </c:pt>
                <c:pt idx="25">
                  <c:v>1198.5590811874335</c:v>
                </c:pt>
                <c:pt idx="26">
                  <c:v>1240.5086490289937</c:v>
                </c:pt>
                <c:pt idx="27">
                  <c:v>1283.9264517450083</c:v>
                </c:pt>
                <c:pt idx="28">
                  <c:v>1328.8638775560835</c:v>
                </c:pt>
                <c:pt idx="29">
                  <c:v>1375.3741132705463</c:v>
                </c:pt>
                <c:pt idx="30">
                  <c:v>1423.5122072350155</c:v>
                </c:pt>
                <c:pt idx="31">
                  <c:v>1473.3351344882408</c:v>
                </c:pt>
                <c:pt idx="32">
                  <c:v>1524.9018641953292</c:v>
                </c:pt>
                <c:pt idx="33">
                  <c:v>1578.2734294421657</c:v>
                </c:pt>
                <c:pt idx="34">
                  <c:v>1633.5129994726412</c:v>
                </c:pt>
              </c:numCache>
            </c:numRef>
          </c:val>
          <c:smooth val="0"/>
          <c:extLst>
            <c:ext xmlns:c16="http://schemas.microsoft.com/office/drawing/2014/chart" uri="{C3380CC4-5D6E-409C-BE32-E72D297353CC}">
              <c16:uniqueId val="{00000038-FE2E-4BC4-B737-26B94DAF9D12}"/>
            </c:ext>
          </c:extLst>
        </c:ser>
        <c:dLbls>
          <c:dLblPos val="t"/>
          <c:showLegendKey val="0"/>
          <c:showVal val="1"/>
          <c:showCatName val="0"/>
          <c:showSerName val="0"/>
          <c:showPercent val="0"/>
          <c:showBubbleSize val="0"/>
        </c:dLbls>
        <c:smooth val="0"/>
        <c:axId val="185158287"/>
        <c:axId val="418832095"/>
      </c:lineChart>
      <c:catAx>
        <c:axId val="18515828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2095"/>
        <c:crosses val="autoZero"/>
        <c:auto val="1"/>
        <c:lblAlgn val="ctr"/>
        <c:lblOffset val="100"/>
        <c:noMultiLvlLbl val="0"/>
      </c:catAx>
      <c:valAx>
        <c:axId val="41883209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58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800" b="1">
                <a:latin typeface="Garamond" panose="02020404030301010803" pitchFamily="18" charset="0"/>
              </a:rPr>
              <a:t>Projected Revenue</a:t>
            </a:r>
            <a:r>
              <a:rPr lang="en-US" sz="2800" b="1" baseline="0">
                <a:latin typeface="Garamond" panose="02020404030301010803" pitchFamily="18" charset="0"/>
              </a:rPr>
              <a:t>, Expenses, &amp; Debt Service</a:t>
            </a:r>
            <a:endParaRPr lang="en-US" sz="2800" b="1">
              <a:latin typeface="Garamond" panose="02020404030301010803" pitchFamily="18"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Revenue</c:v>
          </c:tx>
          <c:spPr>
            <a:ln w="28575" cap="rnd">
              <a:solidFill>
                <a:srgbClr val="172C5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C2DF-4A95-838E-142494CE4DAC}"/>
                </c:ext>
              </c:extLst>
            </c:dLbl>
            <c:dLbl>
              <c:idx val="2"/>
              <c:delete val="1"/>
              <c:extLst>
                <c:ext xmlns:c15="http://schemas.microsoft.com/office/drawing/2012/chart" uri="{CE6537A1-D6FC-4f65-9D91-7224C49458BB}"/>
                <c:ext xmlns:c16="http://schemas.microsoft.com/office/drawing/2014/chart" uri="{C3380CC4-5D6E-409C-BE32-E72D297353CC}">
                  <c16:uniqueId val="{00000001-C2DF-4A95-838E-142494CE4DAC}"/>
                </c:ext>
              </c:extLst>
            </c:dLbl>
            <c:dLbl>
              <c:idx val="3"/>
              <c:delete val="1"/>
              <c:extLst>
                <c:ext xmlns:c15="http://schemas.microsoft.com/office/drawing/2012/chart" uri="{CE6537A1-D6FC-4f65-9D91-7224C49458BB}"/>
                <c:ext xmlns:c16="http://schemas.microsoft.com/office/drawing/2014/chart" uri="{C3380CC4-5D6E-409C-BE32-E72D297353CC}">
                  <c16:uniqueId val="{00000002-C2DF-4A95-838E-142494CE4DAC}"/>
                </c:ext>
              </c:extLst>
            </c:dLbl>
            <c:dLbl>
              <c:idx val="5"/>
              <c:delete val="1"/>
              <c:extLst>
                <c:ext xmlns:c15="http://schemas.microsoft.com/office/drawing/2012/chart" uri="{CE6537A1-D6FC-4f65-9D91-7224C49458BB}"/>
                <c:ext xmlns:c16="http://schemas.microsoft.com/office/drawing/2014/chart" uri="{C3380CC4-5D6E-409C-BE32-E72D297353CC}">
                  <c16:uniqueId val="{00000003-C2DF-4A95-838E-142494CE4DAC}"/>
                </c:ext>
              </c:extLst>
            </c:dLbl>
            <c:dLbl>
              <c:idx val="6"/>
              <c:delete val="1"/>
              <c:extLst>
                <c:ext xmlns:c15="http://schemas.microsoft.com/office/drawing/2012/chart" uri="{CE6537A1-D6FC-4f65-9D91-7224C49458BB}"/>
                <c:ext xmlns:c16="http://schemas.microsoft.com/office/drawing/2014/chart" uri="{C3380CC4-5D6E-409C-BE32-E72D297353CC}">
                  <c16:uniqueId val="{00000004-C2DF-4A95-838E-142494CE4DAC}"/>
                </c:ext>
              </c:extLst>
            </c:dLbl>
            <c:dLbl>
              <c:idx val="7"/>
              <c:delete val="1"/>
              <c:extLst>
                <c:ext xmlns:c15="http://schemas.microsoft.com/office/drawing/2012/chart" uri="{CE6537A1-D6FC-4f65-9D91-7224C49458BB}"/>
                <c:ext xmlns:c16="http://schemas.microsoft.com/office/drawing/2014/chart" uri="{C3380CC4-5D6E-409C-BE32-E72D297353CC}">
                  <c16:uniqueId val="{00000005-C2DF-4A95-838E-142494CE4DAC}"/>
                </c:ext>
              </c:extLst>
            </c:dLbl>
            <c:dLbl>
              <c:idx val="8"/>
              <c:delete val="1"/>
              <c:extLst>
                <c:ext xmlns:c15="http://schemas.microsoft.com/office/drawing/2012/chart" uri="{CE6537A1-D6FC-4f65-9D91-7224C49458BB}"/>
                <c:ext xmlns:c16="http://schemas.microsoft.com/office/drawing/2014/chart" uri="{C3380CC4-5D6E-409C-BE32-E72D297353CC}">
                  <c16:uniqueId val="{00000006-C2DF-4A95-838E-142494CE4DAC}"/>
                </c:ext>
              </c:extLst>
            </c:dLbl>
            <c:dLbl>
              <c:idx val="10"/>
              <c:delete val="1"/>
              <c:extLst>
                <c:ext xmlns:c15="http://schemas.microsoft.com/office/drawing/2012/chart" uri="{CE6537A1-D6FC-4f65-9D91-7224C49458BB}"/>
                <c:ext xmlns:c16="http://schemas.microsoft.com/office/drawing/2014/chart" uri="{C3380CC4-5D6E-409C-BE32-E72D297353CC}">
                  <c16:uniqueId val="{00000007-C2DF-4A95-838E-142494CE4DAC}"/>
                </c:ext>
              </c:extLst>
            </c:dLbl>
            <c:dLbl>
              <c:idx val="11"/>
              <c:delete val="1"/>
              <c:extLst>
                <c:ext xmlns:c15="http://schemas.microsoft.com/office/drawing/2012/chart" uri="{CE6537A1-D6FC-4f65-9D91-7224C49458BB}"/>
                <c:ext xmlns:c16="http://schemas.microsoft.com/office/drawing/2014/chart" uri="{C3380CC4-5D6E-409C-BE32-E72D297353CC}">
                  <c16:uniqueId val="{00000008-C2DF-4A95-838E-142494CE4DAC}"/>
                </c:ext>
              </c:extLst>
            </c:dLbl>
            <c:dLbl>
              <c:idx val="12"/>
              <c:delete val="1"/>
              <c:extLst>
                <c:ext xmlns:c15="http://schemas.microsoft.com/office/drawing/2012/chart" uri="{CE6537A1-D6FC-4f65-9D91-7224C49458BB}"/>
                <c:ext xmlns:c16="http://schemas.microsoft.com/office/drawing/2014/chart" uri="{C3380CC4-5D6E-409C-BE32-E72D297353CC}">
                  <c16:uniqueId val="{00000009-C2DF-4A95-838E-142494CE4DAC}"/>
                </c:ext>
              </c:extLst>
            </c:dLbl>
            <c:dLbl>
              <c:idx val="13"/>
              <c:delete val="1"/>
              <c:extLst>
                <c:ext xmlns:c15="http://schemas.microsoft.com/office/drawing/2012/chart" uri="{CE6537A1-D6FC-4f65-9D91-7224C49458BB}"/>
                <c:ext xmlns:c16="http://schemas.microsoft.com/office/drawing/2014/chart" uri="{C3380CC4-5D6E-409C-BE32-E72D297353CC}">
                  <c16:uniqueId val="{0000000A-C2DF-4A95-838E-142494CE4DAC}"/>
                </c:ext>
              </c:extLst>
            </c:dLbl>
            <c:dLbl>
              <c:idx val="15"/>
              <c:delete val="1"/>
              <c:extLst>
                <c:ext xmlns:c15="http://schemas.microsoft.com/office/drawing/2012/chart" uri="{CE6537A1-D6FC-4f65-9D91-7224C49458BB}"/>
                <c:ext xmlns:c16="http://schemas.microsoft.com/office/drawing/2014/chart" uri="{C3380CC4-5D6E-409C-BE32-E72D297353CC}">
                  <c16:uniqueId val="{0000000B-C2DF-4A95-838E-142494CE4DAC}"/>
                </c:ext>
              </c:extLst>
            </c:dLbl>
            <c:dLbl>
              <c:idx val="16"/>
              <c:delete val="1"/>
              <c:extLst>
                <c:ext xmlns:c15="http://schemas.microsoft.com/office/drawing/2012/chart" uri="{CE6537A1-D6FC-4f65-9D91-7224C49458BB}"/>
                <c:ext xmlns:c16="http://schemas.microsoft.com/office/drawing/2014/chart" uri="{C3380CC4-5D6E-409C-BE32-E72D297353CC}">
                  <c16:uniqueId val="{0000000C-C2DF-4A95-838E-142494CE4DAC}"/>
                </c:ext>
              </c:extLst>
            </c:dLbl>
            <c:dLbl>
              <c:idx val="17"/>
              <c:delete val="1"/>
              <c:extLst>
                <c:ext xmlns:c15="http://schemas.microsoft.com/office/drawing/2012/chart" uri="{CE6537A1-D6FC-4f65-9D91-7224C49458BB}"/>
                <c:ext xmlns:c16="http://schemas.microsoft.com/office/drawing/2014/chart" uri="{C3380CC4-5D6E-409C-BE32-E72D297353CC}">
                  <c16:uniqueId val="{0000000D-C2DF-4A95-838E-142494CE4DAC}"/>
                </c:ext>
              </c:extLst>
            </c:dLbl>
            <c:dLbl>
              <c:idx val="18"/>
              <c:delete val="1"/>
              <c:extLst>
                <c:ext xmlns:c15="http://schemas.microsoft.com/office/drawing/2012/chart" uri="{CE6537A1-D6FC-4f65-9D91-7224C49458BB}"/>
                <c:ext xmlns:c16="http://schemas.microsoft.com/office/drawing/2014/chart" uri="{C3380CC4-5D6E-409C-BE32-E72D297353CC}">
                  <c16:uniqueId val="{0000000E-C2DF-4A95-838E-142494CE4DAC}"/>
                </c:ext>
              </c:extLst>
            </c:dLbl>
            <c:dLbl>
              <c:idx val="20"/>
              <c:delete val="1"/>
              <c:extLst>
                <c:ext xmlns:c15="http://schemas.microsoft.com/office/drawing/2012/chart" uri="{CE6537A1-D6FC-4f65-9D91-7224C49458BB}"/>
                <c:ext xmlns:c16="http://schemas.microsoft.com/office/drawing/2014/chart" uri="{C3380CC4-5D6E-409C-BE32-E72D297353CC}">
                  <c16:uniqueId val="{0000000F-C2DF-4A95-838E-142494CE4DAC}"/>
                </c:ext>
              </c:extLst>
            </c:dLbl>
            <c:dLbl>
              <c:idx val="21"/>
              <c:delete val="1"/>
              <c:extLst>
                <c:ext xmlns:c15="http://schemas.microsoft.com/office/drawing/2012/chart" uri="{CE6537A1-D6FC-4f65-9D91-7224C49458BB}"/>
                <c:ext xmlns:c16="http://schemas.microsoft.com/office/drawing/2014/chart" uri="{C3380CC4-5D6E-409C-BE32-E72D297353CC}">
                  <c16:uniqueId val="{00000010-C2DF-4A95-838E-142494CE4DAC}"/>
                </c:ext>
              </c:extLst>
            </c:dLbl>
            <c:dLbl>
              <c:idx val="22"/>
              <c:delete val="1"/>
              <c:extLst>
                <c:ext xmlns:c15="http://schemas.microsoft.com/office/drawing/2012/chart" uri="{CE6537A1-D6FC-4f65-9D91-7224C49458BB}"/>
                <c:ext xmlns:c16="http://schemas.microsoft.com/office/drawing/2014/chart" uri="{C3380CC4-5D6E-409C-BE32-E72D297353CC}">
                  <c16:uniqueId val="{00000011-C2DF-4A95-838E-142494CE4DAC}"/>
                </c:ext>
              </c:extLst>
            </c:dLbl>
            <c:dLbl>
              <c:idx val="23"/>
              <c:delete val="1"/>
              <c:extLst>
                <c:ext xmlns:c15="http://schemas.microsoft.com/office/drawing/2012/chart" uri="{CE6537A1-D6FC-4f65-9D91-7224C49458BB}"/>
                <c:ext xmlns:c16="http://schemas.microsoft.com/office/drawing/2014/chart" uri="{C3380CC4-5D6E-409C-BE32-E72D297353CC}">
                  <c16:uniqueId val="{00000012-C2DF-4A95-838E-142494CE4DAC}"/>
                </c:ext>
              </c:extLst>
            </c:dLbl>
            <c:dLbl>
              <c:idx val="25"/>
              <c:delete val="1"/>
              <c:extLst>
                <c:ext xmlns:c15="http://schemas.microsoft.com/office/drawing/2012/chart" uri="{CE6537A1-D6FC-4f65-9D91-7224C49458BB}"/>
                <c:ext xmlns:c16="http://schemas.microsoft.com/office/drawing/2014/chart" uri="{C3380CC4-5D6E-409C-BE32-E72D297353CC}">
                  <c16:uniqueId val="{00000013-C2DF-4A95-838E-142494CE4DAC}"/>
                </c:ext>
              </c:extLst>
            </c:dLbl>
            <c:dLbl>
              <c:idx val="26"/>
              <c:delete val="1"/>
              <c:extLst>
                <c:ext xmlns:c15="http://schemas.microsoft.com/office/drawing/2012/chart" uri="{CE6537A1-D6FC-4f65-9D91-7224C49458BB}"/>
                <c:ext xmlns:c16="http://schemas.microsoft.com/office/drawing/2014/chart" uri="{C3380CC4-5D6E-409C-BE32-E72D297353CC}">
                  <c16:uniqueId val="{00000014-C2DF-4A95-838E-142494CE4DAC}"/>
                </c:ext>
              </c:extLst>
            </c:dLbl>
            <c:dLbl>
              <c:idx val="27"/>
              <c:delete val="1"/>
              <c:extLst>
                <c:ext xmlns:c15="http://schemas.microsoft.com/office/drawing/2012/chart" uri="{CE6537A1-D6FC-4f65-9D91-7224C49458BB}"/>
                <c:ext xmlns:c16="http://schemas.microsoft.com/office/drawing/2014/chart" uri="{C3380CC4-5D6E-409C-BE32-E72D297353CC}">
                  <c16:uniqueId val="{00000015-C2DF-4A95-838E-142494CE4DAC}"/>
                </c:ext>
              </c:extLst>
            </c:dLbl>
            <c:dLbl>
              <c:idx val="28"/>
              <c:delete val="1"/>
              <c:extLst>
                <c:ext xmlns:c15="http://schemas.microsoft.com/office/drawing/2012/chart" uri="{CE6537A1-D6FC-4f65-9D91-7224C49458BB}"/>
                <c:ext xmlns:c16="http://schemas.microsoft.com/office/drawing/2014/chart" uri="{C3380CC4-5D6E-409C-BE32-E72D297353CC}">
                  <c16:uniqueId val="{00000016-C2DF-4A95-838E-142494CE4DAC}"/>
                </c:ext>
              </c:extLst>
            </c:dLbl>
            <c:dLbl>
              <c:idx val="30"/>
              <c:delete val="1"/>
              <c:extLst>
                <c:ext xmlns:c15="http://schemas.microsoft.com/office/drawing/2012/chart" uri="{CE6537A1-D6FC-4f65-9D91-7224C49458BB}"/>
                <c:ext xmlns:c16="http://schemas.microsoft.com/office/drawing/2014/chart" uri="{C3380CC4-5D6E-409C-BE32-E72D297353CC}">
                  <c16:uniqueId val="{00000017-C2DF-4A95-838E-142494CE4DAC}"/>
                </c:ext>
              </c:extLst>
            </c:dLbl>
            <c:dLbl>
              <c:idx val="31"/>
              <c:delete val="1"/>
              <c:extLst>
                <c:ext xmlns:c15="http://schemas.microsoft.com/office/drawing/2012/chart" uri="{CE6537A1-D6FC-4f65-9D91-7224C49458BB}"/>
                <c:ext xmlns:c16="http://schemas.microsoft.com/office/drawing/2014/chart" uri="{C3380CC4-5D6E-409C-BE32-E72D297353CC}">
                  <c16:uniqueId val="{00000018-C2DF-4A95-838E-142494CE4DAC}"/>
                </c:ext>
              </c:extLst>
            </c:dLbl>
            <c:dLbl>
              <c:idx val="32"/>
              <c:delete val="1"/>
              <c:extLst>
                <c:ext xmlns:c15="http://schemas.microsoft.com/office/drawing/2012/chart" uri="{CE6537A1-D6FC-4f65-9D91-7224C49458BB}"/>
                <c:ext xmlns:c16="http://schemas.microsoft.com/office/drawing/2014/chart" uri="{C3380CC4-5D6E-409C-BE32-E72D297353CC}">
                  <c16:uniqueId val="{00000019-C2DF-4A95-838E-142494CE4DAC}"/>
                </c:ext>
              </c:extLst>
            </c:dLbl>
            <c:dLbl>
              <c:idx val="33"/>
              <c:delete val="1"/>
              <c:extLst>
                <c:ext xmlns:c15="http://schemas.microsoft.com/office/drawing/2012/chart" uri="{CE6537A1-D6FC-4f65-9D91-7224C49458BB}"/>
                <c:ext xmlns:c16="http://schemas.microsoft.com/office/drawing/2014/chart" uri="{C3380CC4-5D6E-409C-BE32-E72D297353CC}">
                  <c16:uniqueId val="{0000001A-C2DF-4A95-838E-142494CE4DAC}"/>
                </c:ext>
              </c:extLst>
            </c:dLbl>
            <c:spPr>
              <a:noFill/>
              <a:ln>
                <a:noFill/>
              </a:ln>
              <a:effectLst/>
            </c:spPr>
            <c:txPr>
              <a:bodyPr rot="0" spcFirstLastPara="1" vertOverflow="ellipsis" horzOverflow="clip" vert="horz" wrap="square" lIns="38100" tIns="19050" rIns="38100" bIns="18288"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Table'!$D$28:$D$507</c15:sqref>
                  </c15:fullRef>
                </c:ext>
              </c:extLst>
              <c:f>('Advanced Table'!$D$28:$D$458,'Advanced Table'!$D$460:$D$470,'Advanced Table'!$D$472:$D$482,'Advanced Table'!$D$484:$D$494,'Advanced Table'!$D$496:$D$506)</c:f>
              <c:numCache>
                <c:formatCode>_("$"* #,##0_);_("$"* \(#,##0\);_("$"* "-"??_);_(@_)</c:formatCode>
                <c:ptCount val="35"/>
                <c:pt idx="0">
                  <c:v>2784</c:v>
                </c:pt>
                <c:pt idx="1">
                  <c:v>2881.4399999999996</c:v>
                </c:pt>
                <c:pt idx="2">
                  <c:v>2982.2903999999994</c:v>
                </c:pt>
                <c:pt idx="3">
                  <c:v>3086.6705639999991</c:v>
                </c:pt>
                <c:pt idx="4">
                  <c:v>3194.704033739999</c:v>
                </c:pt>
                <c:pt idx="5">
                  <c:v>3306.5186749208988</c:v>
                </c:pt>
                <c:pt idx="6">
                  <c:v>3422.2468285431301</c:v>
                </c:pt>
                <c:pt idx="7">
                  <c:v>3542.0254675421393</c:v>
                </c:pt>
                <c:pt idx="8">
                  <c:v>3665.996358906114</c:v>
                </c:pt>
                <c:pt idx="9">
                  <c:v>3794.3062314678277</c:v>
                </c:pt>
                <c:pt idx="10">
                  <c:v>3927.1069495692013</c:v>
                </c:pt>
                <c:pt idx="11">
                  <c:v>4064.5556928041233</c:v>
                </c:pt>
                <c:pt idx="12">
                  <c:v>4206.8151420522672</c:v>
                </c:pt>
                <c:pt idx="13">
                  <c:v>4354.0536720240962</c:v>
                </c:pt>
                <c:pt idx="14">
                  <c:v>4506.4455505449396</c:v>
                </c:pt>
                <c:pt idx="15">
                  <c:v>4664.1711448140122</c:v>
                </c:pt>
                <c:pt idx="16">
                  <c:v>4827.4171348825021</c:v>
                </c:pt>
                <c:pt idx="17">
                  <c:v>4996.3767346033892</c:v>
                </c:pt>
                <c:pt idx="18">
                  <c:v>5171.2499203145071</c:v>
                </c:pt>
                <c:pt idx="19">
                  <c:v>5352.2436675255149</c:v>
                </c:pt>
                <c:pt idx="20">
                  <c:v>5539.5721958889071</c:v>
                </c:pt>
                <c:pt idx="21">
                  <c:v>5733.457222745018</c:v>
                </c:pt>
                <c:pt idx="22">
                  <c:v>5934.1282255410933</c:v>
                </c:pt>
                <c:pt idx="23">
                  <c:v>6141.8227134350309</c:v>
                </c:pt>
                <c:pt idx="24">
                  <c:v>6356.7865084052564</c:v>
                </c:pt>
                <c:pt idx="25">
                  <c:v>6579.2740361994402</c:v>
                </c:pt>
                <c:pt idx="26">
                  <c:v>6809.5486274664199</c:v>
                </c:pt>
                <c:pt idx="27">
                  <c:v>7047.8828294277437</c:v>
                </c:pt>
                <c:pt idx="28">
                  <c:v>7294.5587284577141</c:v>
                </c:pt>
                <c:pt idx="29">
                  <c:v>7549.8682839537332</c:v>
                </c:pt>
                <c:pt idx="30">
                  <c:v>7814.1136738921132</c:v>
                </c:pt>
                <c:pt idx="31">
                  <c:v>8087.6076524783366</c:v>
                </c:pt>
                <c:pt idx="32">
                  <c:v>8370.6739203150773</c:v>
                </c:pt>
                <c:pt idx="33">
                  <c:v>8663.6475075261042</c:v>
                </c:pt>
                <c:pt idx="34">
                  <c:v>8966.875170289517</c:v>
                </c:pt>
              </c:numCache>
            </c:numRef>
          </c:val>
          <c:smooth val="0"/>
          <c:extLst>
            <c:ext xmlns:c16="http://schemas.microsoft.com/office/drawing/2014/chart" uri="{C3380CC4-5D6E-409C-BE32-E72D297353CC}">
              <c16:uniqueId val="{0000001B-C2DF-4A95-838E-142494CE4DAC}"/>
            </c:ext>
          </c:extLst>
        </c:ser>
        <c:ser>
          <c:idx val="1"/>
          <c:order val="1"/>
          <c:tx>
            <c:v>NOE+Debt Service</c:v>
          </c:tx>
          <c:spPr>
            <a:ln w="28575" cap="rnd">
              <a:solidFill>
                <a:srgbClr val="970A1A"/>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C-C2DF-4A95-838E-142494CE4DAC}"/>
                </c:ext>
              </c:extLst>
            </c:dLbl>
            <c:dLbl>
              <c:idx val="2"/>
              <c:delete val="1"/>
              <c:extLst>
                <c:ext xmlns:c15="http://schemas.microsoft.com/office/drawing/2012/chart" uri="{CE6537A1-D6FC-4f65-9D91-7224C49458BB}"/>
                <c:ext xmlns:c16="http://schemas.microsoft.com/office/drawing/2014/chart" uri="{C3380CC4-5D6E-409C-BE32-E72D297353CC}">
                  <c16:uniqueId val="{0000001D-C2DF-4A95-838E-142494CE4DAC}"/>
                </c:ext>
              </c:extLst>
            </c:dLbl>
            <c:dLbl>
              <c:idx val="3"/>
              <c:delete val="1"/>
              <c:extLst>
                <c:ext xmlns:c15="http://schemas.microsoft.com/office/drawing/2012/chart" uri="{CE6537A1-D6FC-4f65-9D91-7224C49458BB}"/>
                <c:ext xmlns:c16="http://schemas.microsoft.com/office/drawing/2014/chart" uri="{C3380CC4-5D6E-409C-BE32-E72D297353CC}">
                  <c16:uniqueId val="{0000001E-C2DF-4A95-838E-142494CE4DAC}"/>
                </c:ext>
              </c:extLst>
            </c:dLbl>
            <c:dLbl>
              <c:idx val="5"/>
              <c:delete val="1"/>
              <c:extLst>
                <c:ext xmlns:c15="http://schemas.microsoft.com/office/drawing/2012/chart" uri="{CE6537A1-D6FC-4f65-9D91-7224C49458BB}"/>
                <c:ext xmlns:c16="http://schemas.microsoft.com/office/drawing/2014/chart" uri="{C3380CC4-5D6E-409C-BE32-E72D297353CC}">
                  <c16:uniqueId val="{0000001F-C2DF-4A95-838E-142494CE4DAC}"/>
                </c:ext>
              </c:extLst>
            </c:dLbl>
            <c:dLbl>
              <c:idx val="6"/>
              <c:delete val="1"/>
              <c:extLst>
                <c:ext xmlns:c15="http://schemas.microsoft.com/office/drawing/2012/chart" uri="{CE6537A1-D6FC-4f65-9D91-7224C49458BB}"/>
                <c:ext xmlns:c16="http://schemas.microsoft.com/office/drawing/2014/chart" uri="{C3380CC4-5D6E-409C-BE32-E72D297353CC}">
                  <c16:uniqueId val="{00000020-C2DF-4A95-838E-142494CE4DAC}"/>
                </c:ext>
              </c:extLst>
            </c:dLbl>
            <c:dLbl>
              <c:idx val="7"/>
              <c:delete val="1"/>
              <c:extLst>
                <c:ext xmlns:c15="http://schemas.microsoft.com/office/drawing/2012/chart" uri="{CE6537A1-D6FC-4f65-9D91-7224C49458BB}"/>
                <c:ext xmlns:c16="http://schemas.microsoft.com/office/drawing/2014/chart" uri="{C3380CC4-5D6E-409C-BE32-E72D297353CC}">
                  <c16:uniqueId val="{00000021-C2DF-4A95-838E-142494CE4DAC}"/>
                </c:ext>
              </c:extLst>
            </c:dLbl>
            <c:dLbl>
              <c:idx val="8"/>
              <c:delete val="1"/>
              <c:extLst>
                <c:ext xmlns:c15="http://schemas.microsoft.com/office/drawing/2012/chart" uri="{CE6537A1-D6FC-4f65-9D91-7224C49458BB}"/>
                <c:ext xmlns:c16="http://schemas.microsoft.com/office/drawing/2014/chart" uri="{C3380CC4-5D6E-409C-BE32-E72D297353CC}">
                  <c16:uniqueId val="{00000022-C2DF-4A95-838E-142494CE4DAC}"/>
                </c:ext>
              </c:extLst>
            </c:dLbl>
            <c:dLbl>
              <c:idx val="10"/>
              <c:delete val="1"/>
              <c:extLst>
                <c:ext xmlns:c15="http://schemas.microsoft.com/office/drawing/2012/chart" uri="{CE6537A1-D6FC-4f65-9D91-7224C49458BB}"/>
                <c:ext xmlns:c16="http://schemas.microsoft.com/office/drawing/2014/chart" uri="{C3380CC4-5D6E-409C-BE32-E72D297353CC}">
                  <c16:uniqueId val="{00000023-C2DF-4A95-838E-142494CE4DAC}"/>
                </c:ext>
              </c:extLst>
            </c:dLbl>
            <c:dLbl>
              <c:idx val="11"/>
              <c:delete val="1"/>
              <c:extLst>
                <c:ext xmlns:c15="http://schemas.microsoft.com/office/drawing/2012/chart" uri="{CE6537A1-D6FC-4f65-9D91-7224C49458BB}"/>
                <c:ext xmlns:c16="http://schemas.microsoft.com/office/drawing/2014/chart" uri="{C3380CC4-5D6E-409C-BE32-E72D297353CC}">
                  <c16:uniqueId val="{00000024-C2DF-4A95-838E-142494CE4DAC}"/>
                </c:ext>
              </c:extLst>
            </c:dLbl>
            <c:dLbl>
              <c:idx val="12"/>
              <c:delete val="1"/>
              <c:extLst>
                <c:ext xmlns:c15="http://schemas.microsoft.com/office/drawing/2012/chart" uri="{CE6537A1-D6FC-4f65-9D91-7224C49458BB}"/>
                <c:ext xmlns:c16="http://schemas.microsoft.com/office/drawing/2014/chart" uri="{C3380CC4-5D6E-409C-BE32-E72D297353CC}">
                  <c16:uniqueId val="{00000025-C2DF-4A95-838E-142494CE4DAC}"/>
                </c:ext>
              </c:extLst>
            </c:dLbl>
            <c:dLbl>
              <c:idx val="13"/>
              <c:delete val="1"/>
              <c:extLst>
                <c:ext xmlns:c15="http://schemas.microsoft.com/office/drawing/2012/chart" uri="{CE6537A1-D6FC-4f65-9D91-7224C49458BB}"/>
                <c:ext xmlns:c16="http://schemas.microsoft.com/office/drawing/2014/chart" uri="{C3380CC4-5D6E-409C-BE32-E72D297353CC}">
                  <c16:uniqueId val="{00000026-C2DF-4A95-838E-142494CE4DAC}"/>
                </c:ext>
              </c:extLst>
            </c:dLbl>
            <c:dLbl>
              <c:idx val="15"/>
              <c:delete val="1"/>
              <c:extLst>
                <c:ext xmlns:c15="http://schemas.microsoft.com/office/drawing/2012/chart" uri="{CE6537A1-D6FC-4f65-9D91-7224C49458BB}"/>
                <c:ext xmlns:c16="http://schemas.microsoft.com/office/drawing/2014/chart" uri="{C3380CC4-5D6E-409C-BE32-E72D297353CC}">
                  <c16:uniqueId val="{00000027-C2DF-4A95-838E-142494CE4DAC}"/>
                </c:ext>
              </c:extLst>
            </c:dLbl>
            <c:dLbl>
              <c:idx val="16"/>
              <c:delete val="1"/>
              <c:extLst>
                <c:ext xmlns:c15="http://schemas.microsoft.com/office/drawing/2012/chart" uri="{CE6537A1-D6FC-4f65-9D91-7224C49458BB}"/>
                <c:ext xmlns:c16="http://schemas.microsoft.com/office/drawing/2014/chart" uri="{C3380CC4-5D6E-409C-BE32-E72D297353CC}">
                  <c16:uniqueId val="{00000028-C2DF-4A95-838E-142494CE4DAC}"/>
                </c:ext>
              </c:extLst>
            </c:dLbl>
            <c:dLbl>
              <c:idx val="17"/>
              <c:delete val="1"/>
              <c:extLst>
                <c:ext xmlns:c15="http://schemas.microsoft.com/office/drawing/2012/chart" uri="{CE6537A1-D6FC-4f65-9D91-7224C49458BB}"/>
                <c:ext xmlns:c16="http://schemas.microsoft.com/office/drawing/2014/chart" uri="{C3380CC4-5D6E-409C-BE32-E72D297353CC}">
                  <c16:uniqueId val="{00000029-C2DF-4A95-838E-142494CE4DAC}"/>
                </c:ext>
              </c:extLst>
            </c:dLbl>
            <c:dLbl>
              <c:idx val="18"/>
              <c:delete val="1"/>
              <c:extLst>
                <c:ext xmlns:c15="http://schemas.microsoft.com/office/drawing/2012/chart" uri="{CE6537A1-D6FC-4f65-9D91-7224C49458BB}"/>
                <c:ext xmlns:c16="http://schemas.microsoft.com/office/drawing/2014/chart" uri="{C3380CC4-5D6E-409C-BE32-E72D297353CC}">
                  <c16:uniqueId val="{0000002A-C2DF-4A95-838E-142494CE4DAC}"/>
                </c:ext>
              </c:extLst>
            </c:dLbl>
            <c:dLbl>
              <c:idx val="20"/>
              <c:delete val="1"/>
              <c:extLst>
                <c:ext xmlns:c15="http://schemas.microsoft.com/office/drawing/2012/chart" uri="{CE6537A1-D6FC-4f65-9D91-7224C49458BB}"/>
                <c:ext xmlns:c16="http://schemas.microsoft.com/office/drawing/2014/chart" uri="{C3380CC4-5D6E-409C-BE32-E72D297353CC}">
                  <c16:uniqueId val="{0000002B-C2DF-4A95-838E-142494CE4DAC}"/>
                </c:ext>
              </c:extLst>
            </c:dLbl>
            <c:dLbl>
              <c:idx val="21"/>
              <c:delete val="1"/>
              <c:extLst>
                <c:ext xmlns:c15="http://schemas.microsoft.com/office/drawing/2012/chart" uri="{CE6537A1-D6FC-4f65-9D91-7224C49458BB}"/>
                <c:ext xmlns:c16="http://schemas.microsoft.com/office/drawing/2014/chart" uri="{C3380CC4-5D6E-409C-BE32-E72D297353CC}">
                  <c16:uniqueId val="{0000002C-C2DF-4A95-838E-142494CE4DAC}"/>
                </c:ext>
              </c:extLst>
            </c:dLbl>
            <c:dLbl>
              <c:idx val="22"/>
              <c:delete val="1"/>
              <c:extLst>
                <c:ext xmlns:c15="http://schemas.microsoft.com/office/drawing/2012/chart" uri="{CE6537A1-D6FC-4f65-9D91-7224C49458BB}"/>
                <c:ext xmlns:c16="http://schemas.microsoft.com/office/drawing/2014/chart" uri="{C3380CC4-5D6E-409C-BE32-E72D297353CC}">
                  <c16:uniqueId val="{0000002D-C2DF-4A95-838E-142494CE4DAC}"/>
                </c:ext>
              </c:extLst>
            </c:dLbl>
            <c:dLbl>
              <c:idx val="23"/>
              <c:delete val="1"/>
              <c:extLst>
                <c:ext xmlns:c15="http://schemas.microsoft.com/office/drawing/2012/chart" uri="{CE6537A1-D6FC-4f65-9D91-7224C49458BB}"/>
                <c:ext xmlns:c16="http://schemas.microsoft.com/office/drawing/2014/chart" uri="{C3380CC4-5D6E-409C-BE32-E72D297353CC}">
                  <c16:uniqueId val="{0000002E-C2DF-4A95-838E-142494CE4DAC}"/>
                </c:ext>
              </c:extLst>
            </c:dLbl>
            <c:dLbl>
              <c:idx val="25"/>
              <c:delete val="1"/>
              <c:extLst>
                <c:ext xmlns:c15="http://schemas.microsoft.com/office/drawing/2012/chart" uri="{CE6537A1-D6FC-4f65-9D91-7224C49458BB}"/>
                <c:ext xmlns:c16="http://schemas.microsoft.com/office/drawing/2014/chart" uri="{C3380CC4-5D6E-409C-BE32-E72D297353CC}">
                  <c16:uniqueId val="{0000002F-C2DF-4A95-838E-142494CE4DAC}"/>
                </c:ext>
              </c:extLst>
            </c:dLbl>
            <c:dLbl>
              <c:idx val="26"/>
              <c:delete val="1"/>
              <c:extLst>
                <c:ext xmlns:c15="http://schemas.microsoft.com/office/drawing/2012/chart" uri="{CE6537A1-D6FC-4f65-9D91-7224C49458BB}"/>
                <c:ext xmlns:c16="http://schemas.microsoft.com/office/drawing/2014/chart" uri="{C3380CC4-5D6E-409C-BE32-E72D297353CC}">
                  <c16:uniqueId val="{00000030-C2DF-4A95-838E-142494CE4DAC}"/>
                </c:ext>
              </c:extLst>
            </c:dLbl>
            <c:dLbl>
              <c:idx val="27"/>
              <c:delete val="1"/>
              <c:extLst>
                <c:ext xmlns:c15="http://schemas.microsoft.com/office/drawing/2012/chart" uri="{CE6537A1-D6FC-4f65-9D91-7224C49458BB}"/>
                <c:ext xmlns:c16="http://schemas.microsoft.com/office/drawing/2014/chart" uri="{C3380CC4-5D6E-409C-BE32-E72D297353CC}">
                  <c16:uniqueId val="{00000031-C2DF-4A95-838E-142494CE4DAC}"/>
                </c:ext>
              </c:extLst>
            </c:dLbl>
            <c:dLbl>
              <c:idx val="28"/>
              <c:delete val="1"/>
              <c:extLst>
                <c:ext xmlns:c15="http://schemas.microsoft.com/office/drawing/2012/chart" uri="{CE6537A1-D6FC-4f65-9D91-7224C49458BB}"/>
                <c:ext xmlns:c16="http://schemas.microsoft.com/office/drawing/2014/chart" uri="{C3380CC4-5D6E-409C-BE32-E72D297353CC}">
                  <c16:uniqueId val="{00000032-C2DF-4A95-838E-142494CE4DAC}"/>
                </c:ext>
              </c:extLst>
            </c:dLbl>
            <c:dLbl>
              <c:idx val="30"/>
              <c:delete val="1"/>
              <c:extLst>
                <c:ext xmlns:c15="http://schemas.microsoft.com/office/drawing/2012/chart" uri="{CE6537A1-D6FC-4f65-9D91-7224C49458BB}"/>
                <c:ext xmlns:c16="http://schemas.microsoft.com/office/drawing/2014/chart" uri="{C3380CC4-5D6E-409C-BE32-E72D297353CC}">
                  <c16:uniqueId val="{00000033-C2DF-4A95-838E-142494CE4DAC}"/>
                </c:ext>
              </c:extLst>
            </c:dLbl>
            <c:dLbl>
              <c:idx val="31"/>
              <c:delete val="1"/>
              <c:extLst>
                <c:ext xmlns:c15="http://schemas.microsoft.com/office/drawing/2012/chart" uri="{CE6537A1-D6FC-4f65-9D91-7224C49458BB}"/>
                <c:ext xmlns:c16="http://schemas.microsoft.com/office/drawing/2014/chart" uri="{C3380CC4-5D6E-409C-BE32-E72D297353CC}">
                  <c16:uniqueId val="{00000034-C2DF-4A95-838E-142494CE4DAC}"/>
                </c:ext>
              </c:extLst>
            </c:dLbl>
            <c:dLbl>
              <c:idx val="32"/>
              <c:delete val="1"/>
              <c:extLst>
                <c:ext xmlns:c15="http://schemas.microsoft.com/office/drawing/2012/chart" uri="{CE6537A1-D6FC-4f65-9D91-7224C49458BB}"/>
                <c:ext xmlns:c16="http://schemas.microsoft.com/office/drawing/2014/chart" uri="{C3380CC4-5D6E-409C-BE32-E72D297353CC}">
                  <c16:uniqueId val="{00000035-C2DF-4A95-838E-142494CE4DAC}"/>
                </c:ext>
              </c:extLst>
            </c:dLbl>
            <c:dLbl>
              <c:idx val="33"/>
              <c:delete val="1"/>
              <c:extLst>
                <c:ext xmlns:c15="http://schemas.microsoft.com/office/drawing/2012/chart" uri="{CE6537A1-D6FC-4f65-9D91-7224C49458BB}"/>
                <c:ext xmlns:c16="http://schemas.microsoft.com/office/drawing/2014/chart" uri="{C3380CC4-5D6E-409C-BE32-E72D297353CC}">
                  <c16:uniqueId val="{00000036-C2DF-4A95-838E-142494CE4DA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'Advanced Table'!$M$28:$M$507</c15:sqref>
                  </c15:fullRef>
                </c:ext>
              </c:extLst>
              <c:f>('Advanced Table'!$M$28:$M$458,'Advanced Table'!$M$460:$M$470,'Advanced Table'!$M$472:$M$482,'Advanced Table'!$M$484:$M$494,'Advanced Table'!$M$496:$M$506)</c:f>
              <c:numCache>
                <c:formatCode>_("$"* #,##0_);_("$"* \(#,##0\);_("$"* "-"??_);_(@_)</c:formatCode>
                <c:ptCount val="35"/>
                <c:pt idx="0">
                  <c:v>3129.2210737395885</c:v>
                </c:pt>
                <c:pt idx="1">
                  <c:v>3146.971907072922</c:v>
                </c:pt>
                <c:pt idx="2">
                  <c:v>3165.3440195729218</c:v>
                </c:pt>
                <c:pt idx="3">
                  <c:v>3184.3591560104219</c:v>
                </c:pt>
                <c:pt idx="4">
                  <c:v>3204.0398222232343</c:v>
                </c:pt>
                <c:pt idx="5">
                  <c:v>3224.4093117534953</c:v>
                </c:pt>
                <c:pt idx="6">
                  <c:v>3245.4917334173151</c:v>
                </c:pt>
                <c:pt idx="7">
                  <c:v>3267.3120398393689</c:v>
                </c:pt>
                <c:pt idx="8">
                  <c:v>3289.8960569861947</c:v>
                </c:pt>
                <c:pt idx="9">
                  <c:v>3313.270514733159</c:v>
                </c:pt>
                <c:pt idx="10">
                  <c:v>3337.4630785012673</c:v>
                </c:pt>
                <c:pt idx="11">
                  <c:v>3362.5023820012593</c:v>
                </c:pt>
                <c:pt idx="12">
                  <c:v>3388.4180611237507</c:v>
                </c:pt>
                <c:pt idx="13">
                  <c:v>3415.24078901553</c:v>
                </c:pt>
                <c:pt idx="14">
                  <c:v>3443.0023123835208</c:v>
                </c:pt>
                <c:pt idx="15">
                  <c:v>3471.7354890693919</c:v>
                </c:pt>
                <c:pt idx="16">
                  <c:v>3501.4743269392684</c:v>
                </c:pt>
                <c:pt idx="17">
                  <c:v>3532.2540241345905</c:v>
                </c:pt>
                <c:pt idx="18">
                  <c:v>3564.1110107317486</c:v>
                </c:pt>
                <c:pt idx="19">
                  <c:v>3597.0829918598074</c:v>
                </c:pt>
                <c:pt idx="20">
                  <c:v>3631.2089923273484</c:v>
                </c:pt>
                <c:pt idx="21">
                  <c:v>3666.529402811253</c:v>
                </c:pt>
                <c:pt idx="22">
                  <c:v>3703.0860276620947</c:v>
                </c:pt>
                <c:pt idx="23">
                  <c:v>3740.9221343827157</c:v>
                </c:pt>
                <c:pt idx="24">
                  <c:v>3780.0825048385586</c:v>
                </c:pt>
                <c:pt idx="25">
                  <c:v>3820.6134882603556</c:v>
                </c:pt>
                <c:pt idx="26">
                  <c:v>3862.5630561019157</c:v>
                </c:pt>
                <c:pt idx="27">
                  <c:v>3905.9808588179303</c:v>
                </c:pt>
                <c:pt idx="28">
                  <c:v>3950.9182846290055</c:v>
                </c:pt>
                <c:pt idx="29">
                  <c:v>3981.1424681205099</c:v>
                </c:pt>
                <c:pt idx="30">
                  <c:v>1423.5122072350155</c:v>
                </c:pt>
                <c:pt idx="31">
                  <c:v>1473.3351344882408</c:v>
                </c:pt>
                <c:pt idx="32">
                  <c:v>1524.9018641953292</c:v>
                </c:pt>
                <c:pt idx="33">
                  <c:v>1578.2734294421657</c:v>
                </c:pt>
                <c:pt idx="34">
                  <c:v>1633.5129994726412</c:v>
                </c:pt>
              </c:numCache>
            </c:numRef>
          </c:val>
          <c:smooth val="0"/>
          <c:extLst>
            <c:ext xmlns:c16="http://schemas.microsoft.com/office/drawing/2014/chart" uri="{C3380CC4-5D6E-409C-BE32-E72D297353CC}">
              <c16:uniqueId val="{00000037-C2DF-4A95-838E-142494CE4DAC}"/>
            </c:ext>
          </c:extLst>
        </c:ser>
        <c:dLbls>
          <c:dLblPos val="t"/>
          <c:showLegendKey val="0"/>
          <c:showVal val="1"/>
          <c:showCatName val="0"/>
          <c:showSerName val="0"/>
          <c:showPercent val="0"/>
          <c:showBubbleSize val="0"/>
        </c:dLbls>
        <c:smooth val="0"/>
        <c:axId val="185158287"/>
        <c:axId val="418832095"/>
      </c:lineChart>
      <c:catAx>
        <c:axId val="18515828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2095"/>
        <c:crosses val="autoZero"/>
        <c:auto val="1"/>
        <c:lblAlgn val="ctr"/>
        <c:lblOffset val="100"/>
        <c:noMultiLvlLbl val="0"/>
      </c:catAx>
      <c:valAx>
        <c:axId val="41883209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5828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Mortgage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lineChart>
        <c:grouping val="standard"/>
        <c:varyColors val="0"/>
        <c:ser>
          <c:idx val="0"/>
          <c:order val="0"/>
          <c:tx>
            <c:v>Loan Value</c:v>
          </c:tx>
          <c:spPr>
            <a:ln w="28575" cap="rnd">
              <a:solidFill>
                <a:srgbClr val="002E6D"/>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EA3-4783-B18A-932E90D9C8B1}"/>
                </c:ext>
              </c:extLst>
            </c:dLbl>
            <c:dLbl>
              <c:idx val="2"/>
              <c:delete val="1"/>
              <c:extLst>
                <c:ext xmlns:c15="http://schemas.microsoft.com/office/drawing/2012/chart" uri="{CE6537A1-D6FC-4f65-9D91-7224C49458BB}"/>
                <c:ext xmlns:c16="http://schemas.microsoft.com/office/drawing/2014/chart" uri="{C3380CC4-5D6E-409C-BE32-E72D297353CC}">
                  <c16:uniqueId val="{00000000-9823-4FF4-8370-CAA38126C364}"/>
                </c:ext>
              </c:extLst>
            </c:dLbl>
            <c:dLbl>
              <c:idx val="3"/>
              <c:delete val="1"/>
              <c:extLst>
                <c:ext xmlns:c15="http://schemas.microsoft.com/office/drawing/2012/chart" uri="{CE6537A1-D6FC-4f65-9D91-7224C49458BB}"/>
                <c:ext xmlns:c16="http://schemas.microsoft.com/office/drawing/2014/chart" uri="{C3380CC4-5D6E-409C-BE32-E72D297353CC}">
                  <c16:uniqueId val="{00000001-9823-4FF4-8370-CAA38126C364}"/>
                </c:ext>
              </c:extLst>
            </c:dLbl>
            <c:dLbl>
              <c:idx val="5"/>
              <c:delete val="1"/>
              <c:extLst>
                <c:ext xmlns:c15="http://schemas.microsoft.com/office/drawing/2012/chart" uri="{CE6537A1-D6FC-4f65-9D91-7224C49458BB}"/>
                <c:ext xmlns:c16="http://schemas.microsoft.com/office/drawing/2014/chart" uri="{C3380CC4-5D6E-409C-BE32-E72D297353CC}">
                  <c16:uniqueId val="{00000002-9823-4FF4-8370-CAA38126C364}"/>
                </c:ext>
              </c:extLst>
            </c:dLbl>
            <c:dLbl>
              <c:idx val="6"/>
              <c:delete val="1"/>
              <c:extLst>
                <c:ext xmlns:c15="http://schemas.microsoft.com/office/drawing/2012/chart" uri="{CE6537A1-D6FC-4f65-9D91-7224C49458BB}"/>
                <c:ext xmlns:c16="http://schemas.microsoft.com/office/drawing/2014/chart" uri="{C3380CC4-5D6E-409C-BE32-E72D297353CC}">
                  <c16:uniqueId val="{00000003-9823-4FF4-8370-CAA38126C364}"/>
                </c:ext>
              </c:extLst>
            </c:dLbl>
            <c:dLbl>
              <c:idx val="7"/>
              <c:delete val="1"/>
              <c:extLst>
                <c:ext xmlns:c15="http://schemas.microsoft.com/office/drawing/2012/chart" uri="{CE6537A1-D6FC-4f65-9D91-7224C49458BB}"/>
                <c:ext xmlns:c16="http://schemas.microsoft.com/office/drawing/2014/chart" uri="{C3380CC4-5D6E-409C-BE32-E72D297353CC}">
                  <c16:uniqueId val="{00000004-9823-4FF4-8370-CAA38126C364}"/>
                </c:ext>
              </c:extLst>
            </c:dLbl>
            <c:dLbl>
              <c:idx val="8"/>
              <c:delete val="1"/>
              <c:extLst>
                <c:ext xmlns:c15="http://schemas.microsoft.com/office/drawing/2012/chart" uri="{CE6537A1-D6FC-4f65-9D91-7224C49458BB}"/>
                <c:ext xmlns:c16="http://schemas.microsoft.com/office/drawing/2014/chart" uri="{C3380CC4-5D6E-409C-BE32-E72D297353CC}">
                  <c16:uniqueId val="{00000005-9823-4FF4-8370-CAA38126C364}"/>
                </c:ext>
              </c:extLst>
            </c:dLbl>
            <c:dLbl>
              <c:idx val="10"/>
              <c:delete val="1"/>
              <c:extLst>
                <c:ext xmlns:c15="http://schemas.microsoft.com/office/drawing/2012/chart" uri="{CE6537A1-D6FC-4f65-9D91-7224C49458BB}"/>
                <c:ext xmlns:c16="http://schemas.microsoft.com/office/drawing/2014/chart" uri="{C3380CC4-5D6E-409C-BE32-E72D297353CC}">
                  <c16:uniqueId val="{00000006-9823-4FF4-8370-CAA38126C364}"/>
                </c:ext>
              </c:extLst>
            </c:dLbl>
            <c:dLbl>
              <c:idx val="11"/>
              <c:delete val="1"/>
              <c:extLst>
                <c:ext xmlns:c15="http://schemas.microsoft.com/office/drawing/2012/chart" uri="{CE6537A1-D6FC-4f65-9D91-7224C49458BB}"/>
                <c:ext xmlns:c16="http://schemas.microsoft.com/office/drawing/2014/chart" uri="{C3380CC4-5D6E-409C-BE32-E72D297353CC}">
                  <c16:uniqueId val="{00000007-9823-4FF4-8370-CAA38126C364}"/>
                </c:ext>
              </c:extLst>
            </c:dLbl>
            <c:dLbl>
              <c:idx val="12"/>
              <c:delete val="1"/>
              <c:extLst>
                <c:ext xmlns:c15="http://schemas.microsoft.com/office/drawing/2012/chart" uri="{CE6537A1-D6FC-4f65-9D91-7224C49458BB}"/>
                <c:ext xmlns:c16="http://schemas.microsoft.com/office/drawing/2014/chart" uri="{C3380CC4-5D6E-409C-BE32-E72D297353CC}">
                  <c16:uniqueId val="{00000006-5066-4147-AC65-1A2678CF1C0F}"/>
                </c:ext>
              </c:extLst>
            </c:dLbl>
            <c:dLbl>
              <c:idx val="13"/>
              <c:delete val="1"/>
              <c:extLst>
                <c:ext xmlns:c15="http://schemas.microsoft.com/office/drawing/2012/chart" uri="{CE6537A1-D6FC-4f65-9D91-7224C49458BB}"/>
                <c:ext xmlns:c16="http://schemas.microsoft.com/office/drawing/2014/chart" uri="{C3380CC4-5D6E-409C-BE32-E72D297353CC}">
                  <c16:uniqueId val="{00000008-9823-4FF4-8370-CAA38126C364}"/>
                </c:ext>
              </c:extLst>
            </c:dLbl>
            <c:dLbl>
              <c:idx val="15"/>
              <c:delete val="1"/>
              <c:extLst>
                <c:ext xmlns:c15="http://schemas.microsoft.com/office/drawing/2012/chart" uri="{CE6537A1-D6FC-4f65-9D91-7224C49458BB}"/>
                <c:ext xmlns:c16="http://schemas.microsoft.com/office/drawing/2014/chart" uri="{C3380CC4-5D6E-409C-BE32-E72D297353CC}">
                  <c16:uniqueId val="{00000009-9823-4FF4-8370-CAA38126C364}"/>
                </c:ext>
              </c:extLst>
            </c:dLbl>
            <c:dLbl>
              <c:idx val="16"/>
              <c:delete val="1"/>
              <c:extLst>
                <c:ext xmlns:c15="http://schemas.microsoft.com/office/drawing/2012/chart" uri="{CE6537A1-D6FC-4f65-9D91-7224C49458BB}"/>
                <c:ext xmlns:c16="http://schemas.microsoft.com/office/drawing/2014/chart" uri="{C3380CC4-5D6E-409C-BE32-E72D297353CC}">
                  <c16:uniqueId val="{0000000A-9823-4FF4-8370-CAA38126C364}"/>
                </c:ext>
              </c:extLst>
            </c:dLbl>
            <c:dLbl>
              <c:idx val="17"/>
              <c:delete val="1"/>
              <c:extLst>
                <c:ext xmlns:c15="http://schemas.microsoft.com/office/drawing/2012/chart" uri="{CE6537A1-D6FC-4f65-9D91-7224C49458BB}"/>
                <c:ext xmlns:c16="http://schemas.microsoft.com/office/drawing/2014/chart" uri="{C3380CC4-5D6E-409C-BE32-E72D297353CC}">
                  <c16:uniqueId val="{0000000B-9823-4FF4-8370-CAA38126C364}"/>
                </c:ext>
              </c:extLst>
            </c:dLbl>
            <c:dLbl>
              <c:idx val="18"/>
              <c:delete val="1"/>
              <c:extLst>
                <c:ext xmlns:c15="http://schemas.microsoft.com/office/drawing/2012/chart" uri="{CE6537A1-D6FC-4f65-9D91-7224C49458BB}"/>
                <c:ext xmlns:c16="http://schemas.microsoft.com/office/drawing/2014/chart" uri="{C3380CC4-5D6E-409C-BE32-E72D297353CC}">
                  <c16:uniqueId val="{0000000C-9823-4FF4-8370-CAA38126C36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E6D"/>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Table'!$P$39:$P$267</c:f>
              <c:numCache>
                <c:formatCode>_("$"* #,##0_);_("$"* \(#,##0\);_("$"* "-"??_);_(@_)</c:formatCode>
                <c:ptCount val="20"/>
                <c:pt idx="0">
                  <c:v>371543.12089693488</c:v>
                </c:pt>
                <c:pt idx="1">
                  <c:v>367817.87528516771</c:v>
                </c:pt>
                <c:pt idx="2">
                  <c:v>363803.42917518201</c:v>
                </c:pt>
                <c:pt idx="3">
                  <c:v>359477.33118071058</c:v>
                </c:pt>
                <c:pt idx="4">
                  <c:v>354815.38695602235</c:v>
                </c:pt>
                <c:pt idx="5">
                  <c:v>349791.52388544986</c:v>
                </c:pt>
                <c:pt idx="6">
                  <c:v>344377.64526841196</c:v>
                </c:pt>
                <c:pt idx="7">
                  <c:v>338543.47318444226</c:v>
                </c:pt>
                <c:pt idx="8">
                  <c:v>332256.37915942085</c:v>
                </c:pt>
                <c:pt idx="9">
                  <c:v>325481.20168598462</c:v>
                </c:pt>
                <c:pt idx="10">
                  <c:v>318180.04957757489</c:v>
                </c:pt>
                <c:pt idx="11">
                  <c:v>310312.09005634603</c:v>
                </c:pt>
                <c:pt idx="12">
                  <c:v>301833.32038979011</c:v>
                </c:pt>
                <c:pt idx="13">
                  <c:v>292696.32179891772</c:v>
                </c:pt>
                <c:pt idx="14">
                  <c:v>282849.99426169205</c:v>
                </c:pt>
                <c:pt idx="15">
                  <c:v>272239.27072856383</c:v>
                </c:pt>
                <c:pt idx="16">
                  <c:v>260804.80915181607</c:v>
                </c:pt>
                <c:pt idx="17">
                  <c:v>248482.66060634595</c:v>
                </c:pt>
                <c:pt idx="18">
                  <c:v>235203.91164580089</c:v>
                </c:pt>
                <c:pt idx="19">
                  <c:v>220894.29889389192</c:v>
                </c:pt>
              </c:numCache>
            </c:numRef>
          </c:val>
          <c:smooth val="0"/>
          <c:extLst>
            <c:ext xmlns:c16="http://schemas.microsoft.com/office/drawing/2014/chart" uri="{C3380CC4-5D6E-409C-BE32-E72D297353CC}">
              <c16:uniqueId val="{00000025-8EA3-4783-B18A-932E90D9C8B1}"/>
            </c:ext>
          </c:extLst>
        </c:ser>
        <c:dLbls>
          <c:dLblPos val="t"/>
          <c:showLegendKey val="0"/>
          <c:showVal val="1"/>
          <c:showCatName val="0"/>
          <c:showSerName val="0"/>
          <c:showPercent val="0"/>
          <c:showBubbleSize val="0"/>
        </c:dLbls>
        <c:smooth val="0"/>
        <c:axId val="1720037935"/>
        <c:axId val="1720038767"/>
      </c:lineChart>
      <c:catAx>
        <c:axId val="17200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8767"/>
        <c:crosses val="autoZero"/>
        <c:auto val="1"/>
        <c:lblAlgn val="ctr"/>
        <c:lblOffset val="100"/>
        <c:noMultiLvlLbl val="0"/>
      </c:catAx>
      <c:valAx>
        <c:axId val="172003876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72003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accent1">
            <a:lumMod val="5000"/>
            <a:lumOff val="95000"/>
          </a:schemeClr>
        </a:gs>
        <a:gs pos="57000">
          <a:schemeClr val="bg1">
            <a:lumMod val="95000"/>
          </a:schemeClr>
        </a:gs>
        <a:gs pos="100000">
          <a:schemeClr val="bg1">
            <a:lumMod val="75000"/>
          </a:schemeClr>
        </a:gs>
      </a:gsLst>
      <a:lin ang="0" scaled="1"/>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Estimated Annual Tax Deduction</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lineChart>
        <c:grouping val="standard"/>
        <c:varyColors val="0"/>
        <c:ser>
          <c:idx val="0"/>
          <c:order val="0"/>
          <c:tx>
            <c:v>Estimated Annual Tax Deduction</c:v>
          </c:tx>
          <c:spPr>
            <a:ln w="28575" cap="rnd">
              <a:solidFill>
                <a:srgbClr val="002E6D"/>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523-4386-8B3A-6865567F9F2F}"/>
                </c:ext>
              </c:extLst>
            </c:dLbl>
            <c:dLbl>
              <c:idx val="2"/>
              <c:delete val="1"/>
              <c:extLst>
                <c:ext xmlns:c15="http://schemas.microsoft.com/office/drawing/2012/chart" uri="{CE6537A1-D6FC-4f65-9D91-7224C49458BB}"/>
                <c:ext xmlns:c16="http://schemas.microsoft.com/office/drawing/2014/chart" uri="{C3380CC4-5D6E-409C-BE32-E72D297353CC}">
                  <c16:uniqueId val="{00000000-8A23-4EAE-A33C-2C598B483D67}"/>
                </c:ext>
              </c:extLst>
            </c:dLbl>
            <c:dLbl>
              <c:idx val="3"/>
              <c:delete val="1"/>
              <c:extLst>
                <c:ext xmlns:c15="http://schemas.microsoft.com/office/drawing/2012/chart" uri="{CE6537A1-D6FC-4f65-9D91-7224C49458BB}"/>
                <c:ext xmlns:c16="http://schemas.microsoft.com/office/drawing/2014/chart" uri="{C3380CC4-5D6E-409C-BE32-E72D297353CC}">
                  <c16:uniqueId val="{00000001-8A23-4EAE-A33C-2C598B483D67}"/>
                </c:ext>
              </c:extLst>
            </c:dLbl>
            <c:dLbl>
              <c:idx val="5"/>
              <c:delete val="1"/>
              <c:extLst>
                <c:ext xmlns:c15="http://schemas.microsoft.com/office/drawing/2012/chart" uri="{CE6537A1-D6FC-4f65-9D91-7224C49458BB}"/>
                <c:ext xmlns:c16="http://schemas.microsoft.com/office/drawing/2014/chart" uri="{C3380CC4-5D6E-409C-BE32-E72D297353CC}">
                  <c16:uniqueId val="{00000002-8A23-4EAE-A33C-2C598B483D67}"/>
                </c:ext>
              </c:extLst>
            </c:dLbl>
            <c:dLbl>
              <c:idx val="6"/>
              <c:delete val="1"/>
              <c:extLst>
                <c:ext xmlns:c15="http://schemas.microsoft.com/office/drawing/2012/chart" uri="{CE6537A1-D6FC-4f65-9D91-7224C49458BB}"/>
                <c:ext xmlns:c16="http://schemas.microsoft.com/office/drawing/2014/chart" uri="{C3380CC4-5D6E-409C-BE32-E72D297353CC}">
                  <c16:uniqueId val="{00000003-8A23-4EAE-A33C-2C598B483D67}"/>
                </c:ext>
              </c:extLst>
            </c:dLbl>
            <c:dLbl>
              <c:idx val="7"/>
              <c:delete val="1"/>
              <c:extLst>
                <c:ext xmlns:c15="http://schemas.microsoft.com/office/drawing/2012/chart" uri="{CE6537A1-D6FC-4f65-9D91-7224C49458BB}"/>
                <c:ext xmlns:c16="http://schemas.microsoft.com/office/drawing/2014/chart" uri="{C3380CC4-5D6E-409C-BE32-E72D297353CC}">
                  <c16:uniqueId val="{00000004-8A23-4EAE-A33C-2C598B483D67}"/>
                </c:ext>
              </c:extLst>
            </c:dLbl>
            <c:dLbl>
              <c:idx val="8"/>
              <c:delete val="1"/>
              <c:extLst>
                <c:ext xmlns:c15="http://schemas.microsoft.com/office/drawing/2012/chart" uri="{CE6537A1-D6FC-4f65-9D91-7224C49458BB}"/>
                <c:ext xmlns:c16="http://schemas.microsoft.com/office/drawing/2014/chart" uri="{C3380CC4-5D6E-409C-BE32-E72D297353CC}">
                  <c16:uniqueId val="{00000005-8A23-4EAE-A33C-2C598B483D67}"/>
                </c:ext>
              </c:extLst>
            </c:dLbl>
            <c:dLbl>
              <c:idx val="10"/>
              <c:delete val="1"/>
              <c:extLst>
                <c:ext xmlns:c15="http://schemas.microsoft.com/office/drawing/2012/chart" uri="{CE6537A1-D6FC-4f65-9D91-7224C49458BB}"/>
                <c:ext xmlns:c16="http://schemas.microsoft.com/office/drawing/2014/chart" uri="{C3380CC4-5D6E-409C-BE32-E72D297353CC}">
                  <c16:uniqueId val="{00000006-8A23-4EAE-A33C-2C598B483D67}"/>
                </c:ext>
              </c:extLst>
            </c:dLbl>
            <c:dLbl>
              <c:idx val="11"/>
              <c:delete val="1"/>
              <c:extLst>
                <c:ext xmlns:c15="http://schemas.microsoft.com/office/drawing/2012/chart" uri="{CE6537A1-D6FC-4f65-9D91-7224C49458BB}"/>
                <c:ext xmlns:c16="http://schemas.microsoft.com/office/drawing/2014/chart" uri="{C3380CC4-5D6E-409C-BE32-E72D297353CC}">
                  <c16:uniqueId val="{00000007-8A23-4EAE-A33C-2C598B483D67}"/>
                </c:ext>
              </c:extLst>
            </c:dLbl>
            <c:dLbl>
              <c:idx val="12"/>
              <c:delete val="1"/>
              <c:extLst>
                <c:ext xmlns:c15="http://schemas.microsoft.com/office/drawing/2012/chart" uri="{CE6537A1-D6FC-4f65-9D91-7224C49458BB}"/>
                <c:ext xmlns:c16="http://schemas.microsoft.com/office/drawing/2014/chart" uri="{C3380CC4-5D6E-409C-BE32-E72D297353CC}">
                  <c16:uniqueId val="{0000000A-A523-4386-8B3A-6865567F9F2F}"/>
                </c:ext>
              </c:extLst>
            </c:dLbl>
            <c:dLbl>
              <c:idx val="13"/>
              <c:delete val="1"/>
              <c:extLst>
                <c:ext xmlns:c15="http://schemas.microsoft.com/office/drawing/2012/chart" uri="{CE6537A1-D6FC-4f65-9D91-7224C49458BB}"/>
                <c:ext xmlns:c16="http://schemas.microsoft.com/office/drawing/2014/chart" uri="{C3380CC4-5D6E-409C-BE32-E72D297353CC}">
                  <c16:uniqueId val="{00000008-8A23-4EAE-A33C-2C598B483D67}"/>
                </c:ext>
              </c:extLst>
            </c:dLbl>
            <c:dLbl>
              <c:idx val="15"/>
              <c:delete val="1"/>
              <c:extLst>
                <c:ext xmlns:c15="http://schemas.microsoft.com/office/drawing/2012/chart" uri="{CE6537A1-D6FC-4f65-9D91-7224C49458BB}"/>
                <c:ext xmlns:c16="http://schemas.microsoft.com/office/drawing/2014/chart" uri="{C3380CC4-5D6E-409C-BE32-E72D297353CC}">
                  <c16:uniqueId val="{00000009-8A23-4EAE-A33C-2C598B483D67}"/>
                </c:ext>
              </c:extLst>
            </c:dLbl>
            <c:dLbl>
              <c:idx val="16"/>
              <c:delete val="1"/>
              <c:extLst>
                <c:ext xmlns:c15="http://schemas.microsoft.com/office/drawing/2012/chart" uri="{CE6537A1-D6FC-4f65-9D91-7224C49458BB}"/>
                <c:ext xmlns:c16="http://schemas.microsoft.com/office/drawing/2014/chart" uri="{C3380CC4-5D6E-409C-BE32-E72D297353CC}">
                  <c16:uniqueId val="{0000000A-8A23-4EAE-A33C-2C598B483D67}"/>
                </c:ext>
              </c:extLst>
            </c:dLbl>
            <c:dLbl>
              <c:idx val="17"/>
              <c:delete val="1"/>
              <c:extLst>
                <c:ext xmlns:c15="http://schemas.microsoft.com/office/drawing/2012/chart" uri="{CE6537A1-D6FC-4f65-9D91-7224C49458BB}"/>
                <c:ext xmlns:c16="http://schemas.microsoft.com/office/drawing/2014/chart" uri="{C3380CC4-5D6E-409C-BE32-E72D297353CC}">
                  <c16:uniqueId val="{0000000B-8A23-4EAE-A33C-2C598B483D67}"/>
                </c:ext>
              </c:extLst>
            </c:dLbl>
            <c:dLbl>
              <c:idx val="18"/>
              <c:delete val="1"/>
              <c:extLst>
                <c:ext xmlns:c15="http://schemas.microsoft.com/office/drawing/2012/chart" uri="{CE6537A1-D6FC-4f65-9D91-7224C49458BB}"/>
                <c:ext xmlns:c16="http://schemas.microsoft.com/office/drawing/2014/chart" uri="{C3380CC4-5D6E-409C-BE32-E72D297353CC}">
                  <c16:uniqueId val="{0000000C-8A23-4EAE-A33C-2C598B483D6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E6D"/>
                    </a:solidFill>
                    <a:latin typeface="Garamond" panose="020204040303010108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'Advanced Table'!$B$39:$B$267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'Advanced Table'!$Y$39:$Y$267</c:f>
            </c:numRef>
          </c:val>
          <c:smooth val="0"/>
          <c:extLst>
            <c:ext xmlns:c16="http://schemas.microsoft.com/office/drawing/2014/chart" uri="{C3380CC4-5D6E-409C-BE32-E72D297353CC}">
              <c16:uniqueId val="{00000020-5E17-4A22-A1C7-B5A743D65A9B}"/>
            </c:ext>
          </c:extLst>
        </c:ser>
        <c:dLbls>
          <c:dLblPos val="t"/>
          <c:showLegendKey val="0"/>
          <c:showVal val="1"/>
          <c:showCatName val="0"/>
          <c:showSerName val="0"/>
          <c:showPercent val="0"/>
          <c:showBubbleSize val="0"/>
        </c:dLbls>
        <c:marker val="1"/>
        <c:smooth val="0"/>
        <c:axId val="1720037935"/>
        <c:axId val="1720038767"/>
      </c:lineChart>
      <c:catAx>
        <c:axId val="17200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Garamond" panose="02020404030301010803" pitchFamily="18" charset="0"/>
                <a:ea typeface="+mn-ea"/>
                <a:cs typeface="+mn-cs"/>
              </a:defRPr>
            </a:pPr>
            <a:endParaRPr lang="en-US"/>
          </a:p>
        </c:txPr>
        <c:crossAx val="1720038767"/>
        <c:crosses val="autoZero"/>
        <c:auto val="1"/>
        <c:lblAlgn val="ctr"/>
        <c:lblOffset val="100"/>
        <c:noMultiLvlLbl val="0"/>
      </c:catAx>
      <c:valAx>
        <c:axId val="172003876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Garamond" panose="02020404030301010803" pitchFamily="18" charset="0"/>
                <a:ea typeface="+mn-ea"/>
                <a:cs typeface="+mn-cs"/>
              </a:defRPr>
            </a:pPr>
            <a:endParaRPr lang="en-US"/>
          </a:p>
        </c:txPr>
        <c:crossAx val="172003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accent1">
            <a:lumMod val="5000"/>
            <a:lumOff val="95000"/>
          </a:schemeClr>
        </a:gs>
        <a:gs pos="57000">
          <a:schemeClr val="bg1">
            <a:lumMod val="95000"/>
          </a:schemeClr>
        </a:gs>
        <a:gs pos="100000">
          <a:schemeClr val="bg1">
            <a:lumMod val="75000"/>
          </a:schemeClr>
        </a:gs>
      </a:gsLst>
      <a:lin ang="0" scaled="1"/>
    </a:gra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absolute">
    <xdr:from>
      <xdr:col>3</xdr:col>
      <xdr:colOff>225413</xdr:colOff>
      <xdr:row>26</xdr:row>
      <xdr:rowOff>72913</xdr:rowOff>
    </xdr:from>
    <xdr:to>
      <xdr:col>20</xdr:col>
      <xdr:colOff>187048</xdr:colOff>
      <xdr:row>45</xdr:row>
      <xdr:rowOff>3326</xdr:rowOff>
    </xdr:to>
    <xdr:graphicFrame macro="">
      <xdr:nvGraphicFramePr>
        <xdr:cNvPr id="3" name="Chart 2">
          <a:extLst>
            <a:ext uri="{FF2B5EF4-FFF2-40B4-BE49-F238E27FC236}">
              <a16:creationId xmlns:a16="http://schemas.microsoft.com/office/drawing/2014/main" id="{A28ECC0C-8859-4198-AE24-33ECE4F1FD1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225362</xdr:colOff>
      <xdr:row>6</xdr:row>
      <xdr:rowOff>72832</xdr:rowOff>
    </xdr:from>
    <xdr:to>
      <xdr:col>20</xdr:col>
      <xdr:colOff>149218</xdr:colOff>
      <xdr:row>24</xdr:row>
      <xdr:rowOff>117502</xdr:rowOff>
    </xdr:to>
    <xdr:graphicFrame macro="">
      <xdr:nvGraphicFramePr>
        <xdr:cNvPr id="2" name="Chart 1">
          <a:extLst>
            <a:ext uri="{FF2B5EF4-FFF2-40B4-BE49-F238E27FC236}">
              <a16:creationId xmlns:a16="http://schemas.microsoft.com/office/drawing/2014/main" id="{1D6F43D3-6950-42F2-8012-912A217B235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197153</xdr:colOff>
      <xdr:row>0</xdr:row>
      <xdr:rowOff>144862</xdr:rowOff>
    </xdr:from>
    <xdr:to>
      <xdr:col>22</xdr:col>
      <xdr:colOff>916333</xdr:colOff>
      <xdr:row>5</xdr:row>
      <xdr:rowOff>4721</xdr:rowOff>
    </xdr:to>
    <xdr:pic>
      <xdr:nvPicPr>
        <xdr:cNvPr id="5" name="Picture 4">
          <a:extLst>
            <a:ext uri="{FF2B5EF4-FFF2-40B4-BE49-F238E27FC236}">
              <a16:creationId xmlns:a16="http://schemas.microsoft.com/office/drawing/2014/main" id="{11CF2A52-6CD3-1510-04BD-FA9F39995A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41153" y="144862"/>
          <a:ext cx="3203963" cy="9588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136779</xdr:rowOff>
    </xdr:from>
    <xdr:to>
      <xdr:col>3</xdr:col>
      <xdr:colOff>999393</xdr:colOff>
      <xdr:row>19</xdr:row>
      <xdr:rowOff>50148</xdr:rowOff>
    </xdr:to>
    <xdr:sp macro="" textlink="">
      <xdr:nvSpPr>
        <xdr:cNvPr id="4" name="Rectangle 3">
          <a:extLst>
            <a:ext uri="{FF2B5EF4-FFF2-40B4-BE49-F238E27FC236}">
              <a16:creationId xmlns:a16="http://schemas.microsoft.com/office/drawing/2014/main" id="{2A8422FD-9060-4A34-9FFE-178856625B1F}"/>
            </a:ext>
          </a:extLst>
        </xdr:cNvPr>
        <xdr:cNvSpPr/>
      </xdr:nvSpPr>
      <xdr:spPr>
        <a:xfrm>
          <a:off x="0" y="1288639"/>
          <a:ext cx="3657533" cy="24090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effectLst/>
              <a:latin typeface="Garamond" panose="02020404030301010803" pitchFamily="18" charset="0"/>
              <a:ea typeface="+mn-ea"/>
              <a:cs typeface="+mn-cs"/>
            </a:rPr>
            <a:t>Mortgage</a:t>
          </a:r>
          <a:endParaRPr lang="en-US" sz="1100">
            <a:solidFill>
              <a:sysClr val="windowText" lastClr="000000"/>
            </a:solidFill>
            <a:effectLst/>
            <a:latin typeface="Garamond" panose="02020404030301010803" pitchFamily="18" charset="0"/>
            <a:ea typeface="+mn-ea"/>
            <a:cs typeface="+mn-cs"/>
          </a:endParaRP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This is a visual representation of the value of the loan decreasing over time.  As with the others, the values are listed here every five years to make the graph more readable.  Reference the chart under the column “Loan Value” for values at the end of each year.</a:t>
          </a:r>
        </a:p>
        <a:p>
          <a:endParaRPr lang="en-US" sz="1100">
            <a:solidFill>
              <a:sysClr val="windowText" lastClr="000000"/>
            </a:solidFill>
            <a:effectLst/>
            <a:latin typeface="Garamond" panose="02020404030301010803" pitchFamily="18" charset="0"/>
            <a:ea typeface="+mn-ea"/>
            <a:cs typeface="+mn-cs"/>
          </a:endParaRPr>
        </a:p>
        <a:p>
          <a:r>
            <a:rPr lang="en-US" sz="900" b="0" i="0">
              <a:solidFill>
                <a:sysClr val="windowText" lastClr="000000"/>
              </a:solidFill>
              <a:effectLst/>
              <a:latin typeface="Garamond" panose="02020404030301010803" pitchFamily="18" charset="0"/>
              <a:ea typeface="+mn-ea"/>
              <a:cs typeface="+mn-cs"/>
            </a:rPr>
            <a:t>Equal Housing Opportunity. All loans subject to underwriting approval. Certain restrictions apply. Call for details. All borrowers must meet minimum credit score, loan-to-value, debt-to-income, and other requirements to qualify for any mortgage program. CrossCountry Mortgage, LLC NMLS3029 (</a:t>
          </a:r>
          <a:r>
            <a:rPr lang="en-US" sz="900" b="0" i="0" u="sng">
              <a:solidFill>
                <a:sysClr val="windowText" lastClr="000000"/>
              </a:solidFill>
              <a:effectLst/>
              <a:latin typeface="Garamond" panose="02020404030301010803" pitchFamily="18"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www.nmlsconsumeraccess.org</a:t>
          </a:r>
          <a:r>
            <a:rPr lang="en-US" sz="900" b="0" i="0">
              <a:solidFill>
                <a:sysClr val="windowText" lastClr="000000"/>
              </a:solidFill>
              <a:effectLst/>
              <a:latin typeface="Garamond" panose="02020404030301010803" pitchFamily="18" charset="0"/>
              <a:ea typeface="+mn-ea"/>
              <a:cs typeface="+mn-cs"/>
            </a:rPr>
            <a:t>). Sample rate provided for illustration purposes only and is not intended to provide mortgage or other financial advice specific to the circumstances of any individual and should not be relied upon in that regard. CrossCountry Mortgage, LLC cannot predict where rates will be in the future.</a:t>
          </a:r>
          <a:br>
            <a:rPr lang="en-US" sz="900">
              <a:solidFill>
                <a:sysClr val="windowText" lastClr="000000"/>
              </a:solidFill>
              <a:latin typeface="Garamond" panose="02020404030301010803" pitchFamily="18" charset="0"/>
            </a:rPr>
          </a:br>
          <a:endParaRPr lang="en-US" sz="900">
            <a:solidFill>
              <a:sysClr val="windowText" lastClr="000000"/>
            </a:solidFill>
            <a:latin typeface="Garamond" panose="02020404030301010803" pitchFamily="18" charset="0"/>
          </a:endParaRPr>
        </a:p>
      </xdr:txBody>
    </xdr:sp>
    <xdr:clientData/>
  </xdr:twoCellAnchor>
  <xdr:twoCellAnchor editAs="absolute">
    <xdr:from>
      <xdr:col>3</xdr:col>
      <xdr:colOff>1140119</xdr:colOff>
      <xdr:row>5</xdr:row>
      <xdr:rowOff>85725</xdr:rowOff>
    </xdr:from>
    <xdr:to>
      <xdr:col>6</xdr:col>
      <xdr:colOff>1281015</xdr:colOff>
      <xdr:row>20</xdr:row>
      <xdr:rowOff>18011</xdr:rowOff>
    </xdr:to>
    <xdr:graphicFrame macro="">
      <xdr:nvGraphicFramePr>
        <xdr:cNvPr id="6" name="Chart 5">
          <a:extLst>
            <a:ext uri="{FF2B5EF4-FFF2-40B4-BE49-F238E27FC236}">
              <a16:creationId xmlns:a16="http://schemas.microsoft.com/office/drawing/2014/main" id="{3C571013-7302-4EEF-9FFF-C52580E204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1147265</xdr:colOff>
      <xdr:row>21</xdr:row>
      <xdr:rowOff>107156</xdr:rowOff>
    </xdr:from>
    <xdr:to>
      <xdr:col>6</xdr:col>
      <xdr:colOff>1280614</xdr:colOff>
      <xdr:row>36</xdr:row>
      <xdr:rowOff>40481</xdr:rowOff>
    </xdr:to>
    <xdr:graphicFrame macro="">
      <xdr:nvGraphicFramePr>
        <xdr:cNvPr id="7" name="Chart 6">
          <a:extLst>
            <a:ext uri="{FF2B5EF4-FFF2-40B4-BE49-F238E27FC236}">
              <a16:creationId xmlns:a16="http://schemas.microsoft.com/office/drawing/2014/main" id="{CAE15911-8016-4468-A1E5-7225241AA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96440</xdr:rowOff>
    </xdr:from>
    <xdr:to>
      <xdr:col>3</xdr:col>
      <xdr:colOff>983456</xdr:colOff>
      <xdr:row>33</xdr:row>
      <xdr:rowOff>161925</xdr:rowOff>
    </xdr:to>
    <xdr:sp macro="" textlink="">
      <xdr:nvSpPr>
        <xdr:cNvPr id="8" name="Rectangle 7">
          <a:extLst>
            <a:ext uri="{FF2B5EF4-FFF2-40B4-BE49-F238E27FC236}">
              <a16:creationId xmlns:a16="http://schemas.microsoft.com/office/drawing/2014/main" id="{B9791F1C-0899-4B03-B82A-1F898B7BB01D}"/>
            </a:ext>
          </a:extLst>
        </xdr:cNvPr>
        <xdr:cNvSpPr/>
      </xdr:nvSpPr>
      <xdr:spPr>
        <a:xfrm>
          <a:off x="0" y="4511905"/>
          <a:ext cx="3641596" cy="19852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effectLst/>
              <a:latin typeface="Garamond" panose="02020404030301010803" pitchFamily="18" charset="0"/>
              <a:ea typeface="+mn-ea"/>
              <a:cs typeface="+mn-cs"/>
            </a:rPr>
            <a:t>Estimated Annual Tax Deduction</a:t>
          </a:r>
          <a:endParaRPr lang="en-US" sz="1100">
            <a:solidFill>
              <a:sysClr val="windowText" lastClr="000000"/>
            </a:solidFill>
            <a:effectLst/>
            <a:latin typeface="Garamond" panose="02020404030301010803" pitchFamily="18" charset="0"/>
            <a:ea typeface="+mn-ea"/>
            <a:cs typeface="+mn-cs"/>
          </a:endParaRP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This is the estimated deduction each year for expenses related to the real estate investment.  This is based on 80% of the value (each property will be slightly different depending on the amount of value attributed to the land and to the improvements) depreciating over 27.5 years (straight line).  This graph assumes the</a:t>
          </a:r>
          <a:r>
            <a:rPr lang="en-US" sz="1100" baseline="0">
              <a:solidFill>
                <a:sysClr val="windowText" lastClr="000000"/>
              </a:solidFill>
              <a:effectLst/>
              <a:latin typeface="Garamond" panose="02020404030301010803" pitchFamily="18" charset="0"/>
              <a:ea typeface="+mn-ea"/>
              <a:cs typeface="+mn-cs"/>
            </a:rPr>
            <a:t> loan payment is not accelerated, regardless of the assumption entered; it assumes interest is being paid based on the terms of the loan.</a:t>
          </a:r>
          <a:endParaRPr lang="en-US" sz="1100">
            <a:solidFill>
              <a:sysClr val="windowText" lastClr="000000"/>
            </a:solidFill>
            <a:effectLst/>
            <a:latin typeface="Garamond" panose="02020404030301010803" pitchFamily="18" charset="0"/>
            <a:ea typeface="+mn-ea"/>
            <a:cs typeface="+mn-cs"/>
          </a:endParaRP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For tax advice, please consult your tax professional. </a:t>
          </a:r>
        </a:p>
        <a:p>
          <a:pPr algn="l"/>
          <a:endParaRPr lang="en-US" sz="1100">
            <a:solidFill>
              <a:sysClr val="windowText" lastClr="000000"/>
            </a:solidFill>
            <a:latin typeface="Garamond" panose="02020404030301010803" pitchFamily="18" charset="0"/>
          </a:endParaRPr>
        </a:p>
      </xdr:txBody>
    </xdr:sp>
    <xdr:clientData/>
  </xdr:twoCellAnchor>
  <xdr:twoCellAnchor>
    <xdr:from>
      <xdr:col>0</xdr:col>
      <xdr:colOff>0</xdr:colOff>
      <xdr:row>0</xdr:row>
      <xdr:rowOff>142875</xdr:rowOff>
    </xdr:from>
    <xdr:to>
      <xdr:col>4</xdr:col>
      <xdr:colOff>780215</xdr:colOff>
      <xdr:row>5</xdr:row>
      <xdr:rowOff>57990</xdr:rowOff>
    </xdr:to>
    <xdr:pic>
      <xdr:nvPicPr>
        <xdr:cNvPr id="9" name="Picture 8">
          <a:extLst>
            <a:ext uri="{FF2B5EF4-FFF2-40B4-BE49-F238E27FC236}">
              <a16:creationId xmlns:a16="http://schemas.microsoft.com/office/drawing/2014/main" id="{6A5F19BB-F96D-4CC1-B076-5DB4B4A4FA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2875"/>
          <a:ext cx="5123615" cy="86761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2</xdr:col>
      <xdr:colOff>828261</xdr:colOff>
      <xdr:row>2</xdr:row>
      <xdr:rowOff>66261</xdr:rowOff>
    </xdr:from>
    <xdr:to>
      <xdr:col>6</xdr:col>
      <xdr:colOff>1386549</xdr:colOff>
      <xdr:row>2</xdr:row>
      <xdr:rowOff>170446</xdr:rowOff>
    </xdr:to>
    <xdr:sp macro="" textlink="">
      <xdr:nvSpPr>
        <xdr:cNvPr id="10" name="Rectangle 9">
          <a:extLst>
            <a:ext uri="{FF2B5EF4-FFF2-40B4-BE49-F238E27FC236}">
              <a16:creationId xmlns:a16="http://schemas.microsoft.com/office/drawing/2014/main" id="{53387456-A13B-40B6-B8CD-4049B2D60948}"/>
            </a:ext>
          </a:extLst>
        </xdr:cNvPr>
        <xdr:cNvSpPr/>
      </xdr:nvSpPr>
      <xdr:spPr>
        <a:xfrm>
          <a:off x="2774674" y="447261"/>
          <a:ext cx="5908853" cy="104185"/>
        </a:xfrm>
        <a:prstGeom prst="rect">
          <a:avLst/>
        </a:prstGeom>
        <a:gradFill>
          <a:gsLst>
            <a:gs pos="0">
              <a:srgbClr val="20346A"/>
            </a:gs>
            <a:gs pos="62000">
              <a:schemeClr val="bg1"/>
            </a:gs>
            <a:gs pos="72000">
              <a:schemeClr val="bg1"/>
            </a:gs>
            <a:gs pos="48000">
              <a:srgbClr val="20346A"/>
            </a:gs>
            <a:gs pos="86000">
              <a:srgbClr val="11976F"/>
            </a:gs>
            <a:gs pos="100000">
              <a:srgbClr val="11976F"/>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152400</xdr:rowOff>
    </xdr:from>
    <xdr:to>
      <xdr:col>7</xdr:col>
      <xdr:colOff>589715</xdr:colOff>
      <xdr:row>5</xdr:row>
      <xdr:rowOff>115140</xdr:rowOff>
    </xdr:to>
    <xdr:pic>
      <xdr:nvPicPr>
        <xdr:cNvPr id="4" name="Picture 3">
          <a:extLst>
            <a:ext uri="{FF2B5EF4-FFF2-40B4-BE49-F238E27FC236}">
              <a16:creationId xmlns:a16="http://schemas.microsoft.com/office/drawing/2014/main" id="{FF35D135-0757-4439-93D2-77DC24CFFE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5123615" cy="86761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4</xdr:col>
      <xdr:colOff>190500</xdr:colOff>
      <xdr:row>2</xdr:row>
      <xdr:rowOff>104775</xdr:rowOff>
    </xdr:from>
    <xdr:to>
      <xdr:col>13</xdr:col>
      <xdr:colOff>265291</xdr:colOff>
      <xdr:row>3</xdr:row>
      <xdr:rowOff>27985</xdr:rowOff>
    </xdr:to>
    <xdr:sp macro="" textlink="">
      <xdr:nvSpPr>
        <xdr:cNvPr id="5" name="Rectangle 4">
          <a:extLst>
            <a:ext uri="{FF2B5EF4-FFF2-40B4-BE49-F238E27FC236}">
              <a16:creationId xmlns:a16="http://schemas.microsoft.com/office/drawing/2014/main" id="{D66F719F-E245-4769-8A67-B5F6D4AC969C}"/>
            </a:ext>
          </a:extLst>
        </xdr:cNvPr>
        <xdr:cNvSpPr/>
      </xdr:nvSpPr>
      <xdr:spPr>
        <a:xfrm>
          <a:off x="2781300" y="466725"/>
          <a:ext cx="5904091" cy="104185"/>
        </a:xfrm>
        <a:prstGeom prst="rect">
          <a:avLst/>
        </a:prstGeom>
        <a:gradFill>
          <a:gsLst>
            <a:gs pos="0">
              <a:srgbClr val="20346A"/>
            </a:gs>
            <a:gs pos="62000">
              <a:schemeClr val="bg1"/>
            </a:gs>
            <a:gs pos="72000">
              <a:schemeClr val="bg1"/>
            </a:gs>
            <a:gs pos="48000">
              <a:srgbClr val="20346A"/>
            </a:gs>
            <a:gs pos="86000">
              <a:srgbClr val="11976F"/>
            </a:gs>
            <a:gs pos="100000">
              <a:srgbClr val="11976F"/>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0</xdr:rowOff>
    </xdr:from>
    <xdr:to>
      <xdr:col>19</xdr:col>
      <xdr:colOff>590551</xdr:colOff>
      <xdr:row>46</xdr:row>
      <xdr:rowOff>171450</xdr:rowOff>
    </xdr:to>
    <xdr:graphicFrame macro="">
      <xdr:nvGraphicFramePr>
        <xdr:cNvPr id="2" name="Chart 1">
          <a:extLst>
            <a:ext uri="{FF2B5EF4-FFF2-40B4-BE49-F238E27FC236}">
              <a16:creationId xmlns:a16="http://schemas.microsoft.com/office/drawing/2014/main" id="{89E257AC-B59E-4E85-833D-4FCBC9E82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95250</xdr:colOff>
      <xdr:row>4</xdr:row>
      <xdr:rowOff>123825</xdr:rowOff>
    </xdr:from>
    <xdr:to>
      <xdr:col>13</xdr:col>
      <xdr:colOff>438148</xdr:colOff>
      <xdr:row>7</xdr:row>
      <xdr:rowOff>11787</xdr:rowOff>
    </xdr:to>
    <xdr:sp macro="" textlink="">
      <xdr:nvSpPr>
        <xdr:cNvPr id="15" name="TextBox 6">
          <a:extLst>
            <a:ext uri="{FF2B5EF4-FFF2-40B4-BE49-F238E27FC236}">
              <a16:creationId xmlns:a16="http://schemas.microsoft.com/office/drawing/2014/main" id="{EB80645D-4D3A-4CFE-9B0A-B068C283F28F}"/>
            </a:ext>
          </a:extLst>
        </xdr:cNvPr>
        <xdr:cNvSpPr txBox="1"/>
      </xdr:nvSpPr>
      <xdr:spPr>
        <a:xfrm>
          <a:off x="3981450" y="847725"/>
          <a:ext cx="4876798" cy="4308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2200" b="1" i="1">
              <a:latin typeface="Times New Roman" panose="02020603050405020304" pitchFamily="18" charset="0"/>
              <a:cs typeface="Times New Roman" panose="02020603050405020304" pitchFamily="18" charset="0"/>
            </a:rPr>
            <a:t>Investor Report </a:t>
          </a:r>
          <a:r>
            <a:rPr lang="en-US" sz="2200" i="1">
              <a:latin typeface="Times New Roman" panose="02020603050405020304" pitchFamily="18" charset="0"/>
              <a:cs typeface="Times New Roman" panose="02020603050405020304" pitchFamily="18" charset="0"/>
            </a:rPr>
            <a:t>prepared for </a:t>
          </a:r>
        </a:p>
      </xdr:txBody>
    </xdr:sp>
    <xdr:clientData/>
  </xdr:twoCellAnchor>
  <xdr:twoCellAnchor>
    <xdr:from>
      <xdr:col>0</xdr:col>
      <xdr:colOff>276225</xdr:colOff>
      <xdr:row>33</xdr:row>
      <xdr:rowOff>114300</xdr:rowOff>
    </xdr:from>
    <xdr:to>
      <xdr:col>6</xdr:col>
      <xdr:colOff>160500</xdr:colOff>
      <xdr:row>35</xdr:row>
      <xdr:rowOff>166646</xdr:rowOff>
    </xdr:to>
    <xdr:sp macro="" textlink="" fLocksText="0">
      <xdr:nvSpPr>
        <xdr:cNvPr id="14" name="TextBox 9">
          <a:extLst>
            <a:ext uri="{FF2B5EF4-FFF2-40B4-BE49-F238E27FC236}">
              <a16:creationId xmlns:a16="http://schemas.microsoft.com/office/drawing/2014/main" id="{36CAB211-FF44-457A-9FAF-9EF6647400E8}"/>
            </a:ext>
          </a:extLst>
        </xdr:cNvPr>
        <xdr:cNvSpPr txBox="1"/>
      </xdr:nvSpPr>
      <xdr:spPr>
        <a:xfrm>
          <a:off x="276225" y="6127474"/>
          <a:ext cx="3760536" cy="41678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200" b="1">
              <a:solidFill>
                <a:srgbClr val="002E6D"/>
              </a:solidFill>
              <a:latin typeface="Times New Roman" panose="02020603050405020304" pitchFamily="18" charset="0"/>
              <a:cs typeface="Times New Roman" panose="02020603050405020304" pitchFamily="18" charset="0"/>
            </a:rPr>
            <a:t>August 23</a:t>
          </a:r>
          <a:r>
            <a:rPr lang="en-US" sz="2200" b="1" baseline="0">
              <a:solidFill>
                <a:srgbClr val="002E6D"/>
              </a:solidFill>
              <a:latin typeface="Times New Roman" panose="02020603050405020304" pitchFamily="18" charset="0"/>
              <a:cs typeface="Times New Roman" panose="02020603050405020304" pitchFamily="18" charset="0"/>
            </a:rPr>
            <a:t>, 2022</a:t>
          </a:r>
          <a:endParaRPr lang="en-US" sz="2200" b="1">
            <a:solidFill>
              <a:srgbClr val="002E6D"/>
            </a:solidFill>
            <a:latin typeface="Times New Roman" panose="02020603050405020304" pitchFamily="18" charset="0"/>
            <a:cs typeface="Times New Roman" panose="02020603050405020304" pitchFamily="18" charset="0"/>
          </a:endParaRPr>
        </a:p>
      </xdr:txBody>
    </xdr:sp>
    <xdr:clientData/>
  </xdr:twoCellAnchor>
  <xdr:twoCellAnchor editAs="absolute">
    <xdr:from>
      <xdr:col>8</xdr:col>
      <xdr:colOff>534849</xdr:colOff>
      <xdr:row>25</xdr:row>
      <xdr:rowOff>57150</xdr:rowOff>
    </xdr:from>
    <xdr:to>
      <xdr:col>13</xdr:col>
      <xdr:colOff>557389</xdr:colOff>
      <xdr:row>31</xdr:row>
      <xdr:rowOff>133350</xdr:rowOff>
    </xdr:to>
    <xdr:sp macro="" textlink="" fLocksText="0">
      <xdr:nvSpPr>
        <xdr:cNvPr id="18" name="Rectangle 17">
          <a:extLst>
            <a:ext uri="{FF2B5EF4-FFF2-40B4-BE49-F238E27FC236}">
              <a16:creationId xmlns:a16="http://schemas.microsoft.com/office/drawing/2014/main" id="{2F84EC29-69A2-4CBB-9589-10206E87EB2C}"/>
            </a:ext>
          </a:extLst>
        </xdr:cNvPr>
        <xdr:cNvSpPr/>
      </xdr:nvSpPr>
      <xdr:spPr>
        <a:xfrm>
          <a:off x="5389071" y="4819650"/>
          <a:ext cx="3056429" cy="1219200"/>
        </a:xfrm>
        <a:prstGeom prst="rect">
          <a:avLst/>
        </a:prstGeom>
        <a:noFill/>
        <a:ln w="635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200" b="1">
              <a:solidFill>
                <a:srgbClr val="002E6D"/>
              </a:solidFill>
              <a:latin typeface="Times New Roman" panose="02020603050405020304" pitchFamily="18" charset="0"/>
              <a:cs typeface="Times New Roman" panose="02020603050405020304" pitchFamily="18" charset="0"/>
            </a:rPr>
            <a:t>1234 Colorado Street</a:t>
          </a:r>
          <a:endParaRPr lang="en-US" sz="2200" b="1" baseline="0">
            <a:solidFill>
              <a:srgbClr val="002E6D"/>
            </a:solidFill>
            <a:latin typeface="Times New Roman" panose="02020603050405020304" pitchFamily="18" charset="0"/>
            <a:cs typeface="Times New Roman" panose="02020603050405020304" pitchFamily="18" charset="0"/>
          </a:endParaRPr>
        </a:p>
        <a:p>
          <a:pPr algn="l"/>
          <a:r>
            <a:rPr lang="en-US" sz="2200" b="1" baseline="0">
              <a:solidFill>
                <a:srgbClr val="002E6D"/>
              </a:solidFill>
              <a:latin typeface="Times New Roman" panose="02020603050405020304" pitchFamily="18" charset="0"/>
              <a:cs typeface="Times New Roman" panose="02020603050405020304" pitchFamily="18" charset="0"/>
            </a:rPr>
            <a:t>Denver, CO 80123</a:t>
          </a:r>
          <a:endParaRPr lang="en-US" sz="2200" b="1">
            <a:solidFill>
              <a:srgbClr val="002E6D"/>
            </a:solidFill>
            <a:latin typeface="Times New Roman" panose="02020603050405020304" pitchFamily="18" charset="0"/>
            <a:cs typeface="Times New Roman" panose="02020603050405020304" pitchFamily="18" charset="0"/>
          </a:endParaRPr>
        </a:p>
      </xdr:txBody>
    </xdr:sp>
    <xdr:clientData fLocksWithSheet="0"/>
  </xdr:twoCellAnchor>
  <xdr:twoCellAnchor>
    <xdr:from>
      <xdr:col>4</xdr:col>
      <xdr:colOff>513522</xdr:colOff>
      <xdr:row>7</xdr:row>
      <xdr:rowOff>19050</xdr:rowOff>
    </xdr:from>
    <xdr:to>
      <xdr:col>13</xdr:col>
      <xdr:colOff>552450</xdr:colOff>
      <xdr:row>10</xdr:row>
      <xdr:rowOff>46175</xdr:rowOff>
    </xdr:to>
    <xdr:sp macro="" textlink="" fLocksText="0">
      <xdr:nvSpPr>
        <xdr:cNvPr id="19" name="Rectangle 18">
          <a:extLst>
            <a:ext uri="{FF2B5EF4-FFF2-40B4-BE49-F238E27FC236}">
              <a16:creationId xmlns:a16="http://schemas.microsoft.com/office/drawing/2014/main" id="{9CB208B1-D4E7-45F9-8112-294211D8B7B1}"/>
            </a:ext>
          </a:extLst>
        </xdr:cNvPr>
        <xdr:cNvSpPr/>
      </xdr:nvSpPr>
      <xdr:spPr>
        <a:xfrm>
          <a:off x="3097696" y="1294572"/>
          <a:ext cx="5853319" cy="573777"/>
        </a:xfrm>
        <a:prstGeom prst="rect">
          <a:avLst/>
        </a:prstGeom>
        <a:noFill/>
        <a:ln w="635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2800" b="1">
              <a:solidFill>
                <a:srgbClr val="002E6D"/>
              </a:solidFill>
              <a:latin typeface="Times New Roman" panose="02020603050405020304" pitchFamily="18" charset="0"/>
              <a:cs typeface="Times New Roman" panose="02020603050405020304" pitchFamily="18" charset="0"/>
            </a:rPr>
            <a:t>Tangible Wealth Solutions</a:t>
          </a:r>
        </a:p>
      </xdr:txBody>
    </xdr:sp>
    <xdr:clientData/>
  </xdr:twoCellAnchor>
  <xdr:twoCellAnchor>
    <xdr:from>
      <xdr:col>0</xdr:col>
      <xdr:colOff>1</xdr:colOff>
      <xdr:row>37</xdr:row>
      <xdr:rowOff>37608</xdr:rowOff>
    </xdr:from>
    <xdr:to>
      <xdr:col>13</xdr:col>
      <xdr:colOff>571500</xdr:colOff>
      <xdr:row>38</xdr:row>
      <xdr:rowOff>116435</xdr:rowOff>
    </xdr:to>
    <xdr:sp macro="" textlink="">
      <xdr:nvSpPr>
        <xdr:cNvPr id="4" name="Rectangle 3">
          <a:extLst>
            <a:ext uri="{FF2B5EF4-FFF2-40B4-BE49-F238E27FC236}">
              <a16:creationId xmlns:a16="http://schemas.microsoft.com/office/drawing/2014/main" id="{2E060CB1-D31F-4C50-BC31-AEFB1B10E89C}"/>
            </a:ext>
          </a:extLst>
        </xdr:cNvPr>
        <xdr:cNvSpPr/>
      </xdr:nvSpPr>
      <xdr:spPr>
        <a:xfrm>
          <a:off x="1" y="7086108"/>
          <a:ext cx="8459610" cy="269327"/>
        </a:xfrm>
        <a:prstGeom prst="rect">
          <a:avLst/>
        </a:prstGeom>
        <a:gradFill>
          <a:gsLst>
            <a:gs pos="0">
              <a:srgbClr val="20346A"/>
            </a:gs>
            <a:gs pos="62000">
              <a:schemeClr val="bg1"/>
            </a:gs>
            <a:gs pos="72000">
              <a:schemeClr val="bg1"/>
            </a:gs>
            <a:gs pos="48000">
              <a:srgbClr val="20346A"/>
            </a:gs>
            <a:gs pos="86000">
              <a:srgbClr val="11976F"/>
            </a:gs>
            <a:gs pos="100000">
              <a:srgbClr val="11976F"/>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207351</xdr:colOff>
      <xdr:row>2</xdr:row>
      <xdr:rowOff>85359</xdr:rowOff>
    </xdr:from>
    <xdr:to>
      <xdr:col>13</xdr:col>
      <xdr:colOff>559044</xdr:colOff>
      <xdr:row>3</xdr:row>
      <xdr:rowOff>7327</xdr:rowOff>
    </xdr:to>
    <xdr:sp macro="" textlink="">
      <xdr:nvSpPr>
        <xdr:cNvPr id="26" name="Rectangle 25">
          <a:extLst>
            <a:ext uri="{FF2B5EF4-FFF2-40B4-BE49-F238E27FC236}">
              <a16:creationId xmlns:a16="http://schemas.microsoft.com/office/drawing/2014/main" id="{7A7EC21A-7516-41CE-8A06-258B9019DF56}"/>
            </a:ext>
          </a:extLst>
        </xdr:cNvPr>
        <xdr:cNvSpPr/>
      </xdr:nvSpPr>
      <xdr:spPr>
        <a:xfrm>
          <a:off x="2786428" y="451705"/>
          <a:ext cx="6154616" cy="105141"/>
        </a:xfrm>
        <a:prstGeom prst="rect">
          <a:avLst/>
        </a:prstGeom>
        <a:gradFill>
          <a:gsLst>
            <a:gs pos="0">
              <a:srgbClr val="002E6D"/>
            </a:gs>
            <a:gs pos="62000">
              <a:schemeClr val="bg1"/>
            </a:gs>
            <a:gs pos="72000">
              <a:schemeClr val="bg1"/>
            </a:gs>
            <a:gs pos="48000">
              <a:srgbClr val="002E6D"/>
            </a:gs>
            <a:gs pos="86000">
              <a:srgbClr val="00946E"/>
            </a:gs>
            <a:gs pos="100000">
              <a:srgbClr val="00946E"/>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145382</xdr:rowOff>
    </xdr:from>
    <xdr:to>
      <xdr:col>7</xdr:col>
      <xdr:colOff>601495</xdr:colOff>
      <xdr:row>5</xdr:row>
      <xdr:rowOff>115391</xdr:rowOff>
    </xdr:to>
    <xdr:pic>
      <xdr:nvPicPr>
        <xdr:cNvPr id="22" name="Picture 21">
          <a:extLst>
            <a:ext uri="{FF2B5EF4-FFF2-40B4-BE49-F238E27FC236}">
              <a16:creationId xmlns:a16="http://schemas.microsoft.com/office/drawing/2014/main" id="{C2E9A1DE-8729-4608-BFF7-F2CFA3D5A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5382"/>
          <a:ext cx="5128377" cy="87237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0</xdr:col>
      <xdr:colOff>318879</xdr:colOff>
      <xdr:row>10</xdr:row>
      <xdr:rowOff>180574</xdr:rowOff>
    </xdr:from>
    <xdr:to>
      <xdr:col>8</xdr:col>
      <xdr:colOff>398392</xdr:colOff>
      <xdr:row>31</xdr:row>
      <xdr:rowOff>28989</xdr:rowOff>
    </xdr:to>
    <xdr:pic>
      <xdr:nvPicPr>
        <xdr:cNvPr id="2" name="Picture 1">
          <a:extLst>
            <a:ext uri="{FF2B5EF4-FFF2-40B4-BE49-F238E27FC236}">
              <a16:creationId xmlns:a16="http://schemas.microsoft.com/office/drawing/2014/main" id="{8100D7CC-04A5-6C9E-7248-8E9FE2473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879" y="2002748"/>
          <a:ext cx="5247861" cy="3674980"/>
        </a:xfrm>
        <a:prstGeom prst="rect">
          <a:avLst/>
        </a:prstGeom>
        <a:noFill/>
        <a:ln w="12700">
          <a:solidFill>
            <a:srgbClr val="002E6D"/>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413525</xdr:colOff>
      <xdr:row>4</xdr:row>
      <xdr:rowOff>182598</xdr:rowOff>
    </xdr:from>
    <xdr:to>
      <xdr:col>6</xdr:col>
      <xdr:colOff>1273097</xdr:colOff>
      <xdr:row>22</xdr:row>
      <xdr:rowOff>9131</xdr:rowOff>
    </xdr:to>
    <xdr:graphicFrame macro="">
      <xdr:nvGraphicFramePr>
        <xdr:cNvPr id="8" name="Chart 7">
          <a:extLst>
            <a:ext uri="{FF2B5EF4-FFF2-40B4-BE49-F238E27FC236}">
              <a16:creationId xmlns:a16="http://schemas.microsoft.com/office/drawing/2014/main" id="{D5E9796B-0469-4173-AE51-24DE2008F2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447676</xdr:colOff>
      <xdr:row>23</xdr:row>
      <xdr:rowOff>156230</xdr:rowOff>
    </xdr:from>
    <xdr:to>
      <xdr:col>6</xdr:col>
      <xdr:colOff>1316463</xdr:colOff>
      <xdr:row>36</xdr:row>
      <xdr:rowOff>181858</xdr:rowOff>
    </xdr:to>
    <xdr:sp macro="" textlink="">
      <xdr:nvSpPr>
        <xdr:cNvPr id="9" name="Rectangle 8">
          <a:extLst>
            <a:ext uri="{FF2B5EF4-FFF2-40B4-BE49-F238E27FC236}">
              <a16:creationId xmlns:a16="http://schemas.microsoft.com/office/drawing/2014/main" id="{E76C31F1-9062-4D73-B7A9-03EE08C6C012}"/>
            </a:ext>
          </a:extLst>
        </xdr:cNvPr>
        <xdr:cNvSpPr>
          <a:spLocks noChangeAspect="1"/>
        </xdr:cNvSpPr>
      </xdr:nvSpPr>
      <xdr:spPr>
        <a:xfrm>
          <a:off x="3305176" y="4468730"/>
          <a:ext cx="5278787" cy="24631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effectLst/>
              <a:latin typeface="Garamond" panose="02020404030301010803" pitchFamily="18" charset="0"/>
              <a:ea typeface="+mn-ea"/>
              <a:cs typeface="+mn-cs"/>
            </a:rPr>
            <a:t>Total Investment Value</a:t>
          </a:r>
          <a:endParaRPr lang="en-US" sz="1100">
            <a:solidFill>
              <a:sysClr val="windowText" lastClr="000000"/>
            </a:solidFill>
            <a:effectLst/>
            <a:latin typeface="Garamond" panose="02020404030301010803" pitchFamily="18" charset="0"/>
            <a:ea typeface="+mn-ea"/>
            <a:cs typeface="+mn-cs"/>
          </a:endParaRP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Total investment value shows the combined value of the equity in the property and the cash that it has produced and accumulated over time. This graph separates the equity in blue from the accumulated cash in green.</a:t>
          </a: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The total value is printed every five years to make the graph more readable, but the value for each year is available in the data chart under the column titled “Total Investment Value.”</a:t>
          </a: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It is important to note that if the input data has net cash flow going to pay down the loan faster, then cash will not accumulate until the loan is paid off because it is being used to pay down the loan.</a:t>
          </a: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One last consideration to note is that the accumulation of cash is not just accruing each year, but it is also compounding by the Time Value of Cash Flow from the input table.</a:t>
          </a:r>
        </a:p>
        <a:p>
          <a:r>
            <a:rPr lang="en-US" sz="1100">
              <a:solidFill>
                <a:sysClr val="windowText" lastClr="000000"/>
              </a:solidFill>
              <a:effectLst/>
              <a:latin typeface="Garamond" panose="02020404030301010803" pitchFamily="18" charset="0"/>
              <a:ea typeface="+mn-ea"/>
              <a:cs typeface="+mn-cs"/>
            </a:rPr>
            <a:t> </a:t>
          </a:r>
        </a:p>
        <a:p>
          <a:pPr algn="l"/>
          <a:endParaRPr lang="en-US" sz="1100">
            <a:solidFill>
              <a:sysClr val="windowText" lastClr="000000"/>
            </a:solidFill>
            <a:latin typeface="Garamond" panose="02020404030301010803" pitchFamily="18" charset="0"/>
          </a:endParaRPr>
        </a:p>
      </xdr:txBody>
    </xdr:sp>
    <xdr:clientData/>
  </xdr:twoCellAnchor>
  <xdr:twoCellAnchor editAs="absolute">
    <xdr:from>
      <xdr:col>2</xdr:col>
      <xdr:colOff>849874</xdr:colOff>
      <xdr:row>1</xdr:row>
      <xdr:rowOff>134010</xdr:rowOff>
    </xdr:from>
    <xdr:to>
      <xdr:col>6</xdr:col>
      <xdr:colOff>1338146</xdr:colOff>
      <xdr:row>2</xdr:row>
      <xdr:rowOff>57219</xdr:rowOff>
    </xdr:to>
    <xdr:sp macro="" textlink="">
      <xdr:nvSpPr>
        <xdr:cNvPr id="11" name="Rectangle 10">
          <a:extLst>
            <a:ext uri="{FF2B5EF4-FFF2-40B4-BE49-F238E27FC236}">
              <a16:creationId xmlns:a16="http://schemas.microsoft.com/office/drawing/2014/main" id="{7644C7AA-81DA-49DB-B5D9-7AF4D54A9298}"/>
            </a:ext>
          </a:extLst>
        </xdr:cNvPr>
        <xdr:cNvSpPr>
          <a:spLocks noChangeAspect="1"/>
        </xdr:cNvSpPr>
      </xdr:nvSpPr>
      <xdr:spPr>
        <a:xfrm>
          <a:off x="2648008" y="324510"/>
          <a:ext cx="5459858" cy="113709"/>
        </a:xfrm>
        <a:prstGeom prst="rect">
          <a:avLst/>
        </a:prstGeom>
        <a:gradFill>
          <a:gsLst>
            <a:gs pos="0">
              <a:srgbClr val="002E6D"/>
            </a:gs>
            <a:gs pos="62000">
              <a:schemeClr val="bg1"/>
            </a:gs>
            <a:gs pos="72000">
              <a:schemeClr val="bg1"/>
            </a:gs>
            <a:gs pos="48000">
              <a:srgbClr val="002E6D"/>
            </a:gs>
            <a:gs pos="86000">
              <a:srgbClr val="00946E"/>
            </a:gs>
            <a:gs pos="100000">
              <a:srgbClr val="00946E"/>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17590</xdr:rowOff>
    </xdr:from>
    <xdr:to>
      <xdr:col>4</xdr:col>
      <xdr:colOff>780215</xdr:colOff>
      <xdr:row>4</xdr:row>
      <xdr:rowOff>123205</xdr:rowOff>
    </xdr:to>
    <xdr:pic>
      <xdr:nvPicPr>
        <xdr:cNvPr id="6" name="Picture 5">
          <a:extLst>
            <a:ext uri="{FF2B5EF4-FFF2-40B4-BE49-F238E27FC236}">
              <a16:creationId xmlns:a16="http://schemas.microsoft.com/office/drawing/2014/main" id="{D40BEA5D-3481-41E5-A263-CA2B8449A2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828"/>
          <a:ext cx="5120302" cy="87237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58994</xdr:colOff>
      <xdr:row>25</xdr:row>
      <xdr:rowOff>27325</xdr:rowOff>
    </xdr:from>
    <xdr:to>
      <xdr:col>30</xdr:col>
      <xdr:colOff>161283</xdr:colOff>
      <xdr:row>36</xdr:row>
      <xdr:rowOff>105001</xdr:rowOff>
    </xdr:to>
    <xdr:sp macro="" textlink="">
      <xdr:nvSpPr>
        <xdr:cNvPr id="5" name="Rectangle 4">
          <a:extLst>
            <a:ext uri="{FF2B5EF4-FFF2-40B4-BE49-F238E27FC236}">
              <a16:creationId xmlns:a16="http://schemas.microsoft.com/office/drawing/2014/main" id="{DA7A77C3-1343-405B-8101-C80A5D6F11CA}"/>
            </a:ext>
          </a:extLst>
        </xdr:cNvPr>
        <xdr:cNvSpPr/>
      </xdr:nvSpPr>
      <xdr:spPr>
        <a:xfrm>
          <a:off x="3276494" y="4714825"/>
          <a:ext cx="5659789" cy="21401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effectLst/>
              <a:latin typeface="Garamond" panose="02020404030301010803" pitchFamily="18" charset="0"/>
              <a:ea typeface="+mn-ea"/>
              <a:cs typeface="+mn-cs"/>
            </a:rPr>
            <a:t>Net Monthly Income</a:t>
          </a:r>
          <a:endParaRPr lang="en-US" sz="1100">
            <a:solidFill>
              <a:sysClr val="windowText" lastClr="000000"/>
            </a:solidFill>
            <a:effectLst/>
            <a:latin typeface="Garamond" panose="02020404030301010803" pitchFamily="18" charset="0"/>
            <a:ea typeface="+mn-ea"/>
            <a:cs typeface="+mn-cs"/>
          </a:endParaRP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Net monthly rental income shows how much cash the investor receives after all expenses, including insurance, taxes, principal and interest on a mortgage, management expenses, HOA fees, utilities (for which the investor may be responsible), and even subtracting out the monthly portion of the budget for repairs and maintenance.</a:t>
          </a: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In some versions of this graph, if the loan is paid off before thirty years, there will be a sharp increase in the year when the mortgage is paid off. This simply accounts for the meaningful reduction of expenses when principal and interest payments are no longer required.</a:t>
          </a:r>
        </a:p>
        <a:p>
          <a:r>
            <a:rPr lang="en-US" sz="1100">
              <a:solidFill>
                <a:sysClr val="windowText" lastClr="000000"/>
              </a:solidFill>
              <a:effectLst/>
              <a:latin typeface="Garamond" panose="02020404030301010803" pitchFamily="18" charset="0"/>
              <a:ea typeface="+mn-ea"/>
              <a:cs typeface="+mn-cs"/>
            </a:rPr>
            <a:t> </a:t>
          </a:r>
        </a:p>
        <a:p>
          <a:r>
            <a:rPr lang="en-US" sz="1100">
              <a:solidFill>
                <a:sysClr val="windowText" lastClr="000000"/>
              </a:solidFill>
              <a:effectLst/>
              <a:latin typeface="Garamond" panose="02020404030301010803" pitchFamily="18" charset="0"/>
              <a:ea typeface="+mn-ea"/>
              <a:cs typeface="+mn-cs"/>
            </a:rPr>
            <a:t>As with the other graphs, the figures are shown every five years for readability, but the figures are available for each year in the chart under the column “Net Monthly Rental Income”. </a:t>
          </a:r>
        </a:p>
        <a:p>
          <a:pPr algn="l"/>
          <a:endParaRPr lang="en-US" sz="1100">
            <a:solidFill>
              <a:sysClr val="windowText" lastClr="000000"/>
            </a:solidFill>
            <a:latin typeface="Garamond" panose="02020404030301010803" pitchFamily="18" charset="0"/>
          </a:endParaRPr>
        </a:p>
      </xdr:txBody>
    </xdr:sp>
    <xdr:clientData/>
  </xdr:twoCellAnchor>
  <xdr:twoCellAnchor editAs="absolute">
    <xdr:from>
      <xdr:col>11</xdr:col>
      <xdr:colOff>143081</xdr:colOff>
      <xdr:row>6</xdr:row>
      <xdr:rowOff>107801</xdr:rowOff>
    </xdr:from>
    <xdr:to>
      <xdr:col>30</xdr:col>
      <xdr:colOff>57979</xdr:colOff>
      <xdr:row>24</xdr:row>
      <xdr:rowOff>14542</xdr:rowOff>
    </xdr:to>
    <xdr:graphicFrame macro="">
      <xdr:nvGraphicFramePr>
        <xdr:cNvPr id="6" name="Chart 5">
          <a:extLst>
            <a:ext uri="{FF2B5EF4-FFF2-40B4-BE49-F238E27FC236}">
              <a16:creationId xmlns:a16="http://schemas.microsoft.com/office/drawing/2014/main" id="{01F72F75-C1B0-4507-A544-2112504CB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104439</xdr:colOff>
      <xdr:row>1</xdr:row>
      <xdr:rowOff>135873</xdr:rowOff>
    </xdr:from>
    <xdr:to>
      <xdr:col>30</xdr:col>
      <xdr:colOff>97048</xdr:colOff>
      <xdr:row>2</xdr:row>
      <xdr:rowOff>49558</xdr:rowOff>
    </xdr:to>
    <xdr:sp macro="" textlink="">
      <xdr:nvSpPr>
        <xdr:cNvPr id="2" name="Rectangle 1">
          <a:extLst>
            <a:ext uri="{FF2B5EF4-FFF2-40B4-BE49-F238E27FC236}">
              <a16:creationId xmlns:a16="http://schemas.microsoft.com/office/drawing/2014/main" id="{04AEE489-0FC0-422D-B8AD-883995CCFEBA}"/>
            </a:ext>
          </a:extLst>
        </xdr:cNvPr>
        <xdr:cNvSpPr/>
      </xdr:nvSpPr>
      <xdr:spPr>
        <a:xfrm>
          <a:off x="2742131" y="326373"/>
          <a:ext cx="6147225" cy="104185"/>
        </a:xfrm>
        <a:prstGeom prst="rect">
          <a:avLst/>
        </a:prstGeom>
        <a:gradFill>
          <a:gsLst>
            <a:gs pos="0">
              <a:srgbClr val="002E6D"/>
            </a:gs>
            <a:gs pos="62000">
              <a:schemeClr val="bg1"/>
            </a:gs>
            <a:gs pos="72000">
              <a:schemeClr val="bg1"/>
            </a:gs>
            <a:gs pos="48000">
              <a:srgbClr val="002E6D"/>
            </a:gs>
            <a:gs pos="86000">
              <a:srgbClr val="00946E"/>
            </a:gs>
            <a:gs pos="100000">
              <a:srgbClr val="00946E"/>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19453</xdr:rowOff>
    </xdr:from>
    <xdr:to>
      <xdr:col>18</xdr:col>
      <xdr:colOff>403</xdr:colOff>
      <xdr:row>4</xdr:row>
      <xdr:rowOff>125068</xdr:rowOff>
    </xdr:to>
    <xdr:pic>
      <xdr:nvPicPr>
        <xdr:cNvPr id="3" name="Picture 2">
          <a:extLst>
            <a:ext uri="{FF2B5EF4-FFF2-40B4-BE49-F238E27FC236}">
              <a16:creationId xmlns:a16="http://schemas.microsoft.com/office/drawing/2014/main" id="{CBECBB6B-5E25-49FA-B652-A3131DBFD6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453"/>
          <a:ext cx="5275788" cy="86761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77608</xdr:colOff>
      <xdr:row>0</xdr:row>
      <xdr:rowOff>144531</xdr:rowOff>
    </xdr:from>
    <xdr:to>
      <xdr:col>6</xdr:col>
      <xdr:colOff>10436</xdr:colOff>
      <xdr:row>5</xdr:row>
      <xdr:rowOff>161881</xdr:rowOff>
    </xdr:to>
    <xdr:pic>
      <xdr:nvPicPr>
        <xdr:cNvPr id="4" name="Picture 3">
          <a:extLst>
            <a:ext uri="{FF2B5EF4-FFF2-40B4-BE49-F238E27FC236}">
              <a16:creationId xmlns:a16="http://schemas.microsoft.com/office/drawing/2014/main" id="{416D6984-816F-9B94-8EBA-271FF531A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608" y="144531"/>
          <a:ext cx="3265750" cy="9781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2</xdr:row>
      <xdr:rowOff>71718</xdr:rowOff>
    </xdr:from>
    <xdr:to>
      <xdr:col>4</xdr:col>
      <xdr:colOff>147938</xdr:colOff>
      <xdr:row>7</xdr:row>
      <xdr:rowOff>65638</xdr:rowOff>
    </xdr:to>
    <xdr:pic>
      <xdr:nvPicPr>
        <xdr:cNvPr id="3" name="Picture 2">
          <a:extLst>
            <a:ext uri="{FF2B5EF4-FFF2-40B4-BE49-F238E27FC236}">
              <a16:creationId xmlns:a16="http://schemas.microsoft.com/office/drawing/2014/main" id="{1B787671-255C-4F09-B60D-E2F059101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942" y="466165"/>
          <a:ext cx="3263845" cy="9724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500063</xdr:colOff>
      <xdr:row>42</xdr:row>
      <xdr:rowOff>176212</xdr:rowOff>
    </xdr:to>
    <xdr:graphicFrame macro="">
      <xdr:nvGraphicFramePr>
        <xdr:cNvPr id="2" name="Chart 1">
          <a:extLst>
            <a:ext uri="{FF2B5EF4-FFF2-40B4-BE49-F238E27FC236}">
              <a16:creationId xmlns:a16="http://schemas.microsoft.com/office/drawing/2014/main" id="{6A430EDA-93CE-4042-B2C1-AFA989E59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500063</xdr:colOff>
      <xdr:row>42</xdr:row>
      <xdr:rowOff>176212</xdr:rowOff>
    </xdr:to>
    <xdr:graphicFrame macro="">
      <xdr:nvGraphicFramePr>
        <xdr:cNvPr id="2" name="Chart 1">
          <a:extLst>
            <a:ext uri="{FF2B5EF4-FFF2-40B4-BE49-F238E27FC236}">
              <a16:creationId xmlns:a16="http://schemas.microsoft.com/office/drawing/2014/main" id="{B1701DCD-AF1D-4DF9-8E9C-E41E5B4F4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500063</xdr:colOff>
      <xdr:row>42</xdr:row>
      <xdr:rowOff>176212</xdr:rowOff>
    </xdr:to>
    <xdr:graphicFrame macro="">
      <xdr:nvGraphicFramePr>
        <xdr:cNvPr id="2" name="Chart 1">
          <a:extLst>
            <a:ext uri="{FF2B5EF4-FFF2-40B4-BE49-F238E27FC236}">
              <a16:creationId xmlns:a16="http://schemas.microsoft.com/office/drawing/2014/main" id="{A8202F17-49CB-4254-8BD6-01CDC25A5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CPAMortgageGuy@g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E1623-CECC-40CB-96A3-669BE891D342}">
  <sheetPr codeName="Sheet2">
    <tabColor rgb="FF172C51"/>
    <pageSetUpPr fitToPage="1"/>
  </sheetPr>
  <dimension ref="A1:AK412"/>
  <sheetViews>
    <sheetView showGridLines="0" showRowColHeaders="0" tabSelected="1" zoomScale="115" zoomScaleNormal="115" workbookViewId="0">
      <selection activeCell="B2" sqref="B2:G3"/>
    </sheetView>
  </sheetViews>
  <sheetFormatPr defaultColWidth="9" defaultRowHeight="17.25" customHeight="1" x14ac:dyDescent="0.25"/>
  <cols>
    <col min="1" max="1" width="4" style="174" customWidth="1"/>
    <col min="2" max="2" width="30.5703125" style="174" customWidth="1"/>
    <col min="3" max="3" width="14.5703125" style="8" customWidth="1"/>
    <col min="4" max="4" width="4.42578125" style="174" customWidth="1"/>
    <col min="5" max="21" width="5.5703125" style="174" customWidth="1"/>
    <col min="22" max="22" width="26.140625" style="174" customWidth="1"/>
    <col min="23" max="23" width="14.5703125" style="174" customWidth="1"/>
    <col min="24" max="31" width="5.5703125" style="174" customWidth="1"/>
    <col min="32" max="37" width="5.5703125" style="175" customWidth="1"/>
    <col min="38" max="38" width="3" style="174" customWidth="1"/>
    <col min="39" max="94" width="15.7109375" style="174" customWidth="1"/>
    <col min="95" max="16384" width="9" style="174"/>
  </cols>
  <sheetData>
    <row r="1" spans="1:35" ht="17.25" customHeight="1" x14ac:dyDescent="0.25">
      <c r="B1" s="218" t="s">
        <v>155</v>
      </c>
      <c r="C1" s="218"/>
      <c r="H1" s="219" t="s">
        <v>186</v>
      </c>
      <c r="I1" s="219"/>
      <c r="J1" s="219"/>
      <c r="K1" s="219"/>
      <c r="L1" s="219"/>
      <c r="M1" s="219"/>
      <c r="N1" s="219"/>
      <c r="O1" s="219"/>
      <c r="P1" s="219"/>
      <c r="Q1" s="219"/>
      <c r="R1" s="219"/>
      <c r="S1" s="219"/>
      <c r="T1" s="219"/>
      <c r="U1" s="219"/>
    </row>
    <row r="2" spans="1:35" ht="17.25" customHeight="1" x14ac:dyDescent="0.25">
      <c r="B2" s="225" t="s">
        <v>184</v>
      </c>
      <c r="C2" s="225"/>
      <c r="D2" s="225"/>
      <c r="E2" s="225"/>
      <c r="F2" s="225"/>
      <c r="G2" s="225"/>
      <c r="H2" s="219"/>
      <c r="I2" s="219"/>
      <c r="J2" s="219"/>
      <c r="K2" s="219"/>
      <c r="L2" s="219"/>
      <c r="M2" s="219"/>
      <c r="N2" s="219"/>
      <c r="O2" s="219"/>
      <c r="P2" s="219"/>
      <c r="Q2" s="219"/>
      <c r="R2" s="219"/>
      <c r="S2" s="219"/>
      <c r="T2" s="219"/>
      <c r="U2" s="219"/>
    </row>
    <row r="3" spans="1:35" ht="17.25" customHeight="1" x14ac:dyDescent="0.25">
      <c r="B3" s="225"/>
      <c r="C3" s="225"/>
      <c r="D3" s="225"/>
      <c r="E3" s="225"/>
      <c r="F3" s="225"/>
      <c r="G3" s="225"/>
      <c r="U3" s="176"/>
    </row>
    <row r="4" spans="1:35" ht="17.25" customHeight="1" x14ac:dyDescent="0.25">
      <c r="B4" s="224" t="s">
        <v>185</v>
      </c>
      <c r="C4" s="224"/>
      <c r="D4" s="224"/>
      <c r="E4" s="224"/>
      <c r="F4" s="224"/>
      <c r="G4" s="224"/>
      <c r="J4" s="227" t="s">
        <v>156</v>
      </c>
      <c r="K4" s="227"/>
      <c r="L4" s="227"/>
      <c r="M4" s="226" t="s">
        <v>187</v>
      </c>
      <c r="N4" s="226"/>
      <c r="O4" s="226"/>
      <c r="P4" s="226"/>
      <c r="Q4" s="226"/>
      <c r="R4" s="226"/>
      <c r="S4" s="226"/>
      <c r="T4" s="226"/>
      <c r="U4" s="226"/>
      <c r="AH4" s="174"/>
    </row>
    <row r="5" spans="1:35" ht="17.25" customHeight="1" x14ac:dyDescent="0.3">
      <c r="B5" s="223"/>
      <c r="C5" s="223"/>
      <c r="D5" s="223"/>
      <c r="E5" s="223"/>
      <c r="F5" s="223"/>
      <c r="G5" s="223"/>
      <c r="J5" s="227"/>
      <c r="K5" s="227"/>
      <c r="L5" s="227"/>
      <c r="M5" s="226" t="s">
        <v>188</v>
      </c>
      <c r="N5" s="226"/>
      <c r="O5" s="226"/>
      <c r="P5" s="226"/>
      <c r="Q5" s="226"/>
      <c r="R5" s="226"/>
      <c r="S5" s="226"/>
      <c r="T5" s="226"/>
      <c r="U5" s="226"/>
    </row>
    <row r="6" spans="1:35" ht="17.25" customHeight="1" x14ac:dyDescent="0.3">
      <c r="A6" s="177"/>
      <c r="B6" s="178"/>
    </row>
    <row r="7" spans="1:35" ht="17.100000000000001" customHeight="1" x14ac:dyDescent="0.25">
      <c r="A7" s="177"/>
      <c r="B7" s="220" t="s">
        <v>77</v>
      </c>
      <c r="C7" s="221"/>
      <c r="V7" s="228" t="s">
        <v>179</v>
      </c>
      <c r="W7" s="228"/>
    </row>
    <row r="8" spans="1:35" ht="17.100000000000001" customHeight="1" x14ac:dyDescent="0.25">
      <c r="A8" s="177"/>
      <c r="B8" s="179" t="s">
        <v>27</v>
      </c>
      <c r="C8" s="157">
        <v>500000</v>
      </c>
      <c r="V8" s="228"/>
      <c r="W8" s="228"/>
    </row>
    <row r="9" spans="1:35" ht="17.100000000000001" customHeight="1" x14ac:dyDescent="0.25">
      <c r="A9" s="177"/>
      <c r="B9" s="180" t="s">
        <v>19</v>
      </c>
      <c r="C9" s="158">
        <v>0.25</v>
      </c>
      <c r="V9" s="232" t="s">
        <v>176</v>
      </c>
      <c r="W9" s="232"/>
    </row>
    <row r="10" spans="1:35" ht="17.100000000000001" customHeight="1" x14ac:dyDescent="0.25">
      <c r="A10" s="177"/>
      <c r="B10" s="180" t="s">
        <v>69</v>
      </c>
      <c r="C10" s="214">
        <f>Sale_Price*Down_Payment_Percentage</f>
        <v>125000</v>
      </c>
      <c r="V10" s="229" t="s">
        <v>180</v>
      </c>
      <c r="W10" s="229"/>
    </row>
    <row r="11" spans="1:35" ht="17.100000000000001" customHeight="1" x14ac:dyDescent="0.3">
      <c r="A11" s="177"/>
      <c r="B11" s="180" t="s">
        <v>95</v>
      </c>
      <c r="C11" s="159">
        <v>0</v>
      </c>
      <c r="V11" s="230" t="s">
        <v>181</v>
      </c>
      <c r="W11" s="231"/>
    </row>
    <row r="12" spans="1:35" ht="17.100000000000001" customHeight="1" x14ac:dyDescent="0.25">
      <c r="A12" s="177"/>
      <c r="B12" s="180" t="s">
        <v>59</v>
      </c>
      <c r="C12" s="159">
        <v>0</v>
      </c>
      <c r="V12" s="229" t="s">
        <v>182</v>
      </c>
      <c r="W12" s="229"/>
      <c r="AI12" s="174"/>
    </row>
    <row r="13" spans="1:35" ht="17.100000000000001" customHeight="1" x14ac:dyDescent="0.25">
      <c r="A13" s="177"/>
      <c r="B13" s="180" t="s">
        <v>123</v>
      </c>
      <c r="C13" s="159">
        <v>0</v>
      </c>
      <c r="V13" s="181" t="str">
        <f>'Advanced Table'!B18</f>
        <v>Total Initial Investment</v>
      </c>
      <c r="W13" s="182">
        <f>Total_Initial_Investment</f>
        <v>125000</v>
      </c>
    </row>
    <row r="14" spans="1:35" ht="17.100000000000001" customHeight="1" x14ac:dyDescent="0.25">
      <c r="A14" s="177"/>
      <c r="B14" s="180" t="s">
        <v>125</v>
      </c>
      <c r="C14" s="160">
        <v>0</v>
      </c>
      <c r="V14" s="183" t="str">
        <f>'Advanced Table'!Q20</f>
        <v>Net Operating Inc. (NOI)</v>
      </c>
      <c r="W14" s="199">
        <f>NOI</f>
        <v>27322</v>
      </c>
    </row>
    <row r="15" spans="1:35" ht="17.100000000000001" customHeight="1" x14ac:dyDescent="0.25">
      <c r="A15" s="177"/>
      <c r="B15" s="180" t="s">
        <v>124</v>
      </c>
      <c r="C15" s="214">
        <f>Closing_Costs_Fees+(Closing_Costs_Points*Initial_Loan_Amount)</f>
        <v>0</v>
      </c>
      <c r="V15" s="183" t="str">
        <f>'Advanced Table'!Q21</f>
        <v>Cap Rate</v>
      </c>
      <c r="W15" s="155">
        <f>Cap_Rate</f>
        <v>5.4643999999999998E-2</v>
      </c>
    </row>
    <row r="16" spans="1:35" ht="17.100000000000001" customHeight="1" x14ac:dyDescent="0.25">
      <c r="A16" s="177"/>
      <c r="B16" s="184" t="s">
        <v>83</v>
      </c>
      <c r="C16" s="159">
        <v>0</v>
      </c>
      <c r="V16" s="183" t="s">
        <v>189</v>
      </c>
      <c r="W16" s="155">
        <f>Cash_on_Cash_Return</f>
        <v>-2.2005223079000512E-2</v>
      </c>
    </row>
    <row r="17" spans="1:37" ht="17.100000000000001" customHeight="1" x14ac:dyDescent="0.25">
      <c r="A17" s="177"/>
      <c r="B17" s="187" t="str">
        <f>'Advanced Table'!B18</f>
        <v>Total Initial Investment</v>
      </c>
      <c r="C17" s="188">
        <f>Down_Payment_Dollars+Closing_Costs_Total+Improvement_Costs+Additional_Acquisition_Costs</f>
        <v>125000</v>
      </c>
      <c r="V17" s="185" t="s">
        <v>162</v>
      </c>
      <c r="W17" s="186">
        <f>'Advanced Table'!Y39</f>
        <v>46639.228327264413</v>
      </c>
      <c r="AI17" s="174"/>
    </row>
    <row r="18" spans="1:37" ht="17.100000000000001" customHeight="1" x14ac:dyDescent="0.25">
      <c r="A18" s="177"/>
      <c r="AI18" s="174"/>
    </row>
    <row r="19" spans="1:37" ht="17.100000000000001" customHeight="1" x14ac:dyDescent="0.25">
      <c r="A19" s="177"/>
      <c r="B19" s="222" t="s">
        <v>73</v>
      </c>
      <c r="C19" s="221"/>
      <c r="V19" s="220" t="s">
        <v>166</v>
      </c>
      <c r="W19" s="221"/>
      <c r="AI19" s="174"/>
    </row>
    <row r="20" spans="1:37" ht="17.100000000000001" customHeight="1" x14ac:dyDescent="0.25">
      <c r="B20" s="179" t="s">
        <v>35</v>
      </c>
      <c r="C20" s="159">
        <v>2900</v>
      </c>
      <c r="V20" s="179" t="s">
        <v>173</v>
      </c>
      <c r="W20" s="92">
        <f>'Advanced Table'!N39</f>
        <v>-62.554407072922004</v>
      </c>
      <c r="AI20" s="174"/>
    </row>
    <row r="21" spans="1:37" ht="17.100000000000001" customHeight="1" x14ac:dyDescent="0.25">
      <c r="B21" s="180" t="str">
        <f>'Advanced Table'!F14</f>
        <v>Rent Occupancy (%)</v>
      </c>
      <c r="C21" s="158">
        <v>0.96</v>
      </c>
      <c r="V21" s="180" t="s">
        <v>3</v>
      </c>
      <c r="W21" s="93">
        <f>'Advanced Table'!Q39</f>
        <v>159295.78503531427</v>
      </c>
      <c r="AI21" s="174"/>
    </row>
    <row r="22" spans="1:37" ht="17.100000000000001" customHeight="1" x14ac:dyDescent="0.25">
      <c r="B22" s="189" t="str">
        <f>'Advanced Table'!F17</f>
        <v>Net Income toward Loan?</v>
      </c>
      <c r="C22" s="161" t="s">
        <v>31</v>
      </c>
      <c r="V22" s="180" t="s">
        <v>47</v>
      </c>
      <c r="W22" s="93">
        <f>'Advanced Table'!T39</f>
        <v>7446.0577919167154</v>
      </c>
      <c r="AI22" s="174"/>
    </row>
    <row r="23" spans="1:37" ht="17.100000000000001" customHeight="1" x14ac:dyDescent="0.25">
      <c r="B23" s="180" t="s">
        <v>4</v>
      </c>
      <c r="C23" s="162">
        <v>7.4999999999999997E-2</v>
      </c>
      <c r="V23" s="181" t="s">
        <v>18</v>
      </c>
      <c r="W23" s="182">
        <f>'Advanced Table'!U39</f>
        <v>166741.84282723098</v>
      </c>
    </row>
    <row r="24" spans="1:37" ht="17.100000000000001" customHeight="1" x14ac:dyDescent="0.25">
      <c r="B24" s="180" t="s">
        <v>79</v>
      </c>
      <c r="C24" s="215">
        <f>APR</f>
        <v>7.4999999999999886E-2</v>
      </c>
      <c r="V24" s="190" t="s">
        <v>48</v>
      </c>
      <c r="W24" s="156">
        <f>'Advanced Table'!W39</f>
        <v>0.33393474261784784</v>
      </c>
      <c r="AC24" s="191"/>
    </row>
    <row r="25" spans="1:37" ht="17.100000000000001" customHeight="1" x14ac:dyDescent="0.25">
      <c r="B25" s="180" t="s">
        <v>154</v>
      </c>
      <c r="C25" s="172" t="s">
        <v>24</v>
      </c>
      <c r="AD25" s="175"/>
      <c r="AJ25" s="174"/>
      <c r="AK25" s="174"/>
    </row>
    <row r="26" spans="1:37" ht="17.100000000000001" customHeight="1" x14ac:dyDescent="0.25">
      <c r="B26" s="180" t="s">
        <v>74</v>
      </c>
      <c r="C26" s="163">
        <v>30</v>
      </c>
      <c r="V26" s="220" t="s">
        <v>76</v>
      </c>
      <c r="W26" s="221"/>
      <c r="AD26" s="192"/>
      <c r="AJ26" s="174"/>
      <c r="AK26" s="174"/>
    </row>
    <row r="27" spans="1:37" ht="17.100000000000001" customHeight="1" x14ac:dyDescent="0.25">
      <c r="B27" s="180" t="s">
        <v>99</v>
      </c>
      <c r="C27" s="216">
        <f>Initial_Loan_Amount</f>
        <v>375000</v>
      </c>
      <c r="V27" s="179" t="s">
        <v>173</v>
      </c>
      <c r="W27" s="92">
        <f>'Advanced Table'!N87</f>
        <v>315.03071302676472</v>
      </c>
      <c r="AD27" s="175"/>
      <c r="AJ27" s="174"/>
      <c r="AK27" s="174"/>
    </row>
    <row r="28" spans="1:37" ht="17.100000000000001" customHeight="1" x14ac:dyDescent="0.25">
      <c r="B28" s="180" t="s">
        <v>52</v>
      </c>
      <c r="C28" s="159">
        <v>2886</v>
      </c>
      <c r="V28" s="180" t="s">
        <v>3</v>
      </c>
      <c r="W28" s="93">
        <f>'Advanced Table'!Q87</f>
        <v>319609.68931863178</v>
      </c>
      <c r="AD28" s="175"/>
      <c r="AJ28" s="174"/>
      <c r="AK28" s="174"/>
    </row>
    <row r="29" spans="1:37" ht="17.100000000000001" customHeight="1" x14ac:dyDescent="0.25">
      <c r="B29" s="180" t="s">
        <v>51</v>
      </c>
      <c r="C29" s="159">
        <v>1200</v>
      </c>
      <c r="V29" s="180" t="s">
        <v>47</v>
      </c>
      <c r="W29" s="93">
        <f>'Advanced Table'!T87</f>
        <v>52110.947953174866</v>
      </c>
      <c r="AD29" s="175"/>
      <c r="AJ29" s="174"/>
      <c r="AK29" s="174"/>
    </row>
    <row r="30" spans="1:37" ht="17.100000000000001" customHeight="1" x14ac:dyDescent="0.25">
      <c r="B30" s="180" t="s">
        <v>75</v>
      </c>
      <c r="C30" s="159">
        <v>0</v>
      </c>
      <c r="V30" s="181" t="s">
        <v>18</v>
      </c>
      <c r="W30" s="182">
        <f>'Advanced Table'!U87</f>
        <v>371720.63727180666</v>
      </c>
      <c r="AD30" s="175"/>
      <c r="AE30" s="175"/>
      <c r="AJ30" s="174"/>
      <c r="AK30" s="174"/>
    </row>
    <row r="31" spans="1:37" ht="17.100000000000001" customHeight="1" x14ac:dyDescent="0.25">
      <c r="B31" s="180" t="s">
        <v>70</v>
      </c>
      <c r="C31" s="159">
        <v>0</v>
      </c>
      <c r="V31" s="190" t="s">
        <v>48</v>
      </c>
      <c r="W31" s="156">
        <f>'Advanced Table'!W87</f>
        <v>0.24354450279266868</v>
      </c>
      <c r="AD31" s="175"/>
      <c r="AE31" s="175"/>
      <c r="AJ31" s="174"/>
      <c r="AK31" s="174"/>
    </row>
    <row r="32" spans="1:37" ht="17.100000000000001" customHeight="1" x14ac:dyDescent="0.25">
      <c r="B32" s="180" t="s">
        <v>163</v>
      </c>
      <c r="C32" s="164">
        <v>4.0000000000000001E-3</v>
      </c>
      <c r="AD32" s="175"/>
      <c r="AE32" s="175"/>
      <c r="AJ32" s="174"/>
      <c r="AK32" s="174"/>
    </row>
    <row r="33" spans="2:37" ht="17.100000000000001" customHeight="1" x14ac:dyDescent="0.25">
      <c r="B33" s="180" t="s">
        <v>84</v>
      </c>
      <c r="C33" s="159">
        <v>0</v>
      </c>
      <c r="V33" s="220" t="s">
        <v>46</v>
      </c>
      <c r="W33" s="221"/>
      <c r="AB33" s="175"/>
      <c r="AC33" s="175"/>
      <c r="AD33" s="175"/>
      <c r="AE33" s="175"/>
      <c r="AH33" s="174"/>
      <c r="AI33" s="174"/>
      <c r="AJ33" s="174"/>
      <c r="AK33" s="174"/>
    </row>
    <row r="34" spans="2:37" ht="17.100000000000001" customHeight="1" x14ac:dyDescent="0.25">
      <c r="B34" s="180" t="s">
        <v>85</v>
      </c>
      <c r="C34" s="163">
        <v>0</v>
      </c>
      <c r="V34" s="179" t="s">
        <v>173</v>
      </c>
      <c r="W34" s="92">
        <f>'Advanced Table'!N147</f>
        <v>866.28136858868174</v>
      </c>
      <c r="AB34" s="175"/>
      <c r="AC34" s="175"/>
      <c r="AD34" s="175"/>
      <c r="AE34" s="175"/>
      <c r="AH34" s="174"/>
      <c r="AI34" s="174"/>
      <c r="AJ34" s="174"/>
      <c r="AK34" s="174"/>
    </row>
    <row r="35" spans="2:37" ht="17.100000000000001" customHeight="1" x14ac:dyDescent="0.25">
      <c r="B35" s="180" t="s">
        <v>93</v>
      </c>
      <c r="C35" s="161" t="s">
        <v>31</v>
      </c>
      <c r="V35" s="180" t="s">
        <v>3</v>
      </c>
      <c r="W35" s="93">
        <f>'Advanced Table'!Q147</f>
        <v>584217.16533016134</v>
      </c>
      <c r="AB35" s="175"/>
      <c r="AC35" s="175"/>
      <c r="AD35" s="175"/>
      <c r="AE35" s="175"/>
      <c r="AH35" s="174"/>
      <c r="AI35" s="174"/>
      <c r="AJ35" s="174"/>
      <c r="AK35" s="174"/>
    </row>
    <row r="36" spans="2:37" ht="17.100000000000001" customHeight="1" x14ac:dyDescent="0.25">
      <c r="B36" s="184" t="s">
        <v>106</v>
      </c>
      <c r="C36" s="214">
        <f>Total_Monthly_Mgmt_Fee</f>
        <v>0</v>
      </c>
      <c r="V36" s="180" t="s">
        <v>47</v>
      </c>
      <c r="W36" s="93">
        <f>'Advanced Table'!T147</f>
        <v>150417.11643301806</v>
      </c>
      <c r="AB36" s="175"/>
      <c r="AC36" s="175"/>
      <c r="AD36" s="175"/>
      <c r="AE36" s="175"/>
      <c r="AH36" s="174"/>
      <c r="AI36" s="174"/>
      <c r="AJ36" s="174"/>
      <c r="AK36" s="174"/>
    </row>
    <row r="37" spans="2:37" ht="17.100000000000001" customHeight="1" x14ac:dyDescent="0.25">
      <c r="B37" s="193" t="s">
        <v>82</v>
      </c>
      <c r="C37" s="194">
        <f>'Advanced Table'!N27</f>
        <v>-62.554407072922004</v>
      </c>
      <c r="V37" s="181" t="s">
        <v>18</v>
      </c>
      <c r="W37" s="182">
        <f>'Advanced Table'!U147</f>
        <v>734634.28176317946</v>
      </c>
      <c r="AB37" s="175"/>
      <c r="AC37" s="175"/>
      <c r="AD37" s="175"/>
      <c r="AE37" s="175"/>
      <c r="AH37" s="174"/>
      <c r="AI37" s="174"/>
      <c r="AJ37" s="174"/>
      <c r="AK37" s="174"/>
    </row>
    <row r="38" spans="2:37" ht="17.100000000000001" customHeight="1" x14ac:dyDescent="0.25">
      <c r="B38" s="187" t="s">
        <v>103</v>
      </c>
      <c r="C38" s="188">
        <f>-Annual_Maintenance_Reserves_Budget/12</f>
        <v>-166.66666666666666</v>
      </c>
      <c r="V38" s="190" t="s">
        <v>48</v>
      </c>
      <c r="W38" s="156">
        <f>'Advanced Table'!W147</f>
        <v>0.1937575127840083</v>
      </c>
      <c r="AD38" s="175"/>
      <c r="AE38" s="175"/>
      <c r="AJ38" s="174"/>
      <c r="AK38" s="174"/>
    </row>
    <row r="39" spans="2:37" ht="17.100000000000001" customHeight="1" x14ac:dyDescent="0.25"/>
    <row r="40" spans="2:37" ht="17.100000000000001" customHeight="1" x14ac:dyDescent="0.25">
      <c r="B40" s="220" t="s">
        <v>45</v>
      </c>
      <c r="C40" s="221"/>
      <c r="V40" s="220" t="s">
        <v>141</v>
      </c>
      <c r="W40" s="221"/>
    </row>
    <row r="41" spans="2:37" ht="17.100000000000001" customHeight="1" x14ac:dyDescent="0.25">
      <c r="B41" s="179" t="str">
        <f>'Advanced Table'!B21</f>
        <v>Annual Appreciation (%)</v>
      </c>
      <c r="C41" s="158">
        <v>0.06</v>
      </c>
      <c r="V41" s="179" t="s">
        <v>65</v>
      </c>
      <c r="W41" s="92">
        <f>'Advanced Table'!N267</f>
        <v>2298.5877147056544</v>
      </c>
    </row>
    <row r="42" spans="2:37" ht="17.100000000000001" customHeight="1" x14ac:dyDescent="0.25">
      <c r="B42" s="180" t="str">
        <f>'Advanced Table'!J18</f>
        <v>Annual Inflation (%)</v>
      </c>
      <c r="C42" s="158">
        <v>3.5000000000000003E-2</v>
      </c>
      <c r="V42" s="180" t="s">
        <v>3</v>
      </c>
      <c r="W42" s="93">
        <f>'Advanced Table'!Q267</f>
        <v>1434207.9390097931</v>
      </c>
    </row>
    <row r="43" spans="2:37" ht="17.100000000000001" customHeight="1" x14ac:dyDescent="0.25">
      <c r="B43" s="180" t="str">
        <f>'Advanced Table'!F15</f>
        <v>Annual Rent Increase (%)</v>
      </c>
      <c r="C43" s="158">
        <v>3.5000000000000003E-2</v>
      </c>
      <c r="V43" s="180" t="s">
        <v>47</v>
      </c>
      <c r="W43" s="93">
        <f>'Advanced Table'!T267</f>
        <v>565162.72497170127</v>
      </c>
    </row>
    <row r="44" spans="2:37" ht="17.100000000000001" customHeight="1" x14ac:dyDescent="0.25">
      <c r="B44" s="180" t="s">
        <v>170</v>
      </c>
      <c r="C44" s="173">
        <v>0.22</v>
      </c>
      <c r="V44" s="181" t="s">
        <v>18</v>
      </c>
      <c r="W44" s="182">
        <f>'Advanced Table'!U267</f>
        <v>1999370.6639814945</v>
      </c>
      <c r="AF44" s="8"/>
    </row>
    <row r="45" spans="2:37" ht="17.100000000000001" customHeight="1" x14ac:dyDescent="0.25">
      <c r="B45" s="184" t="s">
        <v>71</v>
      </c>
      <c r="C45" s="165">
        <v>0.1</v>
      </c>
      <c r="D45" s="195"/>
      <c r="E45" s="195"/>
      <c r="F45" s="195"/>
      <c r="G45" s="195"/>
      <c r="H45" s="195"/>
      <c r="I45" s="195"/>
      <c r="J45" s="195"/>
      <c r="K45" s="195"/>
      <c r="L45" s="195"/>
      <c r="M45" s="195"/>
      <c r="N45" s="195"/>
      <c r="O45" s="195"/>
      <c r="P45" s="195"/>
      <c r="Q45" s="195"/>
      <c r="R45" s="195"/>
      <c r="S45" s="195"/>
      <c r="T45" s="195"/>
      <c r="U45" s="195"/>
      <c r="V45" s="190" t="s">
        <v>48</v>
      </c>
      <c r="W45" s="156">
        <f>'Advanced Table'!W267</f>
        <v>0.14868027936394015</v>
      </c>
      <c r="AF45" s="174"/>
    </row>
    <row r="46" spans="2:37" ht="17.100000000000001" customHeight="1" x14ac:dyDescent="0.25">
      <c r="AF46" s="174"/>
    </row>
    <row r="47" spans="2:37" ht="17.25" customHeight="1" x14ac:dyDescent="0.25">
      <c r="B47" s="217" t="s">
        <v>183</v>
      </c>
      <c r="C47" s="217"/>
      <c r="D47" s="217"/>
      <c r="E47" s="217"/>
      <c r="F47" s="217"/>
      <c r="G47" s="217"/>
      <c r="H47" s="217"/>
      <c r="I47" s="217"/>
      <c r="J47" s="217"/>
      <c r="K47" s="217"/>
      <c r="L47" s="217"/>
      <c r="M47" s="217"/>
      <c r="N47" s="217"/>
      <c r="O47" s="217"/>
      <c r="P47" s="217"/>
      <c r="Q47" s="217"/>
      <c r="R47" s="217"/>
      <c r="S47" s="217"/>
      <c r="T47" s="217"/>
      <c r="U47" s="217"/>
      <c r="V47" s="217"/>
      <c r="W47" s="217"/>
      <c r="AF47" s="174"/>
    </row>
    <row r="48" spans="2:37" ht="17.25" customHeight="1" x14ac:dyDescent="0.25">
      <c r="B48" s="217"/>
      <c r="C48" s="217"/>
      <c r="D48" s="217"/>
      <c r="E48" s="217"/>
      <c r="F48" s="217"/>
      <c r="G48" s="217"/>
      <c r="H48" s="217"/>
      <c r="I48" s="217"/>
      <c r="J48" s="217"/>
      <c r="K48" s="217"/>
      <c r="L48" s="217"/>
      <c r="M48" s="217"/>
      <c r="N48" s="217"/>
      <c r="O48" s="217"/>
      <c r="P48" s="217"/>
      <c r="Q48" s="217"/>
      <c r="R48" s="217"/>
      <c r="S48" s="217"/>
      <c r="T48" s="217"/>
      <c r="U48" s="217"/>
      <c r="V48" s="217"/>
      <c r="W48" s="217"/>
      <c r="AF48" s="174"/>
    </row>
    <row r="49" spans="2:37" ht="17.25" customHeight="1" x14ac:dyDescent="0.25">
      <c r="B49" s="217"/>
      <c r="C49" s="217"/>
      <c r="D49" s="217"/>
      <c r="E49" s="217"/>
      <c r="F49" s="217"/>
      <c r="G49" s="217"/>
      <c r="H49" s="217"/>
      <c r="I49" s="217"/>
      <c r="J49" s="217"/>
      <c r="K49" s="217"/>
      <c r="L49" s="217"/>
      <c r="M49" s="217"/>
      <c r="N49" s="217"/>
      <c r="O49" s="217"/>
      <c r="P49" s="217"/>
      <c r="Q49" s="217"/>
      <c r="R49" s="217"/>
      <c r="S49" s="217"/>
      <c r="T49" s="217"/>
      <c r="U49" s="217"/>
      <c r="V49" s="217"/>
      <c r="W49" s="217"/>
      <c r="AF49" s="174"/>
    </row>
    <row r="50" spans="2:37" ht="17.25" customHeight="1" x14ac:dyDescent="0.25">
      <c r="AF50" s="174"/>
    </row>
    <row r="51" spans="2:37" ht="17.25" customHeight="1" x14ac:dyDescent="0.25">
      <c r="AF51" s="174"/>
      <c r="AG51" s="174"/>
      <c r="AH51" s="174"/>
      <c r="AI51" s="174"/>
      <c r="AJ51" s="174"/>
      <c r="AK51" s="174"/>
    </row>
    <row r="52" spans="2:37" ht="17.25" customHeight="1" x14ac:dyDescent="0.25">
      <c r="AF52" s="174"/>
      <c r="AG52" s="174"/>
      <c r="AH52" s="174"/>
      <c r="AI52" s="174"/>
      <c r="AJ52" s="174"/>
      <c r="AK52" s="174"/>
    </row>
    <row r="53" spans="2:37" ht="17.25" customHeight="1" x14ac:dyDescent="0.25">
      <c r="AF53" s="174"/>
      <c r="AG53" s="174"/>
      <c r="AH53" s="174"/>
      <c r="AI53" s="174"/>
      <c r="AJ53" s="174"/>
      <c r="AK53" s="174"/>
    </row>
    <row r="54" spans="2:37" ht="17.25" customHeight="1" x14ac:dyDescent="0.25">
      <c r="AF54" s="174"/>
      <c r="AG54" s="174"/>
      <c r="AH54" s="174"/>
      <c r="AI54" s="174"/>
      <c r="AJ54" s="174"/>
      <c r="AK54" s="174"/>
    </row>
    <row r="55" spans="2:37" ht="17.25" customHeight="1" x14ac:dyDescent="0.25">
      <c r="AF55" s="174"/>
      <c r="AG55" s="174"/>
      <c r="AH55" s="174"/>
      <c r="AI55" s="174"/>
      <c r="AJ55" s="174"/>
      <c r="AK55" s="174"/>
    </row>
    <row r="56" spans="2:37" ht="17.25" customHeight="1" x14ac:dyDescent="0.25">
      <c r="AF56" s="174"/>
      <c r="AG56" s="174"/>
      <c r="AH56" s="174"/>
      <c r="AI56" s="174"/>
      <c r="AJ56" s="174"/>
      <c r="AK56" s="174"/>
    </row>
    <row r="57" spans="2:37" ht="17.25" customHeight="1" x14ac:dyDescent="0.25">
      <c r="AF57" s="174"/>
      <c r="AG57" s="174"/>
      <c r="AH57" s="174"/>
      <c r="AI57" s="174"/>
      <c r="AJ57" s="174"/>
      <c r="AK57" s="174"/>
    </row>
    <row r="58" spans="2:37" ht="17.25" customHeight="1" x14ac:dyDescent="0.25">
      <c r="AF58" s="174"/>
      <c r="AG58" s="174"/>
      <c r="AH58" s="174"/>
      <c r="AI58" s="174"/>
      <c r="AJ58" s="174"/>
      <c r="AK58" s="174"/>
    </row>
    <row r="59" spans="2:37" ht="17.25" customHeight="1" x14ac:dyDescent="0.25">
      <c r="AF59" s="174"/>
      <c r="AG59" s="174"/>
      <c r="AH59" s="174"/>
      <c r="AI59" s="174"/>
      <c r="AJ59" s="174"/>
      <c r="AK59" s="174"/>
    </row>
    <row r="60" spans="2:37" ht="17.25" customHeight="1" x14ac:dyDescent="0.25">
      <c r="AF60" s="174"/>
      <c r="AG60" s="174"/>
      <c r="AH60" s="174"/>
      <c r="AI60" s="174"/>
      <c r="AJ60" s="174"/>
      <c r="AK60" s="174"/>
    </row>
    <row r="61" spans="2:37" ht="17.25" customHeight="1" x14ac:dyDescent="0.25">
      <c r="AF61" s="174"/>
      <c r="AG61" s="174"/>
      <c r="AH61" s="174"/>
      <c r="AI61" s="174"/>
      <c r="AJ61" s="174"/>
      <c r="AK61" s="174"/>
    </row>
    <row r="62" spans="2:37" ht="17.25" customHeight="1" x14ac:dyDescent="0.25">
      <c r="AF62" s="174"/>
      <c r="AG62" s="174"/>
      <c r="AH62" s="174"/>
      <c r="AI62" s="174"/>
      <c r="AJ62" s="174"/>
      <c r="AK62" s="174"/>
    </row>
    <row r="63" spans="2:37" ht="17.25" customHeight="1" x14ac:dyDescent="0.25">
      <c r="AF63" s="174"/>
      <c r="AG63" s="174"/>
      <c r="AH63" s="174"/>
      <c r="AI63" s="174"/>
      <c r="AJ63" s="174"/>
      <c r="AK63" s="174"/>
    </row>
    <row r="64" spans="2:37" ht="17.25" customHeight="1" x14ac:dyDescent="0.25">
      <c r="AF64" s="174"/>
      <c r="AG64" s="174"/>
      <c r="AH64" s="174"/>
      <c r="AI64" s="174"/>
      <c r="AJ64" s="174"/>
      <c r="AK64" s="174"/>
    </row>
    <row r="65" spans="32:37" ht="17.25" customHeight="1" x14ac:dyDescent="0.25">
      <c r="AF65" s="174"/>
      <c r="AG65" s="174"/>
      <c r="AH65" s="174"/>
      <c r="AI65" s="174"/>
      <c r="AJ65" s="174"/>
      <c r="AK65" s="174"/>
    </row>
    <row r="66" spans="32:37" ht="17.25" customHeight="1" x14ac:dyDescent="0.25">
      <c r="AF66" s="174"/>
      <c r="AG66" s="174"/>
      <c r="AH66" s="174"/>
      <c r="AI66" s="174"/>
      <c r="AJ66" s="174"/>
      <c r="AK66" s="174"/>
    </row>
    <row r="67" spans="32:37" ht="17.25" customHeight="1" x14ac:dyDescent="0.25">
      <c r="AF67" s="174"/>
      <c r="AG67" s="174"/>
      <c r="AH67" s="174"/>
      <c r="AI67" s="174"/>
      <c r="AJ67" s="174"/>
      <c r="AK67" s="174"/>
    </row>
    <row r="68" spans="32:37" ht="17.25" customHeight="1" x14ac:dyDescent="0.25">
      <c r="AF68" s="174"/>
      <c r="AG68" s="174"/>
      <c r="AH68" s="174"/>
      <c r="AI68" s="174"/>
      <c r="AJ68" s="174"/>
      <c r="AK68" s="174"/>
    </row>
    <row r="69" spans="32:37" ht="17.25" customHeight="1" x14ac:dyDescent="0.25">
      <c r="AF69" s="174"/>
      <c r="AG69" s="174"/>
      <c r="AH69" s="174"/>
      <c r="AI69" s="174"/>
      <c r="AJ69" s="174"/>
      <c r="AK69" s="174"/>
    </row>
    <row r="70" spans="32:37" ht="17.25" customHeight="1" x14ac:dyDescent="0.25">
      <c r="AF70" s="174"/>
      <c r="AG70" s="174"/>
      <c r="AH70" s="174"/>
      <c r="AI70" s="174"/>
      <c r="AJ70" s="174"/>
      <c r="AK70" s="174"/>
    </row>
    <row r="71" spans="32:37" ht="17.25" customHeight="1" x14ac:dyDescent="0.25">
      <c r="AF71" s="174"/>
      <c r="AG71" s="174"/>
      <c r="AH71" s="174"/>
      <c r="AI71" s="174"/>
      <c r="AJ71" s="174"/>
      <c r="AK71" s="174"/>
    </row>
    <row r="72" spans="32:37" ht="17.25" customHeight="1" x14ac:dyDescent="0.25">
      <c r="AF72" s="174"/>
      <c r="AG72" s="174"/>
      <c r="AH72" s="174"/>
      <c r="AI72" s="174"/>
      <c r="AJ72" s="174"/>
      <c r="AK72" s="174"/>
    </row>
    <row r="73" spans="32:37" ht="17.25" customHeight="1" x14ac:dyDescent="0.25">
      <c r="AF73" s="174"/>
      <c r="AG73" s="174"/>
      <c r="AH73" s="174"/>
      <c r="AI73" s="174"/>
      <c r="AJ73" s="174"/>
      <c r="AK73" s="174"/>
    </row>
    <row r="74" spans="32:37" ht="17.25" customHeight="1" x14ac:dyDescent="0.25">
      <c r="AF74" s="174"/>
      <c r="AG74" s="174"/>
      <c r="AH74" s="174"/>
      <c r="AI74" s="174"/>
      <c r="AJ74" s="174"/>
      <c r="AK74" s="174"/>
    </row>
    <row r="75" spans="32:37" ht="17.25" customHeight="1" x14ac:dyDescent="0.25">
      <c r="AF75" s="174"/>
      <c r="AG75" s="174"/>
      <c r="AH75" s="174"/>
      <c r="AI75" s="174"/>
      <c r="AJ75" s="174"/>
      <c r="AK75" s="174"/>
    </row>
    <row r="76" spans="32:37" ht="17.25" customHeight="1" x14ac:dyDescent="0.25">
      <c r="AF76" s="174"/>
      <c r="AG76" s="174"/>
      <c r="AH76" s="174"/>
      <c r="AI76" s="174"/>
      <c r="AJ76" s="174"/>
      <c r="AK76" s="174"/>
    </row>
    <row r="77" spans="32:37" ht="17.25" customHeight="1" x14ac:dyDescent="0.25">
      <c r="AF77" s="174"/>
      <c r="AG77" s="174"/>
      <c r="AH77" s="174"/>
      <c r="AI77" s="174"/>
      <c r="AJ77" s="174"/>
      <c r="AK77" s="174"/>
    </row>
    <row r="78" spans="32:37" ht="17.25" customHeight="1" x14ac:dyDescent="0.25">
      <c r="AF78" s="174"/>
      <c r="AG78" s="174"/>
      <c r="AH78" s="174"/>
      <c r="AI78" s="174"/>
      <c r="AJ78" s="174"/>
      <c r="AK78" s="174"/>
    </row>
    <row r="79" spans="32:37" ht="17.25" customHeight="1" x14ac:dyDescent="0.25">
      <c r="AF79" s="174"/>
      <c r="AG79" s="174"/>
      <c r="AH79" s="174"/>
      <c r="AI79" s="174"/>
      <c r="AJ79" s="174"/>
      <c r="AK79" s="174"/>
    </row>
    <row r="80" spans="32:37" ht="17.25" customHeight="1" x14ac:dyDescent="0.25">
      <c r="AF80" s="174"/>
      <c r="AG80" s="174"/>
      <c r="AH80" s="174"/>
      <c r="AI80" s="174"/>
      <c r="AJ80" s="174"/>
      <c r="AK80" s="174"/>
    </row>
    <row r="81" spans="32:37" ht="17.25" customHeight="1" x14ac:dyDescent="0.25">
      <c r="AF81" s="174"/>
      <c r="AG81" s="174"/>
      <c r="AH81" s="174"/>
      <c r="AI81" s="174"/>
      <c r="AJ81" s="174"/>
      <c r="AK81" s="174"/>
    </row>
    <row r="82" spans="32:37" ht="17.25" customHeight="1" x14ac:dyDescent="0.25">
      <c r="AF82" s="174"/>
      <c r="AG82" s="174"/>
      <c r="AH82" s="174"/>
      <c r="AI82" s="174"/>
      <c r="AJ82" s="174"/>
      <c r="AK82" s="174"/>
    </row>
    <row r="83" spans="32:37" ht="17.25" customHeight="1" x14ac:dyDescent="0.25">
      <c r="AF83" s="174"/>
      <c r="AG83" s="174"/>
      <c r="AH83" s="174"/>
      <c r="AI83" s="174"/>
      <c r="AJ83" s="174"/>
      <c r="AK83" s="174"/>
    </row>
    <row r="84" spans="32:37" ht="17.25" customHeight="1" x14ac:dyDescent="0.25">
      <c r="AF84" s="174"/>
      <c r="AG84" s="174"/>
      <c r="AH84" s="174"/>
      <c r="AI84" s="174"/>
      <c r="AJ84" s="174"/>
      <c r="AK84" s="174"/>
    </row>
    <row r="85" spans="32:37" ht="17.25" customHeight="1" x14ac:dyDescent="0.25">
      <c r="AF85" s="174"/>
      <c r="AG85" s="174"/>
      <c r="AH85" s="174"/>
      <c r="AI85" s="174"/>
      <c r="AJ85" s="174"/>
      <c r="AK85" s="174"/>
    </row>
    <row r="86" spans="32:37" ht="17.25" customHeight="1" x14ac:dyDescent="0.25">
      <c r="AF86" s="174"/>
      <c r="AG86" s="174"/>
      <c r="AH86" s="174"/>
      <c r="AI86" s="174"/>
      <c r="AJ86" s="174"/>
      <c r="AK86" s="174"/>
    </row>
    <row r="87" spans="32:37" ht="17.25" customHeight="1" x14ac:dyDescent="0.25">
      <c r="AF87" s="174"/>
      <c r="AG87" s="174"/>
      <c r="AH87" s="174"/>
      <c r="AI87" s="174"/>
      <c r="AJ87" s="174"/>
      <c r="AK87" s="174"/>
    </row>
    <row r="88" spans="32:37" ht="17.25" customHeight="1" x14ac:dyDescent="0.25">
      <c r="AF88" s="174"/>
      <c r="AG88" s="174"/>
      <c r="AH88" s="174"/>
      <c r="AI88" s="174"/>
      <c r="AJ88" s="174"/>
      <c r="AK88" s="174"/>
    </row>
    <row r="89" spans="32:37" ht="17.25" customHeight="1" x14ac:dyDescent="0.25">
      <c r="AF89" s="174"/>
      <c r="AG89" s="174"/>
      <c r="AH89" s="174"/>
      <c r="AI89" s="174"/>
      <c r="AJ89" s="174"/>
      <c r="AK89" s="174"/>
    </row>
    <row r="90" spans="32:37" ht="17.25" customHeight="1" x14ac:dyDescent="0.25">
      <c r="AF90" s="174"/>
      <c r="AG90" s="174"/>
      <c r="AH90" s="174"/>
      <c r="AI90" s="174"/>
      <c r="AJ90" s="174"/>
      <c r="AK90" s="174"/>
    </row>
    <row r="91" spans="32:37" ht="17.25" customHeight="1" x14ac:dyDescent="0.25">
      <c r="AF91" s="174"/>
      <c r="AG91" s="174"/>
      <c r="AH91" s="174"/>
      <c r="AI91" s="174"/>
      <c r="AJ91" s="174"/>
      <c r="AK91" s="174"/>
    </row>
    <row r="92" spans="32:37" ht="17.25" customHeight="1" x14ac:dyDescent="0.25">
      <c r="AF92" s="174"/>
      <c r="AG92" s="174"/>
      <c r="AH92" s="174"/>
      <c r="AI92" s="174"/>
      <c r="AJ92" s="174"/>
      <c r="AK92" s="174"/>
    </row>
    <row r="93" spans="32:37" ht="17.25" customHeight="1" x14ac:dyDescent="0.25">
      <c r="AF93" s="174"/>
      <c r="AG93" s="174"/>
      <c r="AH93" s="174"/>
      <c r="AI93" s="174"/>
      <c r="AJ93" s="174"/>
      <c r="AK93" s="174"/>
    </row>
    <row r="94" spans="32:37" ht="17.25" customHeight="1" x14ac:dyDescent="0.25">
      <c r="AF94" s="174"/>
      <c r="AG94" s="174"/>
      <c r="AH94" s="174"/>
      <c r="AI94" s="174"/>
      <c r="AJ94" s="174"/>
      <c r="AK94" s="174"/>
    </row>
    <row r="95" spans="32:37" ht="17.25" customHeight="1" x14ac:dyDescent="0.25">
      <c r="AF95" s="174"/>
      <c r="AG95" s="174"/>
      <c r="AH95" s="174"/>
      <c r="AI95" s="174"/>
      <c r="AJ95" s="174"/>
      <c r="AK95" s="174"/>
    </row>
    <row r="96" spans="32:37" ht="17.25" customHeight="1" x14ac:dyDescent="0.25">
      <c r="AF96" s="174"/>
      <c r="AG96" s="174"/>
      <c r="AH96" s="174"/>
      <c r="AI96" s="174"/>
      <c r="AJ96" s="174"/>
      <c r="AK96" s="174"/>
    </row>
    <row r="97" spans="32:37" ht="17.25" customHeight="1" x14ac:dyDescent="0.25">
      <c r="AF97" s="174"/>
      <c r="AG97" s="174"/>
      <c r="AH97" s="174"/>
      <c r="AI97" s="174"/>
      <c r="AJ97" s="174"/>
      <c r="AK97" s="174"/>
    </row>
    <row r="98" spans="32:37" ht="17.25" customHeight="1" x14ac:dyDescent="0.25">
      <c r="AF98" s="174"/>
      <c r="AG98" s="174"/>
      <c r="AH98" s="174"/>
      <c r="AI98" s="174"/>
      <c r="AJ98" s="174"/>
      <c r="AK98" s="174"/>
    </row>
    <row r="99" spans="32:37" ht="17.25" customHeight="1" x14ac:dyDescent="0.25">
      <c r="AF99" s="174"/>
      <c r="AG99" s="174"/>
      <c r="AH99" s="174"/>
      <c r="AI99" s="174"/>
      <c r="AJ99" s="174"/>
      <c r="AK99" s="174"/>
    </row>
    <row r="100" spans="32:37" ht="17.25" customHeight="1" x14ac:dyDescent="0.25">
      <c r="AF100" s="174"/>
      <c r="AG100" s="174"/>
      <c r="AH100" s="174"/>
      <c r="AI100" s="174"/>
      <c r="AJ100" s="174"/>
      <c r="AK100" s="174"/>
    </row>
    <row r="101" spans="32:37" ht="17.25" customHeight="1" x14ac:dyDescent="0.25">
      <c r="AF101" s="174"/>
      <c r="AG101" s="174"/>
      <c r="AH101" s="174"/>
      <c r="AI101" s="174"/>
      <c r="AJ101" s="174"/>
      <c r="AK101" s="174"/>
    </row>
    <row r="102" spans="32:37" ht="17.25" customHeight="1" x14ac:dyDescent="0.25">
      <c r="AF102" s="174"/>
      <c r="AG102" s="174"/>
      <c r="AH102" s="174"/>
      <c r="AI102" s="174"/>
      <c r="AJ102" s="174"/>
      <c r="AK102" s="174"/>
    </row>
    <row r="103" spans="32:37" ht="17.25" customHeight="1" x14ac:dyDescent="0.25">
      <c r="AF103" s="174"/>
      <c r="AG103" s="174"/>
      <c r="AH103" s="174"/>
      <c r="AI103" s="174"/>
      <c r="AJ103" s="174"/>
      <c r="AK103" s="174"/>
    </row>
    <row r="104" spans="32:37" ht="17.25" customHeight="1" x14ac:dyDescent="0.25">
      <c r="AF104" s="174"/>
      <c r="AG104" s="174"/>
      <c r="AH104" s="174"/>
      <c r="AI104" s="174"/>
      <c r="AJ104" s="174"/>
      <c r="AK104" s="174"/>
    </row>
    <row r="105" spans="32:37" ht="17.25" customHeight="1" x14ac:dyDescent="0.25">
      <c r="AF105" s="174"/>
      <c r="AG105" s="174"/>
      <c r="AH105" s="174"/>
      <c r="AI105" s="174"/>
      <c r="AJ105" s="174"/>
      <c r="AK105" s="174"/>
    </row>
    <row r="106" spans="32:37" ht="17.25" customHeight="1" x14ac:dyDescent="0.25">
      <c r="AF106" s="174"/>
      <c r="AG106" s="174"/>
      <c r="AH106" s="174"/>
      <c r="AI106" s="174"/>
      <c r="AJ106" s="174"/>
      <c r="AK106" s="174"/>
    </row>
    <row r="107" spans="32:37" ht="17.25" customHeight="1" x14ac:dyDescent="0.25">
      <c r="AF107" s="174"/>
      <c r="AG107" s="174"/>
      <c r="AH107" s="174"/>
      <c r="AI107" s="174"/>
      <c r="AJ107" s="174"/>
      <c r="AK107" s="174"/>
    </row>
    <row r="108" spans="32:37" ht="17.25" customHeight="1" x14ac:dyDescent="0.25">
      <c r="AF108" s="174"/>
      <c r="AG108" s="174"/>
      <c r="AH108" s="174"/>
      <c r="AI108" s="174"/>
      <c r="AJ108" s="174"/>
      <c r="AK108" s="174"/>
    </row>
    <row r="109" spans="32:37" ht="17.25" customHeight="1" x14ac:dyDescent="0.25">
      <c r="AF109" s="174"/>
      <c r="AG109" s="174"/>
      <c r="AH109" s="174"/>
      <c r="AI109" s="174"/>
      <c r="AJ109" s="174"/>
      <c r="AK109" s="174"/>
    </row>
    <row r="110" spans="32:37" ht="17.25" customHeight="1" x14ac:dyDescent="0.25">
      <c r="AF110" s="174"/>
      <c r="AG110" s="174"/>
      <c r="AH110" s="174"/>
      <c r="AI110" s="174"/>
      <c r="AJ110" s="174"/>
      <c r="AK110" s="174"/>
    </row>
    <row r="111" spans="32:37" ht="17.25" customHeight="1" x14ac:dyDescent="0.25">
      <c r="AF111" s="174"/>
      <c r="AG111" s="174"/>
      <c r="AH111" s="174"/>
      <c r="AI111" s="174"/>
      <c r="AJ111" s="174"/>
      <c r="AK111" s="174"/>
    </row>
    <row r="112" spans="32:37" ht="17.25" customHeight="1" x14ac:dyDescent="0.25">
      <c r="AF112" s="174"/>
      <c r="AG112" s="174"/>
      <c r="AH112" s="174"/>
      <c r="AI112" s="174"/>
      <c r="AJ112" s="174"/>
      <c r="AK112" s="174"/>
    </row>
    <row r="113" spans="32:37" ht="17.25" customHeight="1" x14ac:dyDescent="0.25">
      <c r="AF113" s="174"/>
      <c r="AG113" s="174"/>
      <c r="AH113" s="174"/>
      <c r="AI113" s="174"/>
      <c r="AJ113" s="174"/>
      <c r="AK113" s="174"/>
    </row>
    <row r="114" spans="32:37" ht="17.25" customHeight="1" x14ac:dyDescent="0.25">
      <c r="AF114" s="174"/>
      <c r="AG114" s="174"/>
      <c r="AH114" s="174"/>
      <c r="AI114" s="174"/>
      <c r="AJ114" s="174"/>
      <c r="AK114" s="174"/>
    </row>
    <row r="115" spans="32:37" ht="17.25" customHeight="1" x14ac:dyDescent="0.25">
      <c r="AF115" s="174"/>
      <c r="AG115" s="174"/>
      <c r="AH115" s="174"/>
      <c r="AI115" s="174"/>
      <c r="AJ115" s="174"/>
      <c r="AK115" s="174"/>
    </row>
    <row r="116" spans="32:37" ht="17.25" customHeight="1" x14ac:dyDescent="0.25">
      <c r="AF116" s="174"/>
      <c r="AG116" s="174"/>
      <c r="AH116" s="174"/>
      <c r="AI116" s="174"/>
      <c r="AJ116" s="174"/>
      <c r="AK116" s="174"/>
    </row>
    <row r="117" spans="32:37" ht="17.25" customHeight="1" x14ac:dyDescent="0.25">
      <c r="AF117" s="174"/>
      <c r="AG117" s="174"/>
      <c r="AH117" s="174"/>
      <c r="AI117" s="174"/>
      <c r="AJ117" s="174"/>
      <c r="AK117" s="174"/>
    </row>
    <row r="118" spans="32:37" ht="17.25" customHeight="1" x14ac:dyDescent="0.25">
      <c r="AF118" s="174"/>
      <c r="AG118" s="174"/>
      <c r="AH118" s="174"/>
      <c r="AI118" s="174"/>
      <c r="AJ118" s="174"/>
      <c r="AK118" s="174"/>
    </row>
    <row r="119" spans="32:37" ht="17.25" customHeight="1" x14ac:dyDescent="0.25">
      <c r="AF119" s="174"/>
      <c r="AG119" s="174"/>
      <c r="AH119" s="174"/>
      <c r="AI119" s="174"/>
      <c r="AJ119" s="174"/>
      <c r="AK119" s="174"/>
    </row>
    <row r="120" spans="32:37" ht="17.25" customHeight="1" x14ac:dyDescent="0.25">
      <c r="AF120" s="174"/>
      <c r="AG120" s="174"/>
      <c r="AH120" s="174"/>
      <c r="AI120" s="174"/>
      <c r="AJ120" s="174"/>
      <c r="AK120" s="174"/>
    </row>
    <row r="121" spans="32:37" ht="17.25" customHeight="1" x14ac:dyDescent="0.25">
      <c r="AF121" s="174"/>
      <c r="AG121" s="174"/>
      <c r="AH121" s="174"/>
      <c r="AI121" s="174"/>
      <c r="AJ121" s="174"/>
      <c r="AK121" s="174"/>
    </row>
    <row r="122" spans="32:37" ht="17.25" customHeight="1" x14ac:dyDescent="0.25">
      <c r="AF122" s="174"/>
      <c r="AG122" s="174"/>
      <c r="AH122" s="174"/>
      <c r="AI122" s="174"/>
      <c r="AJ122" s="174"/>
      <c r="AK122" s="174"/>
    </row>
    <row r="123" spans="32:37" ht="17.25" customHeight="1" x14ac:dyDescent="0.25">
      <c r="AF123" s="174"/>
      <c r="AG123" s="174"/>
      <c r="AH123" s="174"/>
      <c r="AI123" s="174"/>
      <c r="AJ123" s="174"/>
      <c r="AK123" s="174"/>
    </row>
    <row r="124" spans="32:37" ht="17.25" customHeight="1" x14ac:dyDescent="0.25">
      <c r="AF124" s="174"/>
      <c r="AG124" s="174"/>
      <c r="AH124" s="174"/>
      <c r="AI124" s="174"/>
      <c r="AJ124" s="174"/>
      <c r="AK124" s="174"/>
    </row>
    <row r="125" spans="32:37" ht="17.25" customHeight="1" x14ac:dyDescent="0.25">
      <c r="AF125" s="174"/>
      <c r="AG125" s="174"/>
      <c r="AH125" s="174"/>
      <c r="AI125" s="174"/>
      <c r="AJ125" s="174"/>
      <c r="AK125" s="174"/>
    </row>
    <row r="126" spans="32:37" ht="17.25" customHeight="1" x14ac:dyDescent="0.25">
      <c r="AF126" s="174"/>
      <c r="AG126" s="174"/>
      <c r="AH126" s="174"/>
      <c r="AI126" s="174"/>
      <c r="AJ126" s="174"/>
      <c r="AK126" s="174"/>
    </row>
    <row r="127" spans="32:37" ht="17.25" customHeight="1" x14ac:dyDescent="0.25">
      <c r="AF127" s="174"/>
      <c r="AG127" s="174"/>
      <c r="AH127" s="174"/>
      <c r="AI127" s="174"/>
      <c r="AJ127" s="174"/>
      <c r="AK127" s="174"/>
    </row>
    <row r="128" spans="32:37" ht="17.25" customHeight="1" x14ac:dyDescent="0.25">
      <c r="AF128" s="174"/>
      <c r="AG128" s="174"/>
      <c r="AH128" s="174"/>
      <c r="AI128" s="174"/>
      <c r="AJ128" s="174"/>
      <c r="AK128" s="174"/>
    </row>
    <row r="129" spans="32:37" ht="17.25" customHeight="1" x14ac:dyDescent="0.25">
      <c r="AF129" s="174"/>
      <c r="AG129" s="174"/>
      <c r="AH129" s="174"/>
      <c r="AI129" s="174"/>
      <c r="AJ129" s="174"/>
      <c r="AK129" s="174"/>
    </row>
    <row r="130" spans="32:37" ht="17.25" customHeight="1" x14ac:dyDescent="0.25">
      <c r="AF130" s="174"/>
      <c r="AG130" s="174"/>
      <c r="AH130" s="174"/>
      <c r="AI130" s="174"/>
      <c r="AJ130" s="174"/>
      <c r="AK130" s="174"/>
    </row>
    <row r="131" spans="32:37" ht="17.25" customHeight="1" x14ac:dyDescent="0.25">
      <c r="AF131" s="174"/>
      <c r="AG131" s="174"/>
      <c r="AH131" s="174"/>
      <c r="AI131" s="174"/>
      <c r="AJ131" s="174"/>
      <c r="AK131" s="174"/>
    </row>
    <row r="132" spans="32:37" ht="17.25" customHeight="1" x14ac:dyDescent="0.25">
      <c r="AF132" s="174"/>
      <c r="AG132" s="174"/>
      <c r="AH132" s="174"/>
      <c r="AI132" s="174"/>
      <c r="AJ132" s="174"/>
      <c r="AK132" s="174"/>
    </row>
    <row r="133" spans="32:37" ht="17.25" customHeight="1" x14ac:dyDescent="0.25">
      <c r="AF133" s="174"/>
      <c r="AG133" s="174"/>
      <c r="AH133" s="174"/>
      <c r="AI133" s="174"/>
      <c r="AJ133" s="174"/>
      <c r="AK133" s="174"/>
    </row>
    <row r="134" spans="32:37" ht="17.25" customHeight="1" x14ac:dyDescent="0.25">
      <c r="AF134" s="174"/>
      <c r="AG134" s="174"/>
      <c r="AH134" s="174"/>
      <c r="AI134" s="174"/>
      <c r="AJ134" s="174"/>
      <c r="AK134" s="174"/>
    </row>
    <row r="135" spans="32:37" ht="17.25" customHeight="1" x14ac:dyDescent="0.25">
      <c r="AF135" s="174"/>
      <c r="AG135" s="174"/>
      <c r="AH135" s="174"/>
      <c r="AI135" s="174"/>
      <c r="AJ135" s="174"/>
      <c r="AK135" s="174"/>
    </row>
    <row r="136" spans="32:37" ht="17.25" customHeight="1" x14ac:dyDescent="0.25">
      <c r="AF136" s="174"/>
      <c r="AG136" s="174"/>
      <c r="AH136" s="174"/>
      <c r="AI136" s="174"/>
      <c r="AJ136" s="174"/>
      <c r="AK136" s="174"/>
    </row>
    <row r="137" spans="32:37" ht="17.25" customHeight="1" x14ac:dyDescent="0.25">
      <c r="AF137" s="174"/>
      <c r="AG137" s="174"/>
      <c r="AH137" s="174"/>
      <c r="AI137" s="174"/>
      <c r="AJ137" s="174"/>
      <c r="AK137" s="174"/>
    </row>
    <row r="138" spans="32:37" ht="17.25" customHeight="1" x14ac:dyDescent="0.25">
      <c r="AF138" s="174"/>
      <c r="AG138" s="174"/>
      <c r="AH138" s="174"/>
      <c r="AI138" s="174"/>
      <c r="AJ138" s="174"/>
      <c r="AK138" s="174"/>
    </row>
    <row r="139" spans="32:37" ht="17.25" customHeight="1" x14ac:dyDescent="0.25">
      <c r="AF139" s="174"/>
      <c r="AG139" s="174"/>
      <c r="AH139" s="174"/>
      <c r="AI139" s="174"/>
      <c r="AJ139" s="174"/>
      <c r="AK139" s="174"/>
    </row>
    <row r="140" spans="32:37" ht="17.25" customHeight="1" x14ac:dyDescent="0.25">
      <c r="AF140" s="174"/>
      <c r="AG140" s="174"/>
      <c r="AH140" s="174"/>
      <c r="AI140" s="174"/>
      <c r="AJ140" s="174"/>
      <c r="AK140" s="174"/>
    </row>
    <row r="141" spans="32:37" ht="17.25" customHeight="1" x14ac:dyDescent="0.25">
      <c r="AF141" s="174"/>
      <c r="AG141" s="174"/>
      <c r="AH141" s="174"/>
      <c r="AI141" s="174"/>
      <c r="AJ141" s="174"/>
      <c r="AK141" s="174"/>
    </row>
    <row r="142" spans="32:37" ht="17.25" customHeight="1" x14ac:dyDescent="0.25">
      <c r="AF142" s="174"/>
      <c r="AG142" s="174"/>
      <c r="AH142" s="174"/>
      <c r="AI142" s="174"/>
      <c r="AJ142" s="174"/>
      <c r="AK142" s="174"/>
    </row>
    <row r="143" spans="32:37" ht="17.25" customHeight="1" x14ac:dyDescent="0.25">
      <c r="AF143" s="174"/>
      <c r="AG143" s="174"/>
      <c r="AH143" s="174"/>
      <c r="AI143" s="174"/>
      <c r="AJ143" s="174"/>
      <c r="AK143" s="174"/>
    </row>
    <row r="144" spans="32:37" ht="17.25" customHeight="1" x14ac:dyDescent="0.25">
      <c r="AF144" s="174"/>
      <c r="AG144" s="174"/>
      <c r="AH144" s="174"/>
      <c r="AI144" s="174"/>
      <c r="AJ144" s="174"/>
      <c r="AK144" s="174"/>
    </row>
    <row r="145" spans="32:37" ht="17.25" customHeight="1" x14ac:dyDescent="0.25">
      <c r="AF145" s="174"/>
      <c r="AG145" s="174"/>
      <c r="AH145" s="174"/>
      <c r="AI145" s="174"/>
      <c r="AJ145" s="174"/>
      <c r="AK145" s="174"/>
    </row>
    <row r="146" spans="32:37" ht="17.25" customHeight="1" x14ac:dyDescent="0.25">
      <c r="AF146" s="174"/>
      <c r="AG146" s="174"/>
      <c r="AH146" s="174"/>
      <c r="AI146" s="174"/>
      <c r="AJ146" s="174"/>
      <c r="AK146" s="174"/>
    </row>
    <row r="147" spans="32:37" ht="17.25" customHeight="1" x14ac:dyDescent="0.25">
      <c r="AF147" s="174"/>
      <c r="AG147" s="174"/>
      <c r="AH147" s="174"/>
      <c r="AI147" s="174"/>
      <c r="AJ147" s="174"/>
      <c r="AK147" s="174"/>
    </row>
    <row r="148" spans="32:37" ht="17.25" customHeight="1" x14ac:dyDescent="0.25">
      <c r="AF148" s="174"/>
      <c r="AG148" s="174"/>
      <c r="AH148" s="174"/>
      <c r="AI148" s="174"/>
      <c r="AJ148" s="174"/>
      <c r="AK148" s="174"/>
    </row>
    <row r="149" spans="32:37" ht="17.25" customHeight="1" x14ac:dyDescent="0.25">
      <c r="AF149" s="174"/>
      <c r="AG149" s="174"/>
      <c r="AH149" s="174"/>
      <c r="AI149" s="174"/>
      <c r="AJ149" s="174"/>
      <c r="AK149" s="174"/>
    </row>
    <row r="150" spans="32:37" ht="17.25" customHeight="1" x14ac:dyDescent="0.25">
      <c r="AF150" s="174"/>
      <c r="AG150" s="174"/>
      <c r="AH150" s="174"/>
      <c r="AI150" s="174"/>
      <c r="AJ150" s="174"/>
      <c r="AK150" s="174"/>
    </row>
    <row r="151" spans="32:37" ht="17.25" customHeight="1" x14ac:dyDescent="0.25">
      <c r="AF151" s="174"/>
      <c r="AG151" s="174"/>
      <c r="AH151" s="174"/>
      <c r="AI151" s="174"/>
      <c r="AJ151" s="174"/>
      <c r="AK151" s="174"/>
    </row>
    <row r="152" spans="32:37" ht="17.25" customHeight="1" x14ac:dyDescent="0.25">
      <c r="AF152" s="174"/>
      <c r="AG152" s="174"/>
      <c r="AH152" s="174"/>
      <c r="AI152" s="174"/>
      <c r="AJ152" s="174"/>
      <c r="AK152" s="174"/>
    </row>
    <row r="153" spans="32:37" ht="17.25" customHeight="1" x14ac:dyDescent="0.25">
      <c r="AF153" s="174"/>
      <c r="AG153" s="174"/>
      <c r="AH153" s="174"/>
      <c r="AI153" s="174"/>
      <c r="AJ153" s="174"/>
      <c r="AK153" s="174"/>
    </row>
    <row r="154" spans="32:37" ht="17.25" customHeight="1" x14ac:dyDescent="0.25">
      <c r="AF154" s="174"/>
      <c r="AG154" s="174"/>
      <c r="AH154" s="174"/>
      <c r="AI154" s="174"/>
      <c r="AJ154" s="174"/>
      <c r="AK154" s="174"/>
    </row>
    <row r="155" spans="32:37" ht="17.25" customHeight="1" x14ac:dyDescent="0.25">
      <c r="AF155" s="174"/>
      <c r="AG155" s="174"/>
      <c r="AH155" s="174"/>
      <c r="AI155" s="174"/>
      <c r="AJ155" s="174"/>
      <c r="AK155" s="174"/>
    </row>
    <row r="156" spans="32:37" ht="17.25" customHeight="1" x14ac:dyDescent="0.25">
      <c r="AF156" s="174"/>
      <c r="AG156" s="174"/>
      <c r="AH156" s="174"/>
      <c r="AI156" s="174"/>
      <c r="AJ156" s="174"/>
      <c r="AK156" s="174"/>
    </row>
    <row r="157" spans="32:37" ht="17.25" customHeight="1" x14ac:dyDescent="0.25">
      <c r="AF157" s="174"/>
      <c r="AG157" s="174"/>
      <c r="AH157" s="174"/>
      <c r="AI157" s="174"/>
      <c r="AJ157" s="174"/>
      <c r="AK157" s="174"/>
    </row>
    <row r="158" spans="32:37" ht="17.25" customHeight="1" x14ac:dyDescent="0.25">
      <c r="AF158" s="174"/>
      <c r="AG158" s="174"/>
      <c r="AH158" s="174"/>
      <c r="AI158" s="174"/>
      <c r="AJ158" s="174"/>
      <c r="AK158" s="174"/>
    </row>
    <row r="159" spans="32:37" ht="17.25" customHeight="1" x14ac:dyDescent="0.25">
      <c r="AF159" s="174"/>
      <c r="AG159" s="174"/>
      <c r="AH159" s="174"/>
      <c r="AI159" s="174"/>
      <c r="AJ159" s="174"/>
      <c r="AK159" s="174"/>
    </row>
    <row r="160" spans="32:37" ht="17.25" customHeight="1" x14ac:dyDescent="0.25">
      <c r="AF160" s="174"/>
      <c r="AG160" s="174"/>
      <c r="AH160" s="174"/>
      <c r="AI160" s="174"/>
      <c r="AJ160" s="174"/>
      <c r="AK160" s="174"/>
    </row>
    <row r="161" spans="32:37" ht="17.25" customHeight="1" x14ac:dyDescent="0.25">
      <c r="AF161" s="174"/>
      <c r="AG161" s="174"/>
      <c r="AH161" s="174"/>
      <c r="AI161" s="174"/>
      <c r="AJ161" s="174"/>
      <c r="AK161" s="174"/>
    </row>
    <row r="162" spans="32:37" ht="17.25" customHeight="1" x14ac:dyDescent="0.25">
      <c r="AF162" s="174"/>
      <c r="AG162" s="174"/>
      <c r="AH162" s="174"/>
      <c r="AI162" s="174"/>
      <c r="AJ162" s="174"/>
      <c r="AK162" s="174"/>
    </row>
    <row r="163" spans="32:37" ht="17.25" customHeight="1" x14ac:dyDescent="0.25">
      <c r="AF163" s="174"/>
      <c r="AG163" s="174"/>
      <c r="AH163" s="174"/>
      <c r="AI163" s="174"/>
      <c r="AJ163" s="174"/>
      <c r="AK163" s="174"/>
    </row>
    <row r="164" spans="32:37" ht="17.25" customHeight="1" x14ac:dyDescent="0.25">
      <c r="AF164" s="174"/>
      <c r="AG164" s="174"/>
      <c r="AH164" s="174"/>
      <c r="AI164" s="174"/>
      <c r="AJ164" s="174"/>
      <c r="AK164" s="174"/>
    </row>
    <row r="165" spans="32:37" ht="17.25" customHeight="1" x14ac:dyDescent="0.25">
      <c r="AF165" s="174"/>
      <c r="AG165" s="174"/>
      <c r="AH165" s="174"/>
      <c r="AI165" s="174"/>
      <c r="AJ165" s="174"/>
      <c r="AK165" s="174"/>
    </row>
    <row r="166" spans="32:37" ht="17.25" customHeight="1" x14ac:dyDescent="0.25">
      <c r="AF166" s="174"/>
      <c r="AG166" s="174"/>
      <c r="AH166" s="174"/>
      <c r="AI166" s="174"/>
      <c r="AJ166" s="174"/>
      <c r="AK166" s="174"/>
    </row>
    <row r="167" spans="32:37" ht="17.25" customHeight="1" x14ac:dyDescent="0.25">
      <c r="AF167" s="174"/>
      <c r="AG167" s="174"/>
      <c r="AH167" s="174"/>
      <c r="AI167" s="174"/>
      <c r="AJ167" s="174"/>
      <c r="AK167" s="174"/>
    </row>
    <row r="168" spans="32:37" ht="17.25" customHeight="1" x14ac:dyDescent="0.25">
      <c r="AF168" s="174"/>
      <c r="AG168" s="174"/>
      <c r="AH168" s="174"/>
      <c r="AI168" s="174"/>
      <c r="AJ168" s="174"/>
      <c r="AK168" s="174"/>
    </row>
    <row r="169" spans="32:37" ht="17.25" customHeight="1" x14ac:dyDescent="0.25">
      <c r="AF169" s="174"/>
      <c r="AG169" s="174"/>
      <c r="AH169" s="174"/>
      <c r="AI169" s="174"/>
      <c r="AJ169" s="174"/>
      <c r="AK169" s="174"/>
    </row>
    <row r="170" spans="32:37" ht="17.25" customHeight="1" x14ac:dyDescent="0.25">
      <c r="AF170" s="174"/>
      <c r="AG170" s="174"/>
      <c r="AH170" s="174"/>
      <c r="AI170" s="174"/>
      <c r="AJ170" s="174"/>
      <c r="AK170" s="174"/>
    </row>
    <row r="171" spans="32:37" ht="17.25" customHeight="1" x14ac:dyDescent="0.25">
      <c r="AF171" s="174"/>
      <c r="AG171" s="174"/>
      <c r="AH171" s="174"/>
      <c r="AI171" s="174"/>
      <c r="AJ171" s="174"/>
      <c r="AK171" s="174"/>
    </row>
    <row r="172" spans="32:37" ht="17.25" customHeight="1" x14ac:dyDescent="0.25">
      <c r="AF172" s="174"/>
      <c r="AG172" s="174"/>
      <c r="AH172" s="174"/>
      <c r="AI172" s="174"/>
      <c r="AJ172" s="174"/>
      <c r="AK172" s="174"/>
    </row>
    <row r="173" spans="32:37" ht="17.25" customHeight="1" x14ac:dyDescent="0.25">
      <c r="AF173" s="174"/>
      <c r="AG173" s="174"/>
      <c r="AH173" s="174"/>
      <c r="AI173" s="174"/>
      <c r="AJ173" s="174"/>
      <c r="AK173" s="174"/>
    </row>
    <row r="174" spans="32:37" ht="17.25" customHeight="1" x14ac:dyDescent="0.25">
      <c r="AF174" s="174"/>
      <c r="AG174" s="174"/>
      <c r="AH174" s="174"/>
      <c r="AI174" s="174"/>
      <c r="AJ174" s="174"/>
      <c r="AK174" s="174"/>
    </row>
    <row r="175" spans="32:37" ht="17.25" customHeight="1" x14ac:dyDescent="0.25">
      <c r="AF175" s="174"/>
      <c r="AG175" s="174"/>
      <c r="AH175" s="174"/>
      <c r="AI175" s="174"/>
      <c r="AJ175" s="174"/>
      <c r="AK175" s="174"/>
    </row>
    <row r="176" spans="32:37" ht="17.25" customHeight="1" x14ac:dyDescent="0.25">
      <c r="AF176" s="174"/>
      <c r="AG176" s="174"/>
      <c r="AH176" s="174"/>
      <c r="AI176" s="174"/>
      <c r="AJ176" s="174"/>
      <c r="AK176" s="174"/>
    </row>
    <row r="177" spans="32:37" ht="17.25" customHeight="1" x14ac:dyDescent="0.25">
      <c r="AF177" s="174"/>
      <c r="AG177" s="174"/>
      <c r="AH177" s="174"/>
      <c r="AI177" s="174"/>
      <c r="AJ177" s="174"/>
      <c r="AK177" s="174"/>
    </row>
    <row r="178" spans="32:37" ht="17.25" customHeight="1" x14ac:dyDescent="0.25">
      <c r="AF178" s="174"/>
      <c r="AG178" s="174"/>
      <c r="AH178" s="174"/>
      <c r="AI178" s="174"/>
      <c r="AJ178" s="174"/>
      <c r="AK178" s="174"/>
    </row>
    <row r="179" spans="32:37" ht="17.25" customHeight="1" x14ac:dyDescent="0.25">
      <c r="AF179" s="174"/>
      <c r="AG179" s="174"/>
      <c r="AH179" s="174"/>
      <c r="AI179" s="174"/>
      <c r="AJ179" s="174"/>
      <c r="AK179" s="174"/>
    </row>
    <row r="180" spans="32:37" ht="17.25" customHeight="1" x14ac:dyDescent="0.25">
      <c r="AF180" s="174"/>
      <c r="AG180" s="174"/>
      <c r="AH180" s="174"/>
      <c r="AI180" s="174"/>
      <c r="AJ180" s="174"/>
      <c r="AK180" s="174"/>
    </row>
    <row r="181" spans="32:37" ht="17.25" customHeight="1" x14ac:dyDescent="0.25">
      <c r="AF181" s="174"/>
      <c r="AG181" s="174"/>
      <c r="AH181" s="174"/>
      <c r="AI181" s="174"/>
      <c r="AJ181" s="174"/>
      <c r="AK181" s="174"/>
    </row>
    <row r="182" spans="32:37" ht="17.25" customHeight="1" x14ac:dyDescent="0.25">
      <c r="AF182" s="174"/>
      <c r="AG182" s="174"/>
      <c r="AH182" s="174"/>
      <c r="AI182" s="174"/>
      <c r="AJ182" s="174"/>
      <c r="AK182" s="174"/>
    </row>
    <row r="183" spans="32:37" ht="17.25" customHeight="1" x14ac:dyDescent="0.25">
      <c r="AF183" s="174"/>
      <c r="AG183" s="174"/>
      <c r="AH183" s="174"/>
      <c r="AI183" s="174"/>
      <c r="AJ183" s="174"/>
      <c r="AK183" s="174"/>
    </row>
    <row r="184" spans="32:37" ht="17.25" customHeight="1" x14ac:dyDescent="0.25">
      <c r="AF184" s="174"/>
      <c r="AG184" s="174"/>
      <c r="AH184" s="174"/>
      <c r="AI184" s="174"/>
      <c r="AJ184" s="174"/>
      <c r="AK184" s="174"/>
    </row>
    <row r="185" spans="32:37" ht="17.25" customHeight="1" x14ac:dyDescent="0.25">
      <c r="AF185" s="174"/>
      <c r="AG185" s="174"/>
      <c r="AH185" s="174"/>
      <c r="AI185" s="174"/>
      <c r="AJ185" s="174"/>
      <c r="AK185" s="174"/>
    </row>
    <row r="186" spans="32:37" ht="17.25" customHeight="1" x14ac:dyDescent="0.25">
      <c r="AF186" s="174"/>
      <c r="AG186" s="174"/>
      <c r="AH186" s="174"/>
      <c r="AI186" s="174"/>
      <c r="AJ186" s="174"/>
      <c r="AK186" s="174"/>
    </row>
    <row r="187" spans="32:37" ht="17.25" customHeight="1" x14ac:dyDescent="0.25">
      <c r="AF187" s="174"/>
      <c r="AG187" s="174"/>
      <c r="AH187" s="174"/>
      <c r="AI187" s="174"/>
      <c r="AJ187" s="174"/>
      <c r="AK187" s="174"/>
    </row>
    <row r="188" spans="32:37" ht="17.25" customHeight="1" x14ac:dyDescent="0.25">
      <c r="AF188" s="174"/>
      <c r="AG188" s="174"/>
      <c r="AH188" s="174"/>
      <c r="AI188" s="174"/>
      <c r="AJ188" s="174"/>
      <c r="AK188" s="174"/>
    </row>
    <row r="189" spans="32:37" ht="17.25" customHeight="1" x14ac:dyDescent="0.25">
      <c r="AF189" s="174"/>
      <c r="AG189" s="174"/>
      <c r="AH189" s="174"/>
      <c r="AI189" s="174"/>
      <c r="AJ189" s="174"/>
      <c r="AK189" s="174"/>
    </row>
    <row r="190" spans="32:37" ht="17.25" customHeight="1" x14ac:dyDescent="0.25">
      <c r="AF190" s="174"/>
      <c r="AG190" s="174"/>
      <c r="AH190" s="174"/>
      <c r="AI190" s="174"/>
      <c r="AJ190" s="174"/>
      <c r="AK190" s="174"/>
    </row>
    <row r="191" spans="32:37" ht="17.25" customHeight="1" x14ac:dyDescent="0.25">
      <c r="AF191" s="174"/>
      <c r="AG191" s="174"/>
      <c r="AH191" s="174"/>
      <c r="AI191" s="174"/>
      <c r="AJ191" s="174"/>
      <c r="AK191" s="174"/>
    </row>
    <row r="192" spans="32:37" ht="17.25" customHeight="1" x14ac:dyDescent="0.25">
      <c r="AF192" s="174"/>
      <c r="AG192" s="174"/>
      <c r="AH192" s="174"/>
      <c r="AI192" s="174"/>
      <c r="AJ192" s="174"/>
      <c r="AK192" s="174"/>
    </row>
    <row r="193" spans="32:37" ht="17.25" customHeight="1" x14ac:dyDescent="0.25">
      <c r="AF193" s="174"/>
      <c r="AG193" s="174"/>
      <c r="AH193" s="174"/>
      <c r="AI193" s="174"/>
      <c r="AJ193" s="174"/>
      <c r="AK193" s="174"/>
    </row>
    <row r="194" spans="32:37" ht="17.25" customHeight="1" x14ac:dyDescent="0.25">
      <c r="AF194" s="174"/>
      <c r="AG194" s="174"/>
      <c r="AH194" s="174"/>
      <c r="AI194" s="174"/>
      <c r="AJ194" s="174"/>
      <c r="AK194" s="174"/>
    </row>
    <row r="195" spans="32:37" ht="17.25" customHeight="1" x14ac:dyDescent="0.25">
      <c r="AF195" s="174"/>
      <c r="AG195" s="174"/>
      <c r="AH195" s="174"/>
      <c r="AI195" s="174"/>
      <c r="AJ195" s="174"/>
      <c r="AK195" s="174"/>
    </row>
    <row r="196" spans="32:37" ht="17.25" customHeight="1" x14ac:dyDescent="0.25">
      <c r="AF196" s="174"/>
      <c r="AG196" s="174"/>
      <c r="AH196" s="174"/>
      <c r="AI196" s="174"/>
      <c r="AJ196" s="174"/>
      <c r="AK196" s="174"/>
    </row>
    <row r="197" spans="32:37" ht="17.25" customHeight="1" x14ac:dyDescent="0.25">
      <c r="AF197" s="174"/>
      <c r="AG197" s="174"/>
      <c r="AH197" s="174"/>
      <c r="AI197" s="174"/>
      <c r="AJ197" s="174"/>
      <c r="AK197" s="174"/>
    </row>
    <row r="198" spans="32:37" ht="17.25" customHeight="1" x14ac:dyDescent="0.25">
      <c r="AF198" s="174"/>
      <c r="AG198" s="174"/>
      <c r="AH198" s="174"/>
      <c r="AI198" s="174"/>
      <c r="AJ198" s="174"/>
      <c r="AK198" s="174"/>
    </row>
    <row r="199" spans="32:37" ht="17.25" customHeight="1" x14ac:dyDescent="0.25">
      <c r="AF199" s="174"/>
      <c r="AG199" s="174"/>
      <c r="AH199" s="174"/>
      <c r="AI199" s="174"/>
      <c r="AJ199" s="174"/>
      <c r="AK199" s="174"/>
    </row>
    <row r="200" spans="32:37" ht="17.25" customHeight="1" x14ac:dyDescent="0.25">
      <c r="AF200" s="174"/>
      <c r="AG200" s="174"/>
      <c r="AH200" s="174"/>
      <c r="AI200" s="174"/>
      <c r="AJ200" s="174"/>
      <c r="AK200" s="174"/>
    </row>
    <row r="201" spans="32:37" ht="17.25" customHeight="1" x14ac:dyDescent="0.25">
      <c r="AF201" s="174"/>
      <c r="AG201" s="174"/>
      <c r="AH201" s="174"/>
      <c r="AI201" s="174"/>
      <c r="AJ201" s="174"/>
      <c r="AK201" s="174"/>
    </row>
    <row r="202" spans="32:37" ht="17.25" customHeight="1" x14ac:dyDescent="0.25">
      <c r="AF202" s="174"/>
      <c r="AG202" s="174"/>
      <c r="AH202" s="174"/>
      <c r="AI202" s="174"/>
      <c r="AJ202" s="174"/>
      <c r="AK202" s="174"/>
    </row>
    <row r="203" spans="32:37" ht="17.25" customHeight="1" x14ac:dyDescent="0.25">
      <c r="AF203" s="174"/>
      <c r="AG203" s="174"/>
      <c r="AH203" s="174"/>
      <c r="AI203" s="174"/>
      <c r="AJ203" s="174"/>
      <c r="AK203" s="174"/>
    </row>
    <row r="204" spans="32:37" ht="17.25" customHeight="1" x14ac:dyDescent="0.25">
      <c r="AF204" s="174"/>
      <c r="AG204" s="174"/>
      <c r="AH204" s="174"/>
      <c r="AI204" s="174"/>
      <c r="AJ204" s="174"/>
      <c r="AK204" s="174"/>
    </row>
    <row r="205" spans="32:37" ht="17.25" customHeight="1" x14ac:dyDescent="0.25">
      <c r="AF205" s="174"/>
      <c r="AG205" s="174"/>
      <c r="AH205" s="174"/>
      <c r="AI205" s="174"/>
      <c r="AJ205" s="174"/>
      <c r="AK205" s="174"/>
    </row>
    <row r="206" spans="32:37" ht="17.25" customHeight="1" x14ac:dyDescent="0.25">
      <c r="AF206" s="174"/>
      <c r="AG206" s="174"/>
      <c r="AH206" s="174"/>
      <c r="AI206" s="174"/>
      <c r="AJ206" s="174"/>
      <c r="AK206" s="174"/>
    </row>
    <row r="207" spans="32:37" ht="17.25" customHeight="1" x14ac:dyDescent="0.25">
      <c r="AF207" s="174"/>
      <c r="AG207" s="174"/>
      <c r="AH207" s="174"/>
      <c r="AI207" s="174"/>
      <c r="AJ207" s="174"/>
      <c r="AK207" s="174"/>
    </row>
    <row r="208" spans="32:37" ht="17.25" customHeight="1" x14ac:dyDescent="0.25">
      <c r="AF208" s="174"/>
      <c r="AG208" s="174"/>
      <c r="AH208" s="174"/>
      <c r="AI208" s="174"/>
      <c r="AJ208" s="174"/>
      <c r="AK208" s="174"/>
    </row>
    <row r="209" spans="32:37" ht="17.25" customHeight="1" x14ac:dyDescent="0.25">
      <c r="AF209" s="174"/>
      <c r="AG209" s="174"/>
      <c r="AH209" s="174"/>
      <c r="AI209" s="174"/>
      <c r="AJ209" s="174"/>
      <c r="AK209" s="174"/>
    </row>
    <row r="210" spans="32:37" ht="17.25" customHeight="1" x14ac:dyDescent="0.25">
      <c r="AF210" s="174"/>
      <c r="AG210" s="174"/>
      <c r="AH210" s="174"/>
      <c r="AI210" s="174"/>
      <c r="AJ210" s="174"/>
      <c r="AK210" s="174"/>
    </row>
    <row r="211" spans="32:37" ht="17.25" customHeight="1" x14ac:dyDescent="0.25">
      <c r="AF211" s="174"/>
      <c r="AG211" s="174"/>
      <c r="AH211" s="174"/>
      <c r="AI211" s="174"/>
      <c r="AJ211" s="174"/>
      <c r="AK211" s="174"/>
    </row>
    <row r="212" spans="32:37" ht="17.25" customHeight="1" x14ac:dyDescent="0.25">
      <c r="AF212" s="174"/>
      <c r="AG212" s="174"/>
      <c r="AH212" s="174"/>
      <c r="AI212" s="174"/>
      <c r="AJ212" s="174"/>
      <c r="AK212" s="174"/>
    </row>
    <row r="213" spans="32:37" ht="17.25" customHeight="1" x14ac:dyDescent="0.25">
      <c r="AF213" s="174"/>
      <c r="AG213" s="174"/>
      <c r="AH213" s="174"/>
      <c r="AI213" s="174"/>
      <c r="AJ213" s="174"/>
      <c r="AK213" s="174"/>
    </row>
    <row r="214" spans="32:37" ht="17.25" customHeight="1" x14ac:dyDescent="0.25">
      <c r="AF214" s="174"/>
      <c r="AG214" s="174"/>
      <c r="AH214" s="174"/>
      <c r="AI214" s="174"/>
      <c r="AJ214" s="174"/>
      <c r="AK214" s="174"/>
    </row>
    <row r="215" spans="32:37" ht="17.25" customHeight="1" x14ac:dyDescent="0.25">
      <c r="AF215" s="174"/>
      <c r="AG215" s="174"/>
      <c r="AH215" s="174"/>
      <c r="AI215" s="174"/>
      <c r="AJ215" s="174"/>
      <c r="AK215" s="174"/>
    </row>
    <row r="216" spans="32:37" ht="17.25" customHeight="1" x14ac:dyDescent="0.25">
      <c r="AF216" s="174"/>
      <c r="AG216" s="174"/>
      <c r="AH216" s="174"/>
      <c r="AI216" s="174"/>
      <c r="AJ216" s="174"/>
      <c r="AK216" s="174"/>
    </row>
    <row r="217" spans="32:37" ht="17.25" customHeight="1" x14ac:dyDescent="0.25">
      <c r="AF217" s="174"/>
      <c r="AG217" s="174"/>
      <c r="AH217" s="174"/>
      <c r="AI217" s="174"/>
      <c r="AJ217" s="174"/>
      <c r="AK217" s="174"/>
    </row>
    <row r="218" spans="32:37" ht="17.25" customHeight="1" x14ac:dyDescent="0.25">
      <c r="AF218" s="174"/>
      <c r="AG218" s="174"/>
      <c r="AH218" s="174"/>
      <c r="AI218" s="174"/>
      <c r="AJ218" s="174"/>
      <c r="AK218" s="174"/>
    </row>
    <row r="219" spans="32:37" ht="17.25" customHeight="1" x14ac:dyDescent="0.25">
      <c r="AF219" s="174"/>
      <c r="AG219" s="174"/>
      <c r="AH219" s="174"/>
      <c r="AI219" s="174"/>
      <c r="AJ219" s="174"/>
      <c r="AK219" s="174"/>
    </row>
    <row r="220" spans="32:37" ht="17.25" customHeight="1" x14ac:dyDescent="0.25">
      <c r="AF220" s="174"/>
      <c r="AG220" s="174"/>
      <c r="AH220" s="174"/>
      <c r="AI220" s="174"/>
      <c r="AJ220" s="174"/>
      <c r="AK220" s="174"/>
    </row>
    <row r="221" spans="32:37" ht="17.25" customHeight="1" x14ac:dyDescent="0.25">
      <c r="AF221" s="174"/>
      <c r="AG221" s="174"/>
      <c r="AH221" s="174"/>
      <c r="AI221" s="174"/>
      <c r="AJ221" s="174"/>
      <c r="AK221" s="174"/>
    </row>
    <row r="222" spans="32:37" ht="17.25" customHeight="1" x14ac:dyDescent="0.25">
      <c r="AF222" s="174"/>
      <c r="AG222" s="174"/>
      <c r="AH222" s="174"/>
      <c r="AI222" s="174"/>
      <c r="AJ222" s="174"/>
      <c r="AK222" s="174"/>
    </row>
    <row r="223" spans="32:37" ht="17.25" customHeight="1" x14ac:dyDescent="0.25">
      <c r="AF223" s="174"/>
      <c r="AG223" s="174"/>
      <c r="AH223" s="174"/>
      <c r="AI223" s="174"/>
      <c r="AJ223" s="174"/>
      <c r="AK223" s="174"/>
    </row>
    <row r="224" spans="32:37" ht="17.25" customHeight="1" x14ac:dyDescent="0.25">
      <c r="AF224" s="174"/>
      <c r="AG224" s="174"/>
      <c r="AH224" s="174"/>
      <c r="AI224" s="174"/>
      <c r="AJ224" s="174"/>
      <c r="AK224" s="174"/>
    </row>
    <row r="225" spans="32:37" ht="17.25" customHeight="1" x14ac:dyDescent="0.25">
      <c r="AF225" s="174"/>
      <c r="AG225" s="174"/>
      <c r="AH225" s="174"/>
      <c r="AI225" s="174"/>
      <c r="AJ225" s="174"/>
      <c r="AK225" s="174"/>
    </row>
    <row r="226" spans="32:37" ht="17.25" customHeight="1" x14ac:dyDescent="0.25">
      <c r="AF226" s="174"/>
      <c r="AG226" s="174"/>
      <c r="AH226" s="174"/>
      <c r="AI226" s="174"/>
      <c r="AJ226" s="174"/>
      <c r="AK226" s="174"/>
    </row>
    <row r="227" spans="32:37" ht="17.25" customHeight="1" x14ac:dyDescent="0.25">
      <c r="AF227" s="174"/>
      <c r="AG227" s="174"/>
      <c r="AH227" s="174"/>
      <c r="AI227" s="174"/>
      <c r="AJ227" s="174"/>
      <c r="AK227" s="174"/>
    </row>
    <row r="228" spans="32:37" ht="17.25" customHeight="1" x14ac:dyDescent="0.25">
      <c r="AF228" s="174"/>
      <c r="AG228" s="174"/>
      <c r="AH228" s="174"/>
      <c r="AI228" s="174"/>
      <c r="AJ228" s="174"/>
      <c r="AK228" s="174"/>
    </row>
    <row r="229" spans="32:37" ht="17.25" customHeight="1" x14ac:dyDescent="0.25">
      <c r="AF229" s="174"/>
      <c r="AG229" s="174"/>
      <c r="AH229" s="174"/>
      <c r="AI229" s="174"/>
      <c r="AJ229" s="174"/>
      <c r="AK229" s="174"/>
    </row>
    <row r="230" spans="32:37" ht="17.25" customHeight="1" x14ac:dyDescent="0.25">
      <c r="AF230" s="174"/>
      <c r="AG230" s="174"/>
      <c r="AH230" s="174"/>
      <c r="AI230" s="174"/>
      <c r="AJ230" s="174"/>
      <c r="AK230" s="174"/>
    </row>
    <row r="231" spans="32:37" ht="17.25" customHeight="1" x14ac:dyDescent="0.25">
      <c r="AF231" s="174"/>
      <c r="AG231" s="174"/>
      <c r="AH231" s="174"/>
      <c r="AI231" s="174"/>
      <c r="AJ231" s="174"/>
      <c r="AK231" s="174"/>
    </row>
    <row r="232" spans="32:37" ht="17.25" customHeight="1" x14ac:dyDescent="0.25">
      <c r="AF232" s="174"/>
      <c r="AG232" s="174"/>
      <c r="AH232" s="174"/>
      <c r="AI232" s="174"/>
      <c r="AJ232" s="174"/>
      <c r="AK232" s="174"/>
    </row>
    <row r="233" spans="32:37" ht="17.25" customHeight="1" x14ac:dyDescent="0.25">
      <c r="AF233" s="174"/>
      <c r="AG233" s="174"/>
      <c r="AH233" s="174"/>
      <c r="AI233" s="174"/>
      <c r="AJ233" s="174"/>
      <c r="AK233" s="174"/>
    </row>
    <row r="234" spans="32:37" ht="17.25" customHeight="1" x14ac:dyDescent="0.25">
      <c r="AF234" s="174"/>
      <c r="AG234" s="174"/>
      <c r="AH234" s="174"/>
      <c r="AI234" s="174"/>
      <c r="AJ234" s="174"/>
      <c r="AK234" s="174"/>
    </row>
    <row r="235" spans="32:37" ht="17.25" customHeight="1" x14ac:dyDescent="0.25">
      <c r="AF235" s="174"/>
      <c r="AG235" s="174"/>
      <c r="AH235" s="174"/>
      <c r="AI235" s="174"/>
      <c r="AJ235" s="174"/>
      <c r="AK235" s="174"/>
    </row>
    <row r="236" spans="32:37" ht="17.25" customHeight="1" x14ac:dyDescent="0.25">
      <c r="AF236" s="174"/>
      <c r="AG236" s="174"/>
      <c r="AH236" s="174"/>
      <c r="AI236" s="174"/>
      <c r="AJ236" s="174"/>
      <c r="AK236" s="174"/>
    </row>
    <row r="237" spans="32:37" ht="17.25" customHeight="1" x14ac:dyDescent="0.25">
      <c r="AF237" s="174"/>
      <c r="AG237" s="174"/>
      <c r="AH237" s="174"/>
      <c r="AI237" s="174"/>
      <c r="AJ237" s="174"/>
      <c r="AK237" s="174"/>
    </row>
    <row r="238" spans="32:37" ht="17.25" customHeight="1" x14ac:dyDescent="0.25">
      <c r="AF238" s="174"/>
      <c r="AG238" s="174"/>
      <c r="AH238" s="174"/>
      <c r="AI238" s="174"/>
      <c r="AJ238" s="174"/>
      <c r="AK238" s="174"/>
    </row>
    <row r="239" spans="32:37" ht="17.25" customHeight="1" x14ac:dyDescent="0.25">
      <c r="AF239" s="174"/>
      <c r="AG239" s="174"/>
      <c r="AH239" s="174"/>
      <c r="AI239" s="174"/>
      <c r="AJ239" s="174"/>
      <c r="AK239" s="174"/>
    </row>
    <row r="240" spans="32:37" ht="17.25" customHeight="1" x14ac:dyDescent="0.25">
      <c r="AF240" s="174"/>
      <c r="AG240" s="174"/>
      <c r="AH240" s="174"/>
      <c r="AI240" s="174"/>
      <c r="AJ240" s="174"/>
      <c r="AK240" s="174"/>
    </row>
    <row r="241" spans="32:37" ht="17.25" customHeight="1" x14ac:dyDescent="0.25">
      <c r="AF241" s="174"/>
      <c r="AG241" s="174"/>
      <c r="AH241" s="174"/>
      <c r="AI241" s="174"/>
      <c r="AJ241" s="174"/>
      <c r="AK241" s="174"/>
    </row>
    <row r="242" spans="32:37" ht="17.25" customHeight="1" x14ac:dyDescent="0.25">
      <c r="AF242" s="174"/>
      <c r="AG242" s="174"/>
      <c r="AH242" s="174"/>
      <c r="AI242" s="174"/>
      <c r="AJ242" s="174"/>
      <c r="AK242" s="174"/>
    </row>
    <row r="243" spans="32:37" ht="17.25" customHeight="1" x14ac:dyDescent="0.25">
      <c r="AF243" s="174"/>
      <c r="AG243" s="174"/>
      <c r="AH243" s="174"/>
      <c r="AI243" s="174"/>
      <c r="AJ243" s="174"/>
      <c r="AK243" s="174"/>
    </row>
    <row r="244" spans="32:37" ht="17.25" customHeight="1" x14ac:dyDescent="0.25">
      <c r="AF244" s="174"/>
      <c r="AG244" s="174"/>
      <c r="AH244" s="174"/>
      <c r="AI244" s="174"/>
      <c r="AJ244" s="174"/>
      <c r="AK244" s="174"/>
    </row>
    <row r="245" spans="32:37" ht="17.25" customHeight="1" x14ac:dyDescent="0.25">
      <c r="AF245" s="174"/>
      <c r="AG245" s="174"/>
      <c r="AH245" s="174"/>
      <c r="AI245" s="174"/>
      <c r="AJ245" s="174"/>
      <c r="AK245" s="174"/>
    </row>
    <row r="246" spans="32:37" ht="17.25" customHeight="1" x14ac:dyDescent="0.25">
      <c r="AF246" s="174"/>
      <c r="AG246" s="174"/>
      <c r="AH246" s="174"/>
      <c r="AI246" s="174"/>
      <c r="AJ246" s="174"/>
      <c r="AK246" s="174"/>
    </row>
    <row r="247" spans="32:37" ht="17.25" customHeight="1" x14ac:dyDescent="0.25">
      <c r="AF247" s="174"/>
      <c r="AG247" s="174"/>
      <c r="AH247" s="174"/>
      <c r="AI247" s="174"/>
      <c r="AJ247" s="174"/>
      <c r="AK247" s="174"/>
    </row>
    <row r="248" spans="32:37" ht="17.25" customHeight="1" x14ac:dyDescent="0.25">
      <c r="AF248" s="174"/>
      <c r="AG248" s="174"/>
      <c r="AH248" s="174"/>
      <c r="AI248" s="174"/>
      <c r="AJ248" s="174"/>
      <c r="AK248" s="174"/>
    </row>
    <row r="249" spans="32:37" ht="17.25" customHeight="1" x14ac:dyDescent="0.25">
      <c r="AF249" s="174"/>
      <c r="AG249" s="174"/>
      <c r="AH249" s="174"/>
      <c r="AI249" s="174"/>
      <c r="AJ249" s="174"/>
      <c r="AK249" s="174"/>
    </row>
    <row r="250" spans="32:37" ht="17.25" customHeight="1" x14ac:dyDescent="0.25">
      <c r="AF250" s="174"/>
      <c r="AG250" s="174"/>
      <c r="AH250" s="174"/>
      <c r="AI250" s="174"/>
      <c r="AJ250" s="174"/>
      <c r="AK250" s="174"/>
    </row>
    <row r="251" spans="32:37" ht="17.25" customHeight="1" x14ac:dyDescent="0.25">
      <c r="AF251" s="174"/>
      <c r="AG251" s="174"/>
      <c r="AH251" s="174"/>
      <c r="AI251" s="174"/>
      <c r="AJ251" s="174"/>
      <c r="AK251" s="174"/>
    </row>
    <row r="252" spans="32:37" ht="17.25" customHeight="1" x14ac:dyDescent="0.25">
      <c r="AF252" s="174"/>
      <c r="AG252" s="174"/>
      <c r="AH252" s="174"/>
      <c r="AI252" s="174"/>
      <c r="AJ252" s="174"/>
      <c r="AK252" s="174"/>
    </row>
    <row r="253" spans="32:37" ht="17.25" customHeight="1" x14ac:dyDescent="0.25">
      <c r="AF253" s="174"/>
      <c r="AG253" s="174"/>
      <c r="AH253" s="174"/>
      <c r="AI253" s="174"/>
      <c r="AJ253" s="174"/>
      <c r="AK253" s="174"/>
    </row>
    <row r="254" spans="32:37" ht="17.25" customHeight="1" x14ac:dyDescent="0.25">
      <c r="AF254" s="174"/>
      <c r="AG254" s="174"/>
      <c r="AH254" s="174"/>
      <c r="AI254" s="174"/>
      <c r="AJ254" s="174"/>
      <c r="AK254" s="174"/>
    </row>
    <row r="255" spans="32:37" ht="17.25" customHeight="1" x14ac:dyDescent="0.25">
      <c r="AF255" s="174"/>
      <c r="AG255" s="174"/>
      <c r="AH255" s="174"/>
      <c r="AI255" s="174"/>
      <c r="AJ255" s="174"/>
      <c r="AK255" s="174"/>
    </row>
    <row r="256" spans="32:37" ht="17.25" customHeight="1" x14ac:dyDescent="0.25">
      <c r="AF256" s="174"/>
      <c r="AG256" s="174"/>
      <c r="AH256" s="174"/>
      <c r="AI256" s="174"/>
      <c r="AJ256" s="174"/>
      <c r="AK256" s="174"/>
    </row>
    <row r="257" spans="32:37" ht="17.25" customHeight="1" x14ac:dyDescent="0.25">
      <c r="AF257" s="174"/>
      <c r="AG257" s="174"/>
      <c r="AH257" s="174"/>
      <c r="AI257" s="174"/>
      <c r="AJ257" s="174"/>
      <c r="AK257" s="174"/>
    </row>
    <row r="258" spans="32:37" ht="17.25" customHeight="1" x14ac:dyDescent="0.25">
      <c r="AF258" s="174"/>
      <c r="AG258" s="174"/>
      <c r="AH258" s="174"/>
      <c r="AI258" s="174"/>
      <c r="AJ258" s="174"/>
      <c r="AK258" s="174"/>
    </row>
    <row r="259" spans="32:37" ht="17.25" customHeight="1" x14ac:dyDescent="0.25">
      <c r="AF259" s="174"/>
      <c r="AG259" s="174"/>
      <c r="AH259" s="174"/>
      <c r="AI259" s="174"/>
      <c r="AJ259" s="174"/>
      <c r="AK259" s="174"/>
    </row>
    <row r="260" spans="32:37" ht="17.25" customHeight="1" x14ac:dyDescent="0.25">
      <c r="AF260" s="174"/>
      <c r="AG260" s="174"/>
      <c r="AH260" s="174"/>
      <c r="AI260" s="174"/>
      <c r="AJ260" s="174"/>
      <c r="AK260" s="174"/>
    </row>
    <row r="261" spans="32:37" ht="17.25" customHeight="1" x14ac:dyDescent="0.25">
      <c r="AF261" s="174"/>
      <c r="AG261" s="174"/>
      <c r="AH261" s="174"/>
      <c r="AI261" s="174"/>
      <c r="AJ261" s="174"/>
      <c r="AK261" s="174"/>
    </row>
    <row r="262" spans="32:37" ht="17.25" customHeight="1" x14ac:dyDescent="0.25">
      <c r="AF262" s="174"/>
      <c r="AG262" s="174"/>
      <c r="AH262" s="174"/>
      <c r="AI262" s="174"/>
      <c r="AJ262" s="174"/>
      <c r="AK262" s="174"/>
    </row>
    <row r="263" spans="32:37" ht="17.25" customHeight="1" x14ac:dyDescent="0.25">
      <c r="AF263" s="174"/>
      <c r="AG263" s="174"/>
      <c r="AH263" s="174"/>
      <c r="AI263" s="174"/>
      <c r="AJ263" s="174"/>
      <c r="AK263" s="174"/>
    </row>
    <row r="264" spans="32:37" ht="17.25" customHeight="1" x14ac:dyDescent="0.25">
      <c r="AF264" s="174"/>
      <c r="AG264" s="174"/>
      <c r="AH264" s="174"/>
      <c r="AI264" s="174"/>
      <c r="AJ264" s="174"/>
      <c r="AK264" s="174"/>
    </row>
    <row r="265" spans="32:37" ht="17.25" customHeight="1" x14ac:dyDescent="0.25">
      <c r="AF265" s="174"/>
      <c r="AG265" s="174"/>
      <c r="AH265" s="174"/>
      <c r="AI265" s="174"/>
      <c r="AJ265" s="174"/>
      <c r="AK265" s="174"/>
    </row>
    <row r="266" spans="32:37" ht="17.25" customHeight="1" x14ac:dyDescent="0.25">
      <c r="AF266" s="174"/>
      <c r="AG266" s="174"/>
      <c r="AH266" s="174"/>
      <c r="AI266" s="174"/>
      <c r="AJ266" s="174"/>
      <c r="AK266" s="174"/>
    </row>
    <row r="267" spans="32:37" ht="17.25" customHeight="1" x14ac:dyDescent="0.25">
      <c r="AF267" s="174"/>
      <c r="AG267" s="174"/>
      <c r="AH267" s="174"/>
      <c r="AI267" s="174"/>
      <c r="AJ267" s="174"/>
      <c r="AK267" s="174"/>
    </row>
    <row r="268" spans="32:37" ht="17.25" customHeight="1" x14ac:dyDescent="0.25">
      <c r="AF268" s="174"/>
      <c r="AG268" s="174"/>
      <c r="AH268" s="174"/>
      <c r="AI268" s="174"/>
      <c r="AJ268" s="174"/>
      <c r="AK268" s="174"/>
    </row>
    <row r="269" spans="32:37" ht="17.25" customHeight="1" x14ac:dyDescent="0.25">
      <c r="AF269" s="174"/>
      <c r="AG269" s="174"/>
      <c r="AH269" s="174"/>
      <c r="AI269" s="174"/>
      <c r="AJ269" s="174"/>
      <c r="AK269" s="174"/>
    </row>
    <row r="270" spans="32:37" ht="17.25" customHeight="1" x14ac:dyDescent="0.25">
      <c r="AF270" s="174"/>
      <c r="AG270" s="174"/>
      <c r="AH270" s="174"/>
      <c r="AI270" s="174"/>
      <c r="AJ270" s="174"/>
      <c r="AK270" s="174"/>
    </row>
    <row r="271" spans="32:37" ht="17.25" customHeight="1" x14ac:dyDescent="0.25">
      <c r="AF271" s="174"/>
      <c r="AG271" s="174"/>
      <c r="AH271" s="174"/>
      <c r="AI271" s="174"/>
      <c r="AJ271" s="174"/>
      <c r="AK271" s="174"/>
    </row>
    <row r="272" spans="32:37" ht="17.25" customHeight="1" x14ac:dyDescent="0.25">
      <c r="AF272" s="174"/>
      <c r="AG272" s="174"/>
      <c r="AH272" s="174"/>
      <c r="AI272" s="174"/>
      <c r="AJ272" s="174"/>
      <c r="AK272" s="174"/>
    </row>
    <row r="273" spans="32:37" ht="17.25" customHeight="1" x14ac:dyDescent="0.25">
      <c r="AF273" s="174"/>
      <c r="AG273" s="174"/>
      <c r="AH273" s="174"/>
      <c r="AI273" s="174"/>
      <c r="AJ273" s="174"/>
      <c r="AK273" s="174"/>
    </row>
    <row r="274" spans="32:37" ht="17.25" customHeight="1" x14ac:dyDescent="0.25">
      <c r="AF274" s="174"/>
      <c r="AG274" s="174"/>
      <c r="AH274" s="174"/>
      <c r="AI274" s="174"/>
      <c r="AJ274" s="174"/>
      <c r="AK274" s="174"/>
    </row>
    <row r="275" spans="32:37" ht="17.25" customHeight="1" x14ac:dyDescent="0.25">
      <c r="AF275" s="174"/>
      <c r="AG275" s="174"/>
      <c r="AH275" s="174"/>
      <c r="AI275" s="174"/>
      <c r="AJ275" s="174"/>
      <c r="AK275" s="174"/>
    </row>
    <row r="276" spans="32:37" ht="17.25" customHeight="1" x14ac:dyDescent="0.25">
      <c r="AF276" s="174"/>
      <c r="AG276" s="174"/>
      <c r="AH276" s="174"/>
      <c r="AI276" s="174"/>
      <c r="AJ276" s="174"/>
      <c r="AK276" s="174"/>
    </row>
    <row r="277" spans="32:37" ht="17.25" customHeight="1" x14ac:dyDescent="0.25">
      <c r="AF277" s="174"/>
      <c r="AG277" s="174"/>
      <c r="AH277" s="174"/>
      <c r="AI277" s="174"/>
      <c r="AJ277" s="174"/>
      <c r="AK277" s="174"/>
    </row>
    <row r="278" spans="32:37" ht="17.25" customHeight="1" x14ac:dyDescent="0.25">
      <c r="AF278" s="174"/>
      <c r="AG278" s="174"/>
      <c r="AH278" s="174"/>
      <c r="AI278" s="174"/>
      <c r="AJ278" s="174"/>
      <c r="AK278" s="174"/>
    </row>
    <row r="279" spans="32:37" ht="17.25" customHeight="1" x14ac:dyDescent="0.25">
      <c r="AF279" s="174"/>
      <c r="AG279" s="174"/>
      <c r="AH279" s="174"/>
      <c r="AI279" s="174"/>
      <c r="AJ279" s="174"/>
      <c r="AK279" s="174"/>
    </row>
    <row r="280" spans="32:37" ht="17.25" customHeight="1" x14ac:dyDescent="0.25">
      <c r="AF280" s="174"/>
      <c r="AG280" s="174"/>
      <c r="AH280" s="174"/>
      <c r="AI280" s="174"/>
      <c r="AJ280" s="174"/>
      <c r="AK280" s="174"/>
    </row>
    <row r="281" spans="32:37" ht="17.25" customHeight="1" x14ac:dyDescent="0.25">
      <c r="AF281" s="174"/>
      <c r="AG281" s="174"/>
      <c r="AH281" s="174"/>
      <c r="AI281" s="174"/>
      <c r="AJ281" s="174"/>
      <c r="AK281" s="174"/>
    </row>
    <row r="282" spans="32:37" ht="17.25" customHeight="1" x14ac:dyDescent="0.25">
      <c r="AF282" s="174"/>
      <c r="AG282" s="174"/>
      <c r="AH282" s="174"/>
      <c r="AI282" s="174"/>
      <c r="AJ282" s="174"/>
      <c r="AK282" s="174"/>
    </row>
    <row r="283" spans="32:37" ht="17.25" customHeight="1" x14ac:dyDescent="0.25">
      <c r="AF283" s="174"/>
      <c r="AG283" s="174"/>
      <c r="AH283" s="174"/>
      <c r="AI283" s="174"/>
      <c r="AJ283" s="174"/>
      <c r="AK283" s="174"/>
    </row>
    <row r="284" spans="32:37" ht="17.25" customHeight="1" x14ac:dyDescent="0.25">
      <c r="AF284" s="174"/>
      <c r="AG284" s="174"/>
      <c r="AH284" s="174"/>
      <c r="AI284" s="174"/>
      <c r="AJ284" s="174"/>
      <c r="AK284" s="174"/>
    </row>
    <row r="285" spans="32:37" ht="17.25" customHeight="1" x14ac:dyDescent="0.25">
      <c r="AF285" s="174"/>
      <c r="AG285" s="174"/>
      <c r="AH285" s="174"/>
      <c r="AI285" s="174"/>
      <c r="AJ285" s="174"/>
      <c r="AK285" s="174"/>
    </row>
    <row r="286" spans="32:37" ht="17.25" customHeight="1" x14ac:dyDescent="0.25">
      <c r="AF286" s="174"/>
      <c r="AG286" s="174"/>
      <c r="AH286" s="174"/>
      <c r="AI286" s="174"/>
      <c r="AJ286" s="174"/>
      <c r="AK286" s="174"/>
    </row>
    <row r="287" spans="32:37" ht="17.25" customHeight="1" x14ac:dyDescent="0.25">
      <c r="AF287" s="174"/>
      <c r="AG287" s="174"/>
      <c r="AH287" s="174"/>
      <c r="AI287" s="174"/>
      <c r="AJ287" s="174"/>
      <c r="AK287" s="174"/>
    </row>
    <row r="288" spans="32:37" ht="17.25" customHeight="1" x14ac:dyDescent="0.25">
      <c r="AF288" s="174"/>
      <c r="AG288" s="174"/>
      <c r="AH288" s="174"/>
      <c r="AI288" s="174"/>
      <c r="AJ288" s="174"/>
      <c r="AK288" s="174"/>
    </row>
    <row r="289" spans="32:37" ht="17.25" customHeight="1" x14ac:dyDescent="0.25">
      <c r="AF289" s="174"/>
      <c r="AG289" s="174"/>
      <c r="AH289" s="174"/>
      <c r="AI289" s="174"/>
      <c r="AJ289" s="174"/>
      <c r="AK289" s="174"/>
    </row>
    <row r="290" spans="32:37" ht="17.25" customHeight="1" x14ac:dyDescent="0.25">
      <c r="AF290" s="174"/>
      <c r="AG290" s="174"/>
      <c r="AH290" s="174"/>
      <c r="AI290" s="174"/>
      <c r="AJ290" s="174"/>
      <c r="AK290" s="174"/>
    </row>
    <row r="291" spans="32:37" ht="17.25" customHeight="1" x14ac:dyDescent="0.25">
      <c r="AF291" s="174"/>
      <c r="AG291" s="174"/>
      <c r="AH291" s="174"/>
      <c r="AI291" s="174"/>
      <c r="AJ291" s="174"/>
      <c r="AK291" s="174"/>
    </row>
    <row r="292" spans="32:37" ht="17.25" customHeight="1" x14ac:dyDescent="0.25">
      <c r="AF292" s="174"/>
      <c r="AG292" s="174"/>
      <c r="AH292" s="174"/>
      <c r="AI292" s="174"/>
      <c r="AJ292" s="174"/>
      <c r="AK292" s="174"/>
    </row>
    <row r="293" spans="32:37" ht="17.25" customHeight="1" x14ac:dyDescent="0.25">
      <c r="AF293" s="174"/>
      <c r="AG293" s="174"/>
      <c r="AH293" s="174"/>
      <c r="AI293" s="174"/>
      <c r="AJ293" s="174"/>
      <c r="AK293" s="174"/>
    </row>
    <row r="294" spans="32:37" ht="17.25" customHeight="1" x14ac:dyDescent="0.25">
      <c r="AF294" s="174"/>
      <c r="AG294" s="174"/>
      <c r="AH294" s="174"/>
      <c r="AI294" s="174"/>
      <c r="AJ294" s="174"/>
      <c r="AK294" s="174"/>
    </row>
    <row r="295" spans="32:37" ht="17.25" customHeight="1" x14ac:dyDescent="0.25">
      <c r="AF295" s="174"/>
      <c r="AG295" s="174"/>
      <c r="AH295" s="174"/>
      <c r="AI295" s="174"/>
      <c r="AJ295" s="174"/>
      <c r="AK295" s="174"/>
    </row>
    <row r="296" spans="32:37" ht="17.25" customHeight="1" x14ac:dyDescent="0.25">
      <c r="AF296" s="174"/>
      <c r="AG296" s="174"/>
      <c r="AH296" s="174"/>
      <c r="AI296" s="174"/>
      <c r="AJ296" s="174"/>
      <c r="AK296" s="174"/>
    </row>
    <row r="297" spans="32:37" ht="17.25" customHeight="1" x14ac:dyDescent="0.25">
      <c r="AF297" s="174"/>
      <c r="AG297" s="174"/>
      <c r="AH297" s="174"/>
      <c r="AI297" s="174"/>
      <c r="AJ297" s="174"/>
      <c r="AK297" s="174"/>
    </row>
    <row r="298" spans="32:37" ht="17.25" customHeight="1" x14ac:dyDescent="0.25">
      <c r="AF298" s="174"/>
      <c r="AG298" s="174"/>
      <c r="AH298" s="174"/>
      <c r="AI298" s="174"/>
      <c r="AJ298" s="174"/>
      <c r="AK298" s="174"/>
    </row>
    <row r="299" spans="32:37" ht="17.25" customHeight="1" x14ac:dyDescent="0.25">
      <c r="AF299" s="174"/>
      <c r="AG299" s="174"/>
      <c r="AH299" s="174"/>
      <c r="AI299" s="174"/>
      <c r="AJ299" s="174"/>
      <c r="AK299" s="174"/>
    </row>
    <row r="300" spans="32:37" ht="17.25" customHeight="1" x14ac:dyDescent="0.25">
      <c r="AF300" s="174"/>
      <c r="AG300" s="174"/>
      <c r="AH300" s="174"/>
      <c r="AI300" s="174"/>
      <c r="AJ300" s="174"/>
      <c r="AK300" s="174"/>
    </row>
    <row r="301" spans="32:37" ht="17.25" customHeight="1" x14ac:dyDescent="0.25">
      <c r="AF301" s="174"/>
      <c r="AG301" s="174"/>
      <c r="AH301" s="174"/>
      <c r="AI301" s="174"/>
      <c r="AJ301" s="174"/>
      <c r="AK301" s="174"/>
    </row>
    <row r="302" spans="32:37" ht="17.25" customHeight="1" x14ac:dyDescent="0.25">
      <c r="AF302" s="174"/>
      <c r="AG302" s="174"/>
      <c r="AH302" s="174"/>
      <c r="AI302" s="174"/>
      <c r="AJ302" s="174"/>
      <c r="AK302" s="174"/>
    </row>
    <row r="303" spans="32:37" ht="17.25" customHeight="1" x14ac:dyDescent="0.25">
      <c r="AF303" s="174"/>
      <c r="AG303" s="174"/>
      <c r="AH303" s="174"/>
      <c r="AI303" s="174"/>
      <c r="AJ303" s="174"/>
      <c r="AK303" s="174"/>
    </row>
    <row r="304" spans="32:37" ht="17.25" customHeight="1" x14ac:dyDescent="0.25">
      <c r="AF304" s="174"/>
      <c r="AG304" s="174"/>
      <c r="AH304" s="174"/>
      <c r="AI304" s="174"/>
      <c r="AJ304" s="174"/>
      <c r="AK304" s="174"/>
    </row>
    <row r="305" spans="32:37" ht="17.25" customHeight="1" x14ac:dyDescent="0.25">
      <c r="AF305" s="174"/>
      <c r="AG305" s="174"/>
      <c r="AH305" s="174"/>
      <c r="AI305" s="174"/>
      <c r="AJ305" s="174"/>
      <c r="AK305" s="174"/>
    </row>
    <row r="306" spans="32:37" ht="17.25" customHeight="1" x14ac:dyDescent="0.25">
      <c r="AF306" s="174"/>
      <c r="AG306" s="174"/>
      <c r="AH306" s="174"/>
      <c r="AI306" s="174"/>
      <c r="AJ306" s="174"/>
      <c r="AK306" s="174"/>
    </row>
    <row r="307" spans="32:37" ht="17.25" customHeight="1" x14ac:dyDescent="0.25">
      <c r="AF307" s="174"/>
      <c r="AG307" s="174"/>
      <c r="AH307" s="174"/>
      <c r="AI307" s="174"/>
      <c r="AJ307" s="174"/>
      <c r="AK307" s="174"/>
    </row>
    <row r="308" spans="32:37" ht="17.25" customHeight="1" x14ac:dyDescent="0.25">
      <c r="AF308" s="174"/>
      <c r="AG308" s="174"/>
      <c r="AH308" s="174"/>
      <c r="AI308" s="174"/>
      <c r="AJ308" s="174"/>
      <c r="AK308" s="174"/>
    </row>
    <row r="309" spans="32:37" ht="17.25" customHeight="1" x14ac:dyDescent="0.25">
      <c r="AF309" s="174"/>
      <c r="AG309" s="174"/>
      <c r="AH309" s="174"/>
      <c r="AI309" s="174"/>
      <c r="AJ309" s="174"/>
      <c r="AK309" s="174"/>
    </row>
    <row r="310" spans="32:37" ht="17.25" customHeight="1" x14ac:dyDescent="0.25">
      <c r="AF310" s="174"/>
      <c r="AG310" s="174"/>
      <c r="AH310" s="174"/>
      <c r="AI310" s="174"/>
      <c r="AJ310" s="174"/>
      <c r="AK310" s="174"/>
    </row>
    <row r="311" spans="32:37" ht="17.25" customHeight="1" x14ac:dyDescent="0.25">
      <c r="AF311" s="174"/>
      <c r="AG311" s="174"/>
      <c r="AH311" s="174"/>
      <c r="AI311" s="174"/>
      <c r="AJ311" s="174"/>
      <c r="AK311" s="174"/>
    </row>
    <row r="312" spans="32:37" ht="17.25" customHeight="1" x14ac:dyDescent="0.25">
      <c r="AF312" s="174"/>
      <c r="AG312" s="174"/>
      <c r="AH312" s="174"/>
      <c r="AI312" s="174"/>
      <c r="AJ312" s="174"/>
      <c r="AK312" s="174"/>
    </row>
    <row r="313" spans="32:37" ht="17.25" customHeight="1" x14ac:dyDescent="0.25">
      <c r="AF313" s="174"/>
      <c r="AG313" s="174"/>
      <c r="AH313" s="174"/>
      <c r="AI313" s="174"/>
      <c r="AJ313" s="174"/>
      <c r="AK313" s="174"/>
    </row>
    <row r="314" spans="32:37" ht="17.25" customHeight="1" x14ac:dyDescent="0.25">
      <c r="AF314" s="174"/>
      <c r="AG314" s="174"/>
      <c r="AH314" s="174"/>
      <c r="AI314" s="174"/>
      <c r="AJ314" s="174"/>
      <c r="AK314" s="174"/>
    </row>
    <row r="315" spans="32:37" ht="17.25" customHeight="1" x14ac:dyDescent="0.25">
      <c r="AF315" s="174"/>
      <c r="AG315" s="174"/>
      <c r="AH315" s="174"/>
      <c r="AI315" s="174"/>
      <c r="AJ315" s="174"/>
      <c r="AK315" s="174"/>
    </row>
    <row r="316" spans="32:37" ht="17.25" customHeight="1" x14ac:dyDescent="0.25">
      <c r="AF316" s="174"/>
      <c r="AG316" s="174"/>
      <c r="AH316" s="174"/>
      <c r="AI316" s="174"/>
      <c r="AJ316" s="174"/>
      <c r="AK316" s="174"/>
    </row>
    <row r="317" spans="32:37" ht="17.25" customHeight="1" x14ac:dyDescent="0.25">
      <c r="AF317" s="174"/>
      <c r="AG317" s="174"/>
      <c r="AH317" s="174"/>
      <c r="AI317" s="174"/>
      <c r="AJ317" s="174"/>
      <c r="AK317" s="174"/>
    </row>
    <row r="318" spans="32:37" ht="17.25" customHeight="1" x14ac:dyDescent="0.25">
      <c r="AF318" s="174"/>
      <c r="AG318" s="174"/>
      <c r="AH318" s="174"/>
      <c r="AI318" s="174"/>
      <c r="AJ318" s="174"/>
      <c r="AK318" s="174"/>
    </row>
    <row r="319" spans="32:37" ht="17.25" customHeight="1" x14ac:dyDescent="0.25">
      <c r="AF319" s="174"/>
      <c r="AG319" s="174"/>
      <c r="AH319" s="174"/>
      <c r="AI319" s="174"/>
      <c r="AJ319" s="174"/>
      <c r="AK319" s="174"/>
    </row>
    <row r="320" spans="32:37" ht="17.25" customHeight="1" x14ac:dyDescent="0.25">
      <c r="AF320" s="174"/>
      <c r="AG320" s="174"/>
      <c r="AH320" s="174"/>
      <c r="AI320" s="174"/>
      <c r="AJ320" s="174"/>
      <c r="AK320" s="174"/>
    </row>
    <row r="321" spans="32:37" ht="17.25" customHeight="1" x14ac:dyDescent="0.25">
      <c r="AF321" s="174"/>
      <c r="AG321" s="174"/>
      <c r="AH321" s="174"/>
      <c r="AI321" s="174"/>
      <c r="AJ321" s="174"/>
      <c r="AK321" s="174"/>
    </row>
    <row r="322" spans="32:37" ht="17.25" customHeight="1" x14ac:dyDescent="0.25">
      <c r="AF322" s="174"/>
      <c r="AG322" s="174"/>
      <c r="AH322" s="174"/>
      <c r="AI322" s="174"/>
      <c r="AJ322" s="174"/>
      <c r="AK322" s="174"/>
    </row>
    <row r="323" spans="32:37" ht="17.25" customHeight="1" x14ac:dyDescent="0.25">
      <c r="AF323" s="174"/>
      <c r="AG323" s="174"/>
      <c r="AH323" s="174"/>
      <c r="AI323" s="174"/>
      <c r="AJ323" s="174"/>
      <c r="AK323" s="174"/>
    </row>
    <row r="324" spans="32:37" ht="17.25" customHeight="1" x14ac:dyDescent="0.25">
      <c r="AF324" s="174"/>
      <c r="AG324" s="174"/>
      <c r="AH324" s="174"/>
      <c r="AI324" s="174"/>
      <c r="AJ324" s="174"/>
      <c r="AK324" s="174"/>
    </row>
    <row r="325" spans="32:37" ht="17.25" customHeight="1" x14ac:dyDescent="0.25">
      <c r="AF325" s="174"/>
      <c r="AG325" s="174"/>
      <c r="AH325" s="174"/>
      <c r="AI325" s="174"/>
      <c r="AJ325" s="174"/>
      <c r="AK325" s="174"/>
    </row>
    <row r="326" spans="32:37" ht="17.25" customHeight="1" x14ac:dyDescent="0.25">
      <c r="AF326" s="174"/>
      <c r="AG326" s="174"/>
      <c r="AH326" s="174"/>
      <c r="AI326" s="174"/>
      <c r="AJ326" s="174"/>
      <c r="AK326" s="174"/>
    </row>
    <row r="327" spans="32:37" ht="17.25" customHeight="1" x14ac:dyDescent="0.25">
      <c r="AF327" s="174"/>
      <c r="AG327" s="174"/>
      <c r="AH327" s="174"/>
      <c r="AI327" s="174"/>
      <c r="AJ327" s="174"/>
      <c r="AK327" s="174"/>
    </row>
    <row r="328" spans="32:37" ht="17.25" customHeight="1" x14ac:dyDescent="0.25">
      <c r="AF328" s="174"/>
      <c r="AG328" s="174"/>
      <c r="AH328" s="174"/>
      <c r="AI328" s="174"/>
      <c r="AJ328" s="174"/>
      <c r="AK328" s="174"/>
    </row>
    <row r="329" spans="32:37" ht="17.25" customHeight="1" x14ac:dyDescent="0.25">
      <c r="AF329" s="174"/>
      <c r="AG329" s="174"/>
      <c r="AH329" s="174"/>
      <c r="AI329" s="174"/>
      <c r="AJ329" s="174"/>
      <c r="AK329" s="174"/>
    </row>
    <row r="330" spans="32:37" ht="17.25" customHeight="1" x14ac:dyDescent="0.25">
      <c r="AF330" s="174"/>
      <c r="AG330" s="174"/>
      <c r="AH330" s="174"/>
      <c r="AI330" s="174"/>
      <c r="AJ330" s="174"/>
      <c r="AK330" s="174"/>
    </row>
    <row r="331" spans="32:37" ht="17.25" customHeight="1" x14ac:dyDescent="0.25">
      <c r="AF331" s="174"/>
      <c r="AG331" s="174"/>
      <c r="AH331" s="174"/>
      <c r="AI331" s="174"/>
      <c r="AJ331" s="174"/>
      <c r="AK331" s="174"/>
    </row>
    <row r="332" spans="32:37" ht="17.25" customHeight="1" x14ac:dyDescent="0.25">
      <c r="AF332" s="174"/>
      <c r="AG332" s="174"/>
      <c r="AH332" s="174"/>
      <c r="AI332" s="174"/>
      <c r="AJ332" s="174"/>
      <c r="AK332" s="174"/>
    </row>
    <row r="333" spans="32:37" ht="17.25" customHeight="1" x14ac:dyDescent="0.25">
      <c r="AF333" s="174"/>
      <c r="AG333" s="174"/>
      <c r="AH333" s="174"/>
      <c r="AI333" s="174"/>
      <c r="AJ333" s="174"/>
      <c r="AK333" s="174"/>
    </row>
    <row r="334" spans="32:37" ht="17.25" customHeight="1" x14ac:dyDescent="0.25">
      <c r="AF334" s="174"/>
      <c r="AG334" s="174"/>
      <c r="AH334" s="174"/>
      <c r="AI334" s="174"/>
      <c r="AJ334" s="174"/>
      <c r="AK334" s="174"/>
    </row>
    <row r="335" spans="32:37" ht="17.25" customHeight="1" x14ac:dyDescent="0.25">
      <c r="AF335" s="174"/>
      <c r="AG335" s="174"/>
      <c r="AH335" s="174"/>
      <c r="AI335" s="174"/>
      <c r="AJ335" s="174"/>
      <c r="AK335" s="174"/>
    </row>
    <row r="336" spans="32:37" ht="17.25" customHeight="1" x14ac:dyDescent="0.25">
      <c r="AF336" s="174"/>
      <c r="AG336" s="174"/>
      <c r="AH336" s="174"/>
      <c r="AI336" s="174"/>
      <c r="AJ336" s="174"/>
      <c r="AK336" s="174"/>
    </row>
    <row r="337" spans="32:37" ht="17.25" customHeight="1" x14ac:dyDescent="0.25">
      <c r="AF337" s="174"/>
      <c r="AG337" s="174"/>
      <c r="AH337" s="174"/>
      <c r="AI337" s="174"/>
      <c r="AJ337" s="174"/>
      <c r="AK337" s="174"/>
    </row>
    <row r="338" spans="32:37" ht="17.25" customHeight="1" x14ac:dyDescent="0.25">
      <c r="AF338" s="174"/>
      <c r="AG338" s="174"/>
      <c r="AH338" s="174"/>
      <c r="AI338" s="174"/>
      <c r="AJ338" s="174"/>
      <c r="AK338" s="174"/>
    </row>
    <row r="339" spans="32:37" ht="17.25" customHeight="1" x14ac:dyDescent="0.25">
      <c r="AF339" s="174"/>
      <c r="AG339" s="174"/>
      <c r="AH339" s="174"/>
      <c r="AI339" s="174"/>
      <c r="AJ339" s="174"/>
      <c r="AK339" s="174"/>
    </row>
    <row r="340" spans="32:37" ht="17.25" customHeight="1" x14ac:dyDescent="0.25">
      <c r="AF340" s="174"/>
      <c r="AG340" s="174"/>
      <c r="AH340" s="174"/>
      <c r="AI340" s="174"/>
      <c r="AJ340" s="174"/>
      <c r="AK340" s="174"/>
    </row>
    <row r="341" spans="32:37" ht="17.25" customHeight="1" x14ac:dyDescent="0.25">
      <c r="AF341" s="174"/>
      <c r="AG341" s="174"/>
      <c r="AH341" s="174"/>
      <c r="AI341" s="174"/>
      <c r="AJ341" s="174"/>
      <c r="AK341" s="174"/>
    </row>
    <row r="342" spans="32:37" ht="17.25" customHeight="1" x14ac:dyDescent="0.25">
      <c r="AF342" s="174"/>
      <c r="AG342" s="174"/>
      <c r="AH342" s="174"/>
      <c r="AI342" s="174"/>
      <c r="AJ342" s="174"/>
      <c r="AK342" s="174"/>
    </row>
    <row r="343" spans="32:37" ht="17.25" customHeight="1" x14ac:dyDescent="0.25">
      <c r="AF343" s="174"/>
      <c r="AG343" s="174"/>
      <c r="AH343" s="174"/>
      <c r="AI343" s="174"/>
      <c r="AJ343" s="174"/>
      <c r="AK343" s="174"/>
    </row>
    <row r="344" spans="32:37" ht="17.25" customHeight="1" x14ac:dyDescent="0.25">
      <c r="AF344" s="174"/>
      <c r="AG344" s="174"/>
      <c r="AH344" s="174"/>
      <c r="AI344" s="174"/>
      <c r="AJ344" s="174"/>
      <c r="AK344" s="174"/>
    </row>
    <row r="345" spans="32:37" ht="17.25" customHeight="1" x14ac:dyDescent="0.25">
      <c r="AF345" s="174"/>
      <c r="AG345" s="174"/>
      <c r="AH345" s="174"/>
      <c r="AI345" s="174"/>
      <c r="AJ345" s="174"/>
      <c r="AK345" s="174"/>
    </row>
    <row r="346" spans="32:37" ht="17.25" customHeight="1" x14ac:dyDescent="0.25">
      <c r="AF346" s="174"/>
      <c r="AG346" s="174"/>
      <c r="AH346" s="174"/>
      <c r="AI346" s="174"/>
      <c r="AJ346" s="174"/>
      <c r="AK346" s="174"/>
    </row>
    <row r="347" spans="32:37" ht="17.25" customHeight="1" x14ac:dyDescent="0.25">
      <c r="AF347" s="174"/>
      <c r="AG347" s="174"/>
      <c r="AH347" s="174"/>
      <c r="AI347" s="174"/>
      <c r="AJ347" s="174"/>
      <c r="AK347" s="174"/>
    </row>
    <row r="348" spans="32:37" ht="17.25" customHeight="1" x14ac:dyDescent="0.25">
      <c r="AF348" s="174"/>
      <c r="AG348" s="174"/>
      <c r="AH348" s="174"/>
      <c r="AI348" s="174"/>
      <c r="AJ348" s="174"/>
      <c r="AK348" s="174"/>
    </row>
    <row r="349" spans="32:37" ht="17.25" customHeight="1" x14ac:dyDescent="0.25">
      <c r="AF349" s="174"/>
      <c r="AG349" s="174"/>
      <c r="AH349" s="174"/>
      <c r="AI349" s="174"/>
      <c r="AJ349" s="174"/>
      <c r="AK349" s="174"/>
    </row>
    <row r="350" spans="32:37" ht="17.25" customHeight="1" x14ac:dyDescent="0.25">
      <c r="AF350" s="174"/>
      <c r="AG350" s="174"/>
      <c r="AH350" s="174"/>
      <c r="AI350" s="174"/>
      <c r="AJ350" s="174"/>
      <c r="AK350" s="174"/>
    </row>
    <row r="351" spans="32:37" ht="17.25" customHeight="1" x14ac:dyDescent="0.25">
      <c r="AF351" s="174"/>
      <c r="AG351" s="174"/>
      <c r="AH351" s="174"/>
      <c r="AI351" s="174"/>
      <c r="AJ351" s="174"/>
      <c r="AK351" s="174"/>
    </row>
    <row r="352" spans="32:37" ht="17.25" customHeight="1" x14ac:dyDescent="0.25">
      <c r="AF352" s="174"/>
      <c r="AG352" s="174"/>
      <c r="AH352" s="174"/>
      <c r="AI352" s="174"/>
      <c r="AJ352" s="174"/>
      <c r="AK352" s="174"/>
    </row>
    <row r="353" spans="32:37" ht="17.25" customHeight="1" x14ac:dyDescent="0.25">
      <c r="AF353" s="174"/>
      <c r="AG353" s="174"/>
      <c r="AH353" s="174"/>
      <c r="AI353" s="174"/>
      <c r="AJ353" s="174"/>
      <c r="AK353" s="174"/>
    </row>
    <row r="354" spans="32:37" ht="17.25" customHeight="1" x14ac:dyDescent="0.25">
      <c r="AF354" s="174"/>
      <c r="AG354" s="174"/>
      <c r="AH354" s="174"/>
      <c r="AI354" s="174"/>
      <c r="AJ354" s="174"/>
      <c r="AK354" s="174"/>
    </row>
    <row r="355" spans="32:37" ht="17.25" customHeight="1" x14ac:dyDescent="0.25">
      <c r="AF355" s="174"/>
      <c r="AG355" s="174"/>
      <c r="AH355" s="174"/>
      <c r="AI355" s="174"/>
      <c r="AJ355" s="174"/>
      <c r="AK355" s="174"/>
    </row>
    <row r="356" spans="32:37" ht="17.25" customHeight="1" x14ac:dyDescent="0.25">
      <c r="AF356" s="174"/>
      <c r="AG356" s="174"/>
      <c r="AH356" s="174"/>
      <c r="AI356" s="174"/>
      <c r="AJ356" s="174"/>
      <c r="AK356" s="174"/>
    </row>
    <row r="357" spans="32:37" ht="17.25" customHeight="1" x14ac:dyDescent="0.25">
      <c r="AF357" s="174"/>
      <c r="AG357" s="174"/>
      <c r="AH357" s="174"/>
      <c r="AI357" s="174"/>
      <c r="AJ357" s="174"/>
      <c r="AK357" s="174"/>
    </row>
    <row r="358" spans="32:37" ht="17.25" customHeight="1" x14ac:dyDescent="0.25">
      <c r="AF358" s="174"/>
      <c r="AG358" s="174"/>
      <c r="AH358" s="174"/>
      <c r="AI358" s="174"/>
      <c r="AJ358" s="174"/>
      <c r="AK358" s="174"/>
    </row>
    <row r="359" spans="32:37" ht="17.25" customHeight="1" x14ac:dyDescent="0.25">
      <c r="AF359" s="174"/>
      <c r="AG359" s="174"/>
      <c r="AH359" s="174"/>
      <c r="AI359" s="174"/>
      <c r="AJ359" s="174"/>
      <c r="AK359" s="174"/>
    </row>
    <row r="360" spans="32:37" ht="17.25" customHeight="1" x14ac:dyDescent="0.25">
      <c r="AF360" s="174"/>
      <c r="AG360" s="174"/>
      <c r="AH360" s="174"/>
      <c r="AI360" s="174"/>
      <c r="AJ360" s="174"/>
      <c r="AK360" s="174"/>
    </row>
    <row r="361" spans="32:37" ht="17.25" customHeight="1" x14ac:dyDescent="0.25">
      <c r="AF361" s="174"/>
      <c r="AG361" s="174"/>
      <c r="AH361" s="174"/>
      <c r="AI361" s="174"/>
      <c r="AJ361" s="174"/>
      <c r="AK361" s="174"/>
    </row>
    <row r="362" spans="32:37" ht="17.25" customHeight="1" x14ac:dyDescent="0.25">
      <c r="AF362" s="174"/>
      <c r="AG362" s="174"/>
      <c r="AH362" s="174"/>
      <c r="AI362" s="174"/>
      <c r="AJ362" s="174"/>
      <c r="AK362" s="174"/>
    </row>
    <row r="363" spans="32:37" ht="17.25" customHeight="1" x14ac:dyDescent="0.25">
      <c r="AF363" s="174"/>
      <c r="AG363" s="174"/>
      <c r="AH363" s="174"/>
      <c r="AI363" s="174"/>
      <c r="AJ363" s="174"/>
      <c r="AK363" s="174"/>
    </row>
    <row r="364" spans="32:37" ht="17.25" customHeight="1" x14ac:dyDescent="0.25">
      <c r="AF364" s="174"/>
      <c r="AG364" s="174"/>
      <c r="AH364" s="174"/>
      <c r="AI364" s="174"/>
      <c r="AJ364" s="174"/>
      <c r="AK364" s="174"/>
    </row>
    <row r="365" spans="32:37" ht="17.25" customHeight="1" x14ac:dyDescent="0.25">
      <c r="AF365" s="174"/>
      <c r="AG365" s="174"/>
      <c r="AH365" s="174"/>
      <c r="AI365" s="174"/>
      <c r="AJ365" s="174"/>
      <c r="AK365" s="174"/>
    </row>
    <row r="366" spans="32:37" ht="17.25" customHeight="1" x14ac:dyDescent="0.25">
      <c r="AF366" s="174"/>
      <c r="AG366" s="174"/>
      <c r="AH366" s="174"/>
      <c r="AI366" s="174"/>
      <c r="AJ366" s="174"/>
      <c r="AK366" s="174"/>
    </row>
    <row r="367" spans="32:37" ht="17.25" customHeight="1" x14ac:dyDescent="0.25">
      <c r="AF367" s="174"/>
      <c r="AG367" s="174"/>
      <c r="AH367" s="174"/>
      <c r="AI367" s="174"/>
      <c r="AJ367" s="174"/>
      <c r="AK367" s="174"/>
    </row>
    <row r="368" spans="32:37" ht="17.25" customHeight="1" x14ac:dyDescent="0.25">
      <c r="AF368" s="174"/>
      <c r="AG368" s="174"/>
      <c r="AH368" s="174"/>
      <c r="AI368" s="174"/>
      <c r="AJ368" s="174"/>
      <c r="AK368" s="174"/>
    </row>
    <row r="369" spans="32:37" ht="17.25" customHeight="1" x14ac:dyDescent="0.25">
      <c r="AF369" s="174"/>
      <c r="AG369" s="174"/>
      <c r="AH369" s="174"/>
      <c r="AI369" s="174"/>
      <c r="AJ369" s="174"/>
      <c r="AK369" s="174"/>
    </row>
    <row r="370" spans="32:37" ht="17.25" customHeight="1" x14ac:dyDescent="0.25">
      <c r="AF370" s="174"/>
      <c r="AG370" s="174"/>
      <c r="AH370" s="174"/>
      <c r="AI370" s="174"/>
      <c r="AJ370" s="174"/>
      <c r="AK370" s="174"/>
    </row>
    <row r="371" spans="32:37" ht="17.25" customHeight="1" x14ac:dyDescent="0.25">
      <c r="AF371" s="174"/>
      <c r="AG371" s="174"/>
      <c r="AH371" s="174"/>
      <c r="AI371" s="174"/>
      <c r="AJ371" s="174"/>
      <c r="AK371" s="174"/>
    </row>
    <row r="372" spans="32:37" ht="17.25" customHeight="1" x14ac:dyDescent="0.25">
      <c r="AF372" s="174"/>
      <c r="AG372" s="174"/>
      <c r="AH372" s="174"/>
      <c r="AI372" s="174"/>
      <c r="AJ372" s="174"/>
      <c r="AK372" s="174"/>
    </row>
    <row r="373" spans="32:37" ht="17.25" customHeight="1" x14ac:dyDescent="0.25">
      <c r="AF373" s="174"/>
      <c r="AG373" s="174"/>
      <c r="AH373" s="174"/>
      <c r="AI373" s="174"/>
      <c r="AJ373" s="174"/>
      <c r="AK373" s="174"/>
    </row>
    <row r="374" spans="32:37" ht="17.25" customHeight="1" x14ac:dyDescent="0.25">
      <c r="AF374" s="174"/>
      <c r="AG374" s="174"/>
      <c r="AH374" s="174"/>
      <c r="AI374" s="174"/>
      <c r="AJ374" s="174"/>
      <c r="AK374" s="174"/>
    </row>
    <row r="375" spans="32:37" ht="17.25" customHeight="1" x14ac:dyDescent="0.25">
      <c r="AF375" s="174"/>
      <c r="AG375" s="174"/>
      <c r="AH375" s="174"/>
      <c r="AI375" s="174"/>
      <c r="AJ375" s="174"/>
      <c r="AK375" s="174"/>
    </row>
    <row r="376" spans="32:37" ht="17.25" customHeight="1" x14ac:dyDescent="0.25">
      <c r="AF376" s="174"/>
      <c r="AG376" s="174"/>
      <c r="AH376" s="174"/>
      <c r="AI376" s="174"/>
      <c r="AJ376" s="174"/>
      <c r="AK376" s="174"/>
    </row>
    <row r="377" spans="32:37" ht="17.25" customHeight="1" x14ac:dyDescent="0.25">
      <c r="AF377" s="174"/>
      <c r="AG377" s="174"/>
      <c r="AH377" s="174"/>
      <c r="AI377" s="174"/>
      <c r="AJ377" s="174"/>
      <c r="AK377" s="174"/>
    </row>
    <row r="378" spans="32:37" ht="17.25" customHeight="1" x14ac:dyDescent="0.25">
      <c r="AF378" s="174"/>
      <c r="AG378" s="174"/>
      <c r="AH378" s="174"/>
      <c r="AI378" s="174"/>
      <c r="AJ378" s="174"/>
      <c r="AK378" s="174"/>
    </row>
    <row r="379" spans="32:37" ht="17.25" customHeight="1" x14ac:dyDescent="0.25">
      <c r="AF379" s="174"/>
      <c r="AG379" s="174"/>
      <c r="AH379" s="174"/>
      <c r="AI379" s="174"/>
      <c r="AJ379" s="174"/>
      <c r="AK379" s="174"/>
    </row>
    <row r="380" spans="32:37" ht="17.25" customHeight="1" x14ac:dyDescent="0.25">
      <c r="AF380" s="174"/>
      <c r="AG380" s="174"/>
      <c r="AH380" s="174"/>
      <c r="AI380" s="174"/>
      <c r="AJ380" s="174"/>
      <c r="AK380" s="174"/>
    </row>
    <row r="381" spans="32:37" ht="17.25" customHeight="1" x14ac:dyDescent="0.25">
      <c r="AF381" s="174"/>
      <c r="AG381" s="174"/>
      <c r="AH381" s="174"/>
      <c r="AI381" s="174"/>
      <c r="AJ381" s="174"/>
      <c r="AK381" s="174"/>
    </row>
    <row r="382" spans="32:37" ht="17.25" customHeight="1" x14ac:dyDescent="0.25">
      <c r="AF382" s="174"/>
      <c r="AG382" s="174"/>
      <c r="AH382" s="174"/>
      <c r="AI382" s="174"/>
      <c r="AJ382" s="174"/>
      <c r="AK382" s="174"/>
    </row>
    <row r="383" spans="32:37" ht="17.25" customHeight="1" x14ac:dyDescent="0.25">
      <c r="AF383" s="174"/>
      <c r="AG383" s="174"/>
      <c r="AH383" s="174"/>
      <c r="AI383" s="174"/>
      <c r="AJ383" s="174"/>
      <c r="AK383" s="174"/>
    </row>
    <row r="384" spans="32:37" ht="17.25" customHeight="1" x14ac:dyDescent="0.25">
      <c r="AF384" s="174"/>
      <c r="AG384" s="174"/>
      <c r="AH384" s="174"/>
      <c r="AI384" s="174"/>
      <c r="AJ384" s="174"/>
      <c r="AK384" s="174"/>
    </row>
    <row r="385" spans="32:37" ht="17.25" customHeight="1" x14ac:dyDescent="0.25">
      <c r="AF385" s="174"/>
      <c r="AG385" s="174"/>
      <c r="AH385" s="174"/>
      <c r="AI385" s="174"/>
      <c r="AJ385" s="174"/>
      <c r="AK385" s="174"/>
    </row>
    <row r="386" spans="32:37" ht="17.25" customHeight="1" x14ac:dyDescent="0.25">
      <c r="AF386" s="174"/>
      <c r="AG386" s="174"/>
      <c r="AH386" s="174"/>
      <c r="AI386" s="174"/>
      <c r="AJ386" s="174"/>
      <c r="AK386" s="174"/>
    </row>
    <row r="387" spans="32:37" ht="17.25" customHeight="1" x14ac:dyDescent="0.25">
      <c r="AF387" s="174"/>
      <c r="AG387" s="174"/>
      <c r="AH387" s="174"/>
      <c r="AI387" s="174"/>
      <c r="AJ387" s="174"/>
      <c r="AK387" s="174"/>
    </row>
    <row r="388" spans="32:37" ht="17.25" customHeight="1" x14ac:dyDescent="0.25">
      <c r="AF388" s="174"/>
      <c r="AG388" s="174"/>
      <c r="AH388" s="174"/>
      <c r="AI388" s="174"/>
      <c r="AJ388" s="174"/>
      <c r="AK388" s="174"/>
    </row>
    <row r="389" spans="32:37" ht="17.25" customHeight="1" x14ac:dyDescent="0.25">
      <c r="AF389" s="174"/>
      <c r="AG389" s="174"/>
      <c r="AH389" s="174"/>
      <c r="AI389" s="174"/>
      <c r="AJ389" s="174"/>
      <c r="AK389" s="174"/>
    </row>
    <row r="390" spans="32:37" ht="17.25" customHeight="1" x14ac:dyDescent="0.25">
      <c r="AF390" s="174"/>
      <c r="AG390" s="174"/>
      <c r="AH390" s="174"/>
      <c r="AI390" s="174"/>
      <c r="AJ390" s="174"/>
      <c r="AK390" s="174"/>
    </row>
    <row r="391" spans="32:37" ht="17.25" customHeight="1" x14ac:dyDescent="0.25">
      <c r="AF391" s="174"/>
      <c r="AG391" s="174"/>
      <c r="AH391" s="174"/>
      <c r="AI391" s="174"/>
      <c r="AJ391" s="174"/>
      <c r="AK391" s="174"/>
    </row>
    <row r="392" spans="32:37" ht="17.25" customHeight="1" x14ac:dyDescent="0.25">
      <c r="AF392" s="174"/>
      <c r="AG392" s="174"/>
      <c r="AH392" s="174"/>
      <c r="AI392" s="174"/>
      <c r="AJ392" s="174"/>
      <c r="AK392" s="174"/>
    </row>
    <row r="393" spans="32:37" ht="17.25" customHeight="1" x14ac:dyDescent="0.25">
      <c r="AF393" s="174"/>
      <c r="AG393" s="174"/>
      <c r="AH393" s="174"/>
      <c r="AI393" s="174"/>
      <c r="AJ393" s="174"/>
      <c r="AK393" s="174"/>
    </row>
    <row r="394" spans="32:37" ht="17.25" customHeight="1" x14ac:dyDescent="0.25">
      <c r="AF394" s="174"/>
      <c r="AG394" s="174"/>
      <c r="AH394" s="174"/>
      <c r="AI394" s="174"/>
      <c r="AJ394" s="174"/>
      <c r="AK394" s="174"/>
    </row>
    <row r="395" spans="32:37" ht="17.25" customHeight="1" x14ac:dyDescent="0.25">
      <c r="AF395" s="174"/>
      <c r="AG395" s="174"/>
      <c r="AH395" s="174"/>
      <c r="AI395" s="174"/>
      <c r="AJ395" s="174"/>
      <c r="AK395" s="174"/>
    </row>
    <row r="396" spans="32:37" ht="17.25" customHeight="1" x14ac:dyDescent="0.25">
      <c r="AF396" s="174"/>
      <c r="AG396" s="174"/>
      <c r="AH396" s="174"/>
      <c r="AI396" s="174"/>
      <c r="AJ396" s="174"/>
      <c r="AK396" s="174"/>
    </row>
    <row r="397" spans="32:37" ht="17.25" customHeight="1" x14ac:dyDescent="0.25">
      <c r="AF397" s="174"/>
      <c r="AG397" s="174"/>
      <c r="AH397" s="174"/>
      <c r="AI397" s="174"/>
      <c r="AJ397" s="174"/>
      <c r="AK397" s="174"/>
    </row>
    <row r="398" spans="32:37" ht="17.25" customHeight="1" x14ac:dyDescent="0.25">
      <c r="AF398" s="174"/>
      <c r="AG398" s="174"/>
      <c r="AH398" s="174"/>
      <c r="AI398" s="174"/>
      <c r="AJ398" s="174"/>
      <c r="AK398" s="174"/>
    </row>
    <row r="399" spans="32:37" ht="17.25" customHeight="1" x14ac:dyDescent="0.25">
      <c r="AF399" s="174"/>
      <c r="AG399" s="174"/>
      <c r="AH399" s="174"/>
      <c r="AI399" s="174"/>
      <c r="AJ399" s="174"/>
      <c r="AK399" s="174"/>
    </row>
    <row r="400" spans="32:37" ht="17.25" customHeight="1" x14ac:dyDescent="0.25">
      <c r="AF400" s="174"/>
      <c r="AG400" s="174"/>
      <c r="AH400" s="174"/>
      <c r="AI400" s="174"/>
      <c r="AJ400" s="174"/>
      <c r="AK400" s="174"/>
    </row>
    <row r="401" spans="32:37" ht="17.25" customHeight="1" x14ac:dyDescent="0.25">
      <c r="AF401" s="174"/>
      <c r="AG401" s="174"/>
      <c r="AH401" s="174"/>
      <c r="AI401" s="174"/>
      <c r="AJ401" s="174"/>
      <c r="AK401" s="174"/>
    </row>
    <row r="402" spans="32:37" ht="17.25" customHeight="1" x14ac:dyDescent="0.25">
      <c r="AF402" s="174"/>
      <c r="AG402" s="174"/>
      <c r="AH402" s="174"/>
      <c r="AI402" s="174"/>
      <c r="AJ402" s="174"/>
      <c r="AK402" s="174"/>
    </row>
    <row r="403" spans="32:37" ht="17.25" customHeight="1" x14ac:dyDescent="0.25">
      <c r="AF403" s="174"/>
      <c r="AG403" s="174"/>
      <c r="AH403" s="174"/>
      <c r="AI403" s="174"/>
      <c r="AJ403" s="174"/>
      <c r="AK403" s="174"/>
    </row>
    <row r="404" spans="32:37" ht="17.25" customHeight="1" x14ac:dyDescent="0.25">
      <c r="AF404" s="174"/>
      <c r="AG404" s="174"/>
      <c r="AH404" s="174"/>
      <c r="AI404" s="174"/>
      <c r="AJ404" s="174"/>
      <c r="AK404" s="174"/>
    </row>
    <row r="405" spans="32:37" ht="17.25" customHeight="1" x14ac:dyDescent="0.25">
      <c r="AF405" s="174"/>
      <c r="AG405" s="174"/>
      <c r="AH405" s="174"/>
      <c r="AI405" s="174"/>
      <c r="AJ405" s="174"/>
      <c r="AK405" s="174"/>
    </row>
    <row r="406" spans="32:37" ht="17.25" customHeight="1" x14ac:dyDescent="0.25">
      <c r="AG406" s="174"/>
      <c r="AH406" s="174"/>
      <c r="AI406" s="174"/>
      <c r="AJ406" s="174"/>
      <c r="AK406" s="174"/>
    </row>
    <row r="407" spans="32:37" ht="17.25" customHeight="1" x14ac:dyDescent="0.25">
      <c r="AG407" s="174"/>
      <c r="AH407" s="174"/>
      <c r="AI407" s="174"/>
      <c r="AJ407" s="174"/>
      <c r="AK407" s="174"/>
    </row>
    <row r="408" spans="32:37" ht="17.25" customHeight="1" x14ac:dyDescent="0.25">
      <c r="AG408" s="174"/>
      <c r="AH408" s="174"/>
      <c r="AI408" s="174"/>
      <c r="AJ408" s="174"/>
      <c r="AK408" s="174"/>
    </row>
    <row r="409" spans="32:37" ht="17.25" customHeight="1" x14ac:dyDescent="0.25">
      <c r="AG409" s="174"/>
      <c r="AH409" s="174"/>
      <c r="AI409" s="174"/>
      <c r="AJ409" s="174"/>
      <c r="AK409" s="174"/>
    </row>
    <row r="410" spans="32:37" ht="17.25" customHeight="1" x14ac:dyDescent="0.25">
      <c r="AG410" s="174"/>
      <c r="AH410" s="174"/>
      <c r="AI410" s="174"/>
      <c r="AJ410" s="174"/>
      <c r="AK410" s="174"/>
    </row>
    <row r="411" spans="32:37" ht="17.25" customHeight="1" x14ac:dyDescent="0.25">
      <c r="AG411" s="174"/>
      <c r="AH411" s="174"/>
      <c r="AI411" s="174"/>
      <c r="AJ411" s="174"/>
      <c r="AK411" s="174"/>
    </row>
    <row r="412" spans="32:37" ht="17.25" customHeight="1" x14ac:dyDescent="0.25">
      <c r="AG412" s="174"/>
      <c r="AH412" s="174"/>
      <c r="AI412" s="174"/>
      <c r="AJ412" s="174"/>
      <c r="AK412" s="174"/>
    </row>
  </sheetData>
  <sheetProtection algorithmName="SHA-512" hashValue="dwJ5jmr3WFiA4QM5K520gur9Oo7yS6ZdmiAUebK3n51uEiT14/UwhMzaZ0Bj3R5nHKCYP6lOe05R/IRJ8tuDLA==" saltValue="RYsZ+THMqP1EJQQgtTLRGw==" spinCount="100000" sheet="1" selectLockedCells="1"/>
  <mergeCells count="21">
    <mergeCell ref="V7:W8"/>
    <mergeCell ref="V12:W12"/>
    <mergeCell ref="V10:W10"/>
    <mergeCell ref="V11:W11"/>
    <mergeCell ref="V9:W9"/>
    <mergeCell ref="B47:W49"/>
    <mergeCell ref="B1:C1"/>
    <mergeCell ref="H1:U2"/>
    <mergeCell ref="B7:C7"/>
    <mergeCell ref="B40:C40"/>
    <mergeCell ref="V33:W33"/>
    <mergeCell ref="B19:C19"/>
    <mergeCell ref="V26:W26"/>
    <mergeCell ref="V40:W40"/>
    <mergeCell ref="V19:W19"/>
    <mergeCell ref="B5:G5"/>
    <mergeCell ref="B4:G4"/>
    <mergeCell ref="B2:G3"/>
    <mergeCell ref="M5:U5"/>
    <mergeCell ref="M4:U4"/>
    <mergeCell ref="J4:L5"/>
  </mergeCells>
  <dataValidations count="13">
    <dataValidation allowBlank="1" showInputMessage="1" showErrorMessage="1" errorTitle="Out of Range" error="This Variable must be between $10,000 and $10,000,000" sqref="C8" xr:uid="{0C85F3A5-01B2-4931-AEB0-EB73963C47F8}"/>
    <dataValidation type="decimal" allowBlank="1" showInputMessage="1" showErrorMessage="1" errorTitle="Out of Range" error="This variable must be between 0% and 100%." sqref="C9 C21" xr:uid="{5049EB54-4B01-4571-9998-B55A2231C0A3}">
      <formula1>0</formula1>
      <formula2>1</formula2>
    </dataValidation>
    <dataValidation type="decimal" allowBlank="1" showInputMessage="1" showErrorMessage="1" errorTitle="Out of Range" error="This variable must be between 0% and 5%." sqref="C14" xr:uid="{402276BD-1B91-42F2-B1AE-793451DF84B6}">
      <formula1>0</formula1>
      <formula2>0.05</formula2>
    </dataValidation>
    <dataValidation type="whole" operator="greaterThanOrEqual" allowBlank="1" showInputMessage="1" showErrorMessage="1" errorTitle="Out of Range" error="This variable must be a whole dollar amount greater than or equal to $0." sqref="C16 C11:C12 C20 C30:C31" xr:uid="{FC62D38D-3C33-41B0-8D12-1FDFEAE3F3CC}">
      <formula1>0</formula1>
    </dataValidation>
    <dataValidation type="decimal" allowBlank="1" showInputMessage="1" showErrorMessage="1" errorTitle="Out of Range" error="This variable must be between 0% and 20%." sqref="C23:C24" xr:uid="{EFEC58AD-3C66-4869-A9BE-F945169F018D}">
      <formula1>0</formula1>
      <formula2>0.2</formula2>
    </dataValidation>
    <dataValidation type="whole" allowBlank="1" showInputMessage="1" showErrorMessage="1" errorTitle="Out of Range" error="This variable must be a whole number between 0 &amp; 40." sqref="C26" xr:uid="{A3E9BA7F-463C-494C-8D61-024B5252C40F}">
      <formula1>0</formula1>
      <formula2>40</formula2>
    </dataValidation>
    <dataValidation type="whole" allowBlank="1" showInputMessage="1" showErrorMessage="1" errorTitle="Out of Range" error="This variable must be a whole number between 0 and 480." sqref="C34" xr:uid="{6E39F6A1-4C5C-4FD1-8555-3EB6DE452DBA}">
      <formula1>0</formula1>
      <formula2>480</formula2>
    </dataValidation>
    <dataValidation type="decimal" allowBlank="1" showInputMessage="1" showErrorMessage="1" errorTitle="Out of Range" error="This variable must be between -1.0% and 8.0%" sqref="C41" xr:uid="{587A5794-9E70-48A2-B5DA-0BEB6B1FBDF9}">
      <formula1>-0.01</formula1>
      <formula2>0.07</formula2>
    </dataValidation>
    <dataValidation type="decimal" allowBlank="1" showInputMessage="1" showErrorMessage="1" errorTitle="Out of Range" error="This variable must be between 0% and 10%." sqref="C42" xr:uid="{4C7C0A83-B5ED-49AE-8EAB-24D91305E4C3}">
      <formula1>0</formula1>
      <formula2>0.1</formula2>
    </dataValidation>
    <dataValidation type="decimal" allowBlank="1" showInputMessage="1" showErrorMessage="1" errorTitle="Out of Range" error="This variable must be between 0% and 8%." sqref="C43" xr:uid="{87A795AD-95F0-44CD-9B7E-9487E0A46170}">
      <formula1>0</formula1>
      <formula2>0.08</formula2>
    </dataValidation>
    <dataValidation type="decimal" operator="greaterThanOrEqual" allowBlank="1" showInputMessage="1" showErrorMessage="1" errorTitle="Out of Range" error="This variable must be a whole dollar amount greater than or equal to $0." sqref="C28:C29 C33" xr:uid="{E53F1878-ECAA-45A2-8839-E2AE090B4711}">
      <formula1>0</formula1>
    </dataValidation>
    <dataValidation type="decimal" allowBlank="1" showInputMessage="1" showErrorMessage="1" errorTitle="Out of Range" error="This variable must be between 0% and 50%." sqref="C44" xr:uid="{7FE7C2A0-3F70-4661-A3DE-042E9CF0F841}">
      <formula1>0</formula1>
      <formula2>0.5</formula2>
    </dataValidation>
    <dataValidation type="decimal" allowBlank="1" showInputMessage="1" showErrorMessage="1" sqref="C45" xr:uid="{D2AE7799-2938-438C-8F99-A054D64AA314}">
      <formula1>0</formula1>
      <formula2>0.2</formula2>
    </dataValidation>
  </dataValidations>
  <hyperlinks>
    <hyperlink ref="V11" r:id="rId1" xr:uid="{D6654EF8-AFA2-45FD-8B13-48F0F05AB966}"/>
  </hyperlinks>
  <printOptions horizontalCentered="1" verticalCentered="1"/>
  <pageMargins left="0.25" right="0.25" top="0.25" bottom="0.25" header="0" footer="0"/>
  <pageSetup scale="67" orientation="landscape" r:id="rId2"/>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r:uid="{66D5C063-2A4C-4AD0-8980-B26F0B888C53}">
          <x14:formula1>
            <xm:f>'Advanced Table'!$Y$15:$Y$18</xm:f>
          </x14:formula1>
          <xm:sqref>C25</xm:sqref>
        </x14:dataValidation>
        <x14:dataValidation type="list" allowBlank="1" showInputMessage="1" showErrorMessage="1" xr:uid="{7BB3B9E7-3362-4177-8D17-CE4C36CE7C85}">
          <x14:formula1>
            <xm:f>'Advanced Table'!AD12:AD13</xm:f>
          </x14:formula1>
          <xm:sqref>C35</xm:sqref>
        </x14:dataValidation>
        <x14:dataValidation type="list" allowBlank="1" showInputMessage="1" showErrorMessage="1" xr:uid="{43E61088-94B5-43B6-82BB-3E486A413478}">
          <x14:formula1>
            <xm:f>'Advanced Table'!AD12:AD13</xm:f>
          </x14:formula1>
          <xm:sqref>C22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A9A28-3358-4B48-A321-836A977B02A6}">
  <sheetPr>
    <tabColor rgb="FF970A1A"/>
  </sheetPr>
  <dimension ref="A1"/>
  <sheetViews>
    <sheetView showGridLines="0" showRowColHeaders="0" topLeftCell="A4" zoomScale="85" zoomScaleNormal="85" workbookViewId="0">
      <selection activeCell="G3" sqref="G3"/>
    </sheetView>
  </sheetViews>
  <sheetFormatPr defaultRowHeight="15" x14ac:dyDescent="0.25"/>
  <sheetData/>
  <sheetProtection algorithmName="SHA-512" hashValue="k9UwWK3qCXPpzCpjH/crVc1W+LMfJwC6LxT0fPpUn8Nsdl9gW0mghV1MdLrOXRli+5hYRPdgmWkcF69fmfvlgg==" saltValue="bS7iesWxR2NhJsoQNU+T5A==" spinCount="100000" sheet="1" selectLockedCells="1" selectUn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C375-B8D0-4A97-B26B-075D05CD64E8}">
  <sheetPr codeName="Sheet8">
    <tabColor rgb="FF002E6D"/>
  </sheetPr>
  <dimension ref="B8:C37"/>
  <sheetViews>
    <sheetView showGridLines="0" showRowColHeaders="0" zoomScale="115" zoomScaleNormal="115" workbookViewId="0">
      <selection activeCell="K35" sqref="K35"/>
    </sheetView>
  </sheetViews>
  <sheetFormatPr defaultColWidth="9" defaultRowHeight="15" customHeight="1" x14ac:dyDescent="0.25"/>
  <cols>
    <col min="1" max="1" width="4" style="19" customWidth="1"/>
    <col min="2" max="2" width="23" style="19" customWidth="1"/>
    <col min="3" max="3" width="12.85546875" style="28" customWidth="1"/>
    <col min="4" max="25" width="20.5703125" style="19" customWidth="1"/>
    <col min="26" max="16384" width="9" style="19"/>
  </cols>
  <sheetData>
    <row r="8" spans="2:3" ht="15" customHeight="1" x14ac:dyDescent="0.25">
      <c r="B8" s="357"/>
      <c r="C8" s="357"/>
    </row>
    <row r="9" spans="2:3" ht="15" customHeight="1" x14ac:dyDescent="0.25">
      <c r="C9" s="33"/>
    </row>
    <row r="10" spans="2:3" ht="15" customHeight="1" x14ac:dyDescent="0.25">
      <c r="C10" s="34"/>
    </row>
    <row r="11" spans="2:3" ht="15" customHeight="1" x14ac:dyDescent="0.25">
      <c r="C11" s="27"/>
    </row>
    <row r="12" spans="2:3" ht="15" customHeight="1" x14ac:dyDescent="0.25">
      <c r="C12" s="27"/>
    </row>
    <row r="13" spans="2:3" ht="15" customHeight="1" x14ac:dyDescent="0.25">
      <c r="C13" s="35"/>
    </row>
    <row r="14" spans="2:3" ht="15" customHeight="1" x14ac:dyDescent="0.25">
      <c r="C14" s="27"/>
    </row>
    <row r="15" spans="2:3" ht="15" customHeight="1" x14ac:dyDescent="0.25">
      <c r="B15" s="357"/>
      <c r="C15" s="357"/>
    </row>
    <row r="16" spans="2:3" ht="15" customHeight="1" x14ac:dyDescent="0.25">
      <c r="B16" s="23"/>
      <c r="C16" s="33"/>
    </row>
    <row r="17" spans="2:3" ht="15" customHeight="1" x14ac:dyDescent="0.25">
      <c r="C17" s="36"/>
    </row>
    <row r="18" spans="2:3" ht="15" customHeight="1" x14ac:dyDescent="0.25">
      <c r="C18" s="37"/>
    </row>
    <row r="19" spans="2:3" ht="15" customHeight="1" x14ac:dyDescent="0.25">
      <c r="C19" s="27"/>
    </row>
    <row r="20" spans="2:3" ht="15" customHeight="1" x14ac:dyDescent="0.25">
      <c r="C20" s="27"/>
    </row>
    <row r="21" spans="2:3" ht="15" customHeight="1" x14ac:dyDescent="0.25">
      <c r="C21" s="27"/>
    </row>
    <row r="22" spans="2:3" ht="15" customHeight="1" x14ac:dyDescent="0.25">
      <c r="C22" s="27"/>
    </row>
    <row r="23" spans="2:3" ht="15" customHeight="1" x14ac:dyDescent="0.25">
      <c r="B23" s="23"/>
      <c r="C23" s="27"/>
    </row>
    <row r="24" spans="2:3" ht="15" customHeight="1" x14ac:dyDescent="0.25">
      <c r="C24" s="27"/>
    </row>
    <row r="25" spans="2:3" ht="15" customHeight="1" x14ac:dyDescent="0.25">
      <c r="C25" s="27"/>
    </row>
    <row r="26" spans="2:3" ht="15" customHeight="1" x14ac:dyDescent="0.25">
      <c r="C26" s="27"/>
    </row>
    <row r="27" spans="2:3" ht="15" customHeight="1" x14ac:dyDescent="0.25">
      <c r="C27" s="27"/>
    </row>
    <row r="28" spans="2:3" ht="15" customHeight="1" x14ac:dyDescent="0.25">
      <c r="C28" s="38"/>
    </row>
    <row r="29" spans="2:3" ht="15" customHeight="1" x14ac:dyDescent="0.25">
      <c r="C29" s="35"/>
    </row>
    <row r="31" spans="2:3" ht="15" customHeight="1" x14ac:dyDescent="0.25">
      <c r="B31" s="24"/>
      <c r="C31" s="39"/>
    </row>
    <row r="33" spans="2:3" ht="15" customHeight="1" x14ac:dyDescent="0.25">
      <c r="B33" s="357"/>
      <c r="C33" s="357"/>
    </row>
    <row r="34" spans="2:3" ht="15" customHeight="1" x14ac:dyDescent="0.25">
      <c r="C34" s="40"/>
    </row>
    <row r="35" spans="2:3" ht="15" customHeight="1" x14ac:dyDescent="0.25">
      <c r="C35" s="40"/>
    </row>
    <row r="36" spans="2:3" ht="15" customHeight="1" x14ac:dyDescent="0.25">
      <c r="B36" s="24"/>
      <c r="C36" s="41"/>
    </row>
    <row r="37" spans="2:3" ht="15" customHeight="1" x14ac:dyDescent="0.25">
      <c r="C37" s="40"/>
    </row>
  </sheetData>
  <sheetProtection selectLockedCells="1" selectUnlockedCells="1"/>
  <mergeCells count="3">
    <mergeCell ref="B8:C8"/>
    <mergeCell ref="B15:C15"/>
    <mergeCell ref="B33:C33"/>
  </mergeCells>
  <printOptions horizontalCentered="1"/>
  <pageMargins left="0.25" right="0.25" top="0.25" bottom="0.25" header="0.3" footer="0.3"/>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B7078-F61A-4029-A723-DECB13D87070}">
  <sheetPr codeName="Sheet13"/>
  <dimension ref="B4:B7"/>
  <sheetViews>
    <sheetView workbookViewId="0">
      <selection activeCell="B6" sqref="B6"/>
    </sheetView>
  </sheetViews>
  <sheetFormatPr defaultRowHeight="15" x14ac:dyDescent="0.25"/>
  <cols>
    <col min="2" max="2" width="59.42578125" bestFit="1" customWidth="1"/>
  </cols>
  <sheetData>
    <row r="4" spans="2:2" x14ac:dyDescent="0.25">
      <c r="B4" s="150"/>
    </row>
    <row r="6" spans="2:2" x14ac:dyDescent="0.25">
      <c r="B6" t="s">
        <v>159</v>
      </c>
    </row>
    <row r="7" spans="2:2" x14ac:dyDescent="0.25">
      <c r="B7" t="s">
        <v>160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E8B31-3D6B-4AC5-A3E4-EA0F01061507}">
  <sheetPr codeName="Sheet10">
    <tabColor rgb="FF002E6D"/>
  </sheetPr>
  <dimension ref="A34:N39"/>
  <sheetViews>
    <sheetView showGridLines="0" showRowColHeaders="0" workbookViewId="0">
      <selection activeCell="G26" sqref="G26"/>
    </sheetView>
  </sheetViews>
  <sheetFormatPr defaultRowHeight="15" x14ac:dyDescent="0.25"/>
  <sheetData>
    <row r="34" spans="1:14" x14ac:dyDescent="0.25">
      <c r="A34" s="358" t="s">
        <v>78</v>
      </c>
      <c r="B34" s="359"/>
      <c r="C34" s="359"/>
      <c r="D34" s="359"/>
      <c r="E34" s="359"/>
      <c r="F34" s="359"/>
      <c r="G34" s="359"/>
      <c r="H34" s="359"/>
      <c r="I34" s="359"/>
      <c r="J34" s="359"/>
      <c r="K34" s="359"/>
      <c r="L34" s="359"/>
      <c r="M34" s="359"/>
      <c r="N34" s="359"/>
    </row>
    <row r="35" spans="1:14" x14ac:dyDescent="0.25">
      <c r="A35" s="359"/>
      <c r="B35" s="359"/>
      <c r="C35" s="359"/>
      <c r="D35" s="359"/>
      <c r="E35" s="359"/>
      <c r="F35" s="359"/>
      <c r="G35" s="359"/>
      <c r="H35" s="359"/>
      <c r="I35" s="359"/>
      <c r="J35" s="359"/>
      <c r="K35" s="359"/>
      <c r="L35" s="359"/>
      <c r="M35" s="359"/>
      <c r="N35" s="359"/>
    </row>
    <row r="36" spans="1:14" x14ac:dyDescent="0.25">
      <c r="A36" s="359"/>
      <c r="B36" s="359"/>
      <c r="C36" s="359"/>
      <c r="D36" s="359"/>
      <c r="E36" s="359"/>
      <c r="F36" s="359"/>
      <c r="G36" s="359"/>
      <c r="H36" s="359"/>
      <c r="I36" s="359"/>
      <c r="J36" s="359"/>
      <c r="K36" s="359"/>
      <c r="L36" s="359"/>
      <c r="M36" s="359"/>
      <c r="N36" s="359"/>
    </row>
    <row r="37" spans="1:14" x14ac:dyDescent="0.25">
      <c r="A37" s="359"/>
      <c r="B37" s="359"/>
      <c r="C37" s="359"/>
      <c r="D37" s="359"/>
      <c r="E37" s="359"/>
      <c r="F37" s="359"/>
      <c r="G37" s="359"/>
      <c r="H37" s="359"/>
      <c r="I37" s="359"/>
      <c r="J37" s="359"/>
      <c r="K37" s="359"/>
      <c r="L37" s="359"/>
      <c r="M37" s="359"/>
      <c r="N37" s="359"/>
    </row>
    <row r="38" spans="1:14" x14ac:dyDescent="0.25">
      <c r="A38" s="359"/>
      <c r="B38" s="359"/>
      <c r="C38" s="359"/>
      <c r="D38" s="359"/>
      <c r="E38" s="359"/>
      <c r="F38" s="359"/>
      <c r="G38" s="359"/>
      <c r="H38" s="359"/>
      <c r="I38" s="359"/>
      <c r="J38" s="359"/>
      <c r="K38" s="359"/>
      <c r="L38" s="359"/>
      <c r="M38" s="359"/>
      <c r="N38" s="359"/>
    </row>
    <row r="39" spans="1:14" x14ac:dyDescent="0.25">
      <c r="A39" s="359"/>
      <c r="B39" s="359"/>
      <c r="C39" s="359"/>
      <c r="D39" s="359"/>
      <c r="E39" s="359"/>
      <c r="F39" s="359"/>
      <c r="G39" s="359"/>
      <c r="H39" s="359"/>
      <c r="I39" s="359"/>
      <c r="J39" s="359"/>
      <c r="K39" s="359"/>
      <c r="L39" s="359"/>
      <c r="M39" s="359"/>
      <c r="N39" s="359"/>
    </row>
  </sheetData>
  <sheetProtection sheet="1" selectLockedCells="1" selectUnlockedCells="1"/>
  <mergeCells count="1">
    <mergeCell ref="A34:N39"/>
  </mergeCells>
  <printOptions horizontalCentered="1"/>
  <pageMargins left="0.25" right="0.25" top="0.25" bottom="0.2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A7AFD-3AD5-427E-861A-2E3733DA88FC}">
  <sheetPr codeName="Sheet11">
    <tabColor rgb="FF00946E"/>
  </sheetPr>
  <dimension ref="A2:B28"/>
  <sheetViews>
    <sheetView workbookViewId="0">
      <selection activeCell="K35" sqref="K35"/>
    </sheetView>
  </sheetViews>
  <sheetFormatPr defaultRowHeight="15" x14ac:dyDescent="0.25"/>
  <cols>
    <col min="1" max="1" width="6.28515625" customWidth="1"/>
    <col min="2" max="2" width="131.7109375" customWidth="1"/>
  </cols>
  <sheetData>
    <row r="2" spans="1:2" x14ac:dyDescent="0.25">
      <c r="B2" t="s">
        <v>109</v>
      </c>
    </row>
    <row r="3" spans="1:2" x14ac:dyDescent="0.25">
      <c r="A3">
        <v>1</v>
      </c>
      <c r="B3" t="s">
        <v>110</v>
      </c>
    </row>
    <row r="4" spans="1:2" x14ac:dyDescent="0.25">
      <c r="A4">
        <v>2</v>
      </c>
      <c r="B4" t="s">
        <v>111</v>
      </c>
    </row>
    <row r="5" spans="1:2" x14ac:dyDescent="0.25">
      <c r="A5">
        <v>3</v>
      </c>
      <c r="B5" t="s">
        <v>112</v>
      </c>
    </row>
    <row r="6" spans="1:2" x14ac:dyDescent="0.25">
      <c r="A6">
        <v>4</v>
      </c>
      <c r="B6" t="s">
        <v>113</v>
      </c>
    </row>
    <row r="7" spans="1:2" x14ac:dyDescent="0.25">
      <c r="A7">
        <v>5</v>
      </c>
      <c r="B7" t="s">
        <v>114</v>
      </c>
    </row>
    <row r="8" spans="1:2" x14ac:dyDescent="0.25">
      <c r="A8">
        <v>6</v>
      </c>
      <c r="B8" t="s">
        <v>115</v>
      </c>
    </row>
    <row r="9" spans="1:2" x14ac:dyDescent="0.25">
      <c r="A9">
        <v>7</v>
      </c>
      <c r="B9" t="s">
        <v>116</v>
      </c>
    </row>
    <row r="10" spans="1:2" x14ac:dyDescent="0.25">
      <c r="A10">
        <v>8</v>
      </c>
      <c r="B10" t="s">
        <v>117</v>
      </c>
    </row>
    <row r="11" spans="1:2" x14ac:dyDescent="0.25">
      <c r="A11">
        <v>9</v>
      </c>
      <c r="B11" t="s">
        <v>118</v>
      </c>
    </row>
    <row r="12" spans="1:2" x14ac:dyDescent="0.25">
      <c r="A12">
        <v>10</v>
      </c>
      <c r="B12" t="s">
        <v>119</v>
      </c>
    </row>
    <row r="15" spans="1:2" x14ac:dyDescent="0.25">
      <c r="B15" t="s">
        <v>129</v>
      </c>
    </row>
    <row r="16" spans="1:2" x14ac:dyDescent="0.25">
      <c r="B16" t="s">
        <v>134</v>
      </c>
    </row>
    <row r="17" spans="2:2" x14ac:dyDescent="0.25">
      <c r="B17" t="s">
        <v>130</v>
      </c>
    </row>
    <row r="18" spans="2:2" x14ac:dyDescent="0.25">
      <c r="B18" t="s">
        <v>131</v>
      </c>
    </row>
    <row r="19" spans="2:2" x14ac:dyDescent="0.25">
      <c r="B19" t="s">
        <v>132</v>
      </c>
    </row>
    <row r="20" spans="2:2" x14ac:dyDescent="0.25">
      <c r="B20" t="s">
        <v>133</v>
      </c>
    </row>
    <row r="21" spans="2:2" x14ac:dyDescent="0.25">
      <c r="B21" t="s">
        <v>135</v>
      </c>
    </row>
    <row r="24" spans="2:2" x14ac:dyDescent="0.25">
      <c r="B24" t="s">
        <v>136</v>
      </c>
    </row>
    <row r="25" spans="2:2" x14ac:dyDescent="0.25">
      <c r="B25" t="s">
        <v>137</v>
      </c>
    </row>
    <row r="26" spans="2:2" x14ac:dyDescent="0.25">
      <c r="B26" t="s">
        <v>138</v>
      </c>
    </row>
    <row r="27" spans="2:2" x14ac:dyDescent="0.25">
      <c r="B27" t="s">
        <v>142</v>
      </c>
    </row>
    <row r="28" spans="2:2" x14ac:dyDescent="0.25">
      <c r="B28" t="s">
        <v>143</v>
      </c>
    </row>
  </sheetData>
  <sheetProtection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3E05-1F09-48BF-BC37-753DBE7F8ACD}">
  <sheetPr codeName="Sheet4">
    <tabColor rgb="FF00B050"/>
  </sheetPr>
  <dimension ref="A1:K80"/>
  <sheetViews>
    <sheetView workbookViewId="0"/>
  </sheetViews>
  <sheetFormatPr defaultRowHeight="15" x14ac:dyDescent="0.25"/>
  <sheetData>
    <row r="1" spans="1:11" ht="24.75" customHeight="1" x14ac:dyDescent="0.25">
      <c r="A1" s="6"/>
      <c r="B1" s="6"/>
      <c r="C1" s="6"/>
      <c r="D1" s="6"/>
      <c r="E1" s="6"/>
      <c r="F1" s="6"/>
      <c r="G1" s="6"/>
      <c r="H1" s="6"/>
      <c r="I1" s="6"/>
      <c r="J1" s="6"/>
      <c r="K1" s="6"/>
    </row>
    <row r="2" spans="1:11" ht="24.75" customHeight="1" x14ac:dyDescent="0.25">
      <c r="A2" s="6"/>
      <c r="B2" s="6"/>
      <c r="C2" s="6"/>
      <c r="D2" s="6"/>
      <c r="E2" s="6"/>
      <c r="F2" s="6"/>
      <c r="G2" s="6"/>
      <c r="H2" s="6"/>
      <c r="I2" s="6"/>
      <c r="J2" s="6"/>
      <c r="K2" s="6"/>
    </row>
    <row r="80" spans="1:1" x14ac:dyDescent="0.25">
      <c r="A80" s="7"/>
    </row>
  </sheetData>
  <sheetProtection sheet="1" selectLockedCells="1"/>
  <printOptions horizontalCentered="1" verticalCentered="1"/>
  <pageMargins left="0.25" right="0.25" top="0.75" bottom="0.75" header="0.3" footer="0.3"/>
  <pageSetup scale="60" orientation="landscape" r:id="rId1"/>
  <headerFooter scaleWithDoc="0">
    <oddHeader>&amp;L&amp;"Garamond,Regular"&amp;22&amp;A&amp;R&amp;"Garamond,Regular"&amp;22&amp;F</oddHeader>
    <oddFooter>&amp;L&amp;G&amp;R&amp;"Garamond,Regular"&amp;16&amp;D</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C922-7663-461A-8C67-64B41FF69BAA}">
  <sheetPr codeName="Sheet6"/>
  <dimension ref="C3:E19"/>
  <sheetViews>
    <sheetView workbookViewId="0"/>
  </sheetViews>
  <sheetFormatPr defaultColWidth="9" defaultRowHeight="18.75" x14ac:dyDescent="0.3"/>
  <cols>
    <col min="1" max="2" width="9" style="1"/>
    <col min="3" max="4" width="30" style="1" customWidth="1"/>
    <col min="5" max="5" width="17.7109375" style="1" customWidth="1"/>
    <col min="6" max="16384" width="9" style="1"/>
  </cols>
  <sheetData>
    <row r="3" spans="3:5" ht="19.5" thickBot="1" x14ac:dyDescent="0.35"/>
    <row r="4" spans="3:5" ht="19.5" thickBot="1" x14ac:dyDescent="0.35">
      <c r="C4" s="366" t="s">
        <v>10</v>
      </c>
      <c r="D4" s="367"/>
      <c r="E4" s="368"/>
    </row>
    <row r="5" spans="3:5" x14ac:dyDescent="0.3">
      <c r="C5" s="364" t="s">
        <v>0</v>
      </c>
      <c r="D5" s="365"/>
      <c r="E5" s="2" t="e">
        <f>[0]!rent</f>
        <v>#NAME?</v>
      </c>
    </row>
    <row r="6" spans="3:5" x14ac:dyDescent="0.3">
      <c r="C6" s="371" t="s">
        <v>6</v>
      </c>
      <c r="D6" s="372"/>
      <c r="E6" s="3">
        <f>PMT(([0]!Loan_Rate+0.01)/12,360,[0]!Initial_Loan_Amount,0,0)</f>
        <v>-2883.4255634412507</v>
      </c>
    </row>
    <row r="7" spans="3:5" x14ac:dyDescent="0.3">
      <c r="C7" s="371" t="s">
        <v>11</v>
      </c>
      <c r="D7" s="372"/>
      <c r="E7" s="3" t="e">
        <f>-'Advanced Table'!tax/12</f>
        <v>#NAME?</v>
      </c>
    </row>
    <row r="8" spans="3:5" x14ac:dyDescent="0.3">
      <c r="C8" s="373" t="s">
        <v>12</v>
      </c>
      <c r="D8" s="374"/>
      <c r="E8" s="3" t="e">
        <f>-'Advanced Table'!ins/12</f>
        <v>#NAME?</v>
      </c>
    </row>
    <row r="9" spans="3:5" x14ac:dyDescent="0.3">
      <c r="C9" s="371" t="s">
        <v>7</v>
      </c>
      <c r="D9" s="372"/>
      <c r="E9" s="4" t="e">
        <f>-'Advanced Table'!mo_tot_exp</f>
        <v>#NAME?</v>
      </c>
    </row>
    <row r="10" spans="3:5" x14ac:dyDescent="0.3">
      <c r="C10" s="371" t="s">
        <v>8</v>
      </c>
      <c r="D10" s="372"/>
      <c r="E10" s="3" t="e">
        <f>-0.25*[0]!rent</f>
        <v>#NAME?</v>
      </c>
    </row>
    <row r="11" spans="3:5" ht="19.5" thickBot="1" x14ac:dyDescent="0.35">
      <c r="C11" s="369" t="s">
        <v>9</v>
      </c>
      <c r="D11" s="370"/>
      <c r="E11" s="5" t="e">
        <f>SUM(E5:E10)</f>
        <v>#NAME?</v>
      </c>
    </row>
    <row r="13" spans="3:5" x14ac:dyDescent="0.3">
      <c r="C13" s="362" t="s">
        <v>14</v>
      </c>
      <c r="D13" s="363"/>
      <c r="E13" s="363"/>
    </row>
    <row r="14" spans="3:5" x14ac:dyDescent="0.3">
      <c r="C14" s="363"/>
      <c r="D14" s="363"/>
      <c r="E14" s="363"/>
    </row>
    <row r="16" spans="3:5" x14ac:dyDescent="0.3">
      <c r="C16" s="361" t="s">
        <v>15</v>
      </c>
      <c r="D16" s="361"/>
      <c r="E16" s="361"/>
    </row>
    <row r="17" spans="3:5" x14ac:dyDescent="0.3">
      <c r="C17" s="361"/>
      <c r="D17" s="361"/>
      <c r="E17" s="361"/>
    </row>
    <row r="19" spans="3:5" x14ac:dyDescent="0.3">
      <c r="C19" s="360" t="s">
        <v>21</v>
      </c>
      <c r="D19" s="360"/>
      <c r="E19" s="360"/>
    </row>
  </sheetData>
  <sheetProtection sheet="1" objects="1" scenarios="1" selectLockedCells="1"/>
  <mergeCells count="11">
    <mergeCell ref="C19:E19"/>
    <mergeCell ref="C16:E17"/>
    <mergeCell ref="C13:E14"/>
    <mergeCell ref="C5:D5"/>
    <mergeCell ref="C4:E4"/>
    <mergeCell ref="C11:D11"/>
    <mergeCell ref="C10:D10"/>
    <mergeCell ref="C9:D9"/>
    <mergeCell ref="C8:D8"/>
    <mergeCell ref="C7:D7"/>
    <mergeCell ref="C6:D6"/>
  </mergeCells>
  <conditionalFormatting sqref="E11">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A5FF-D3EA-4146-A6D6-31CE69F6DA14}">
  <sheetPr codeName="Sheet3">
    <tabColor rgb="FF002E6D"/>
  </sheetPr>
  <dimension ref="A1"/>
  <sheetViews>
    <sheetView showGridLines="0" showRowColHeaders="0" zoomScale="135" zoomScaleNormal="115" workbookViewId="0">
      <selection activeCell="K35" sqref="K35"/>
    </sheetView>
  </sheetViews>
  <sheetFormatPr defaultRowHeight="15" x14ac:dyDescent="0.25"/>
  <sheetData/>
  <sheetProtection selectLockedCells="1"/>
  <pageMargins left="0.25" right="0.25" top="0.25" bottom="0.25" header="0.25" footer="0.25"/>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3DC1-672A-468C-A182-FF1731025DB3}">
  <sheetPr codeName="Sheet5">
    <tabColor rgb="FF002E6D"/>
  </sheetPr>
  <dimension ref="B6:C36"/>
  <sheetViews>
    <sheetView showGridLines="0" showRowColHeaders="0" topLeftCell="A9" zoomScale="127" zoomScaleNormal="205" workbookViewId="0">
      <selection activeCell="K35" sqref="K35"/>
    </sheetView>
  </sheetViews>
  <sheetFormatPr defaultColWidth="9" defaultRowHeight="15" customHeight="1" x14ac:dyDescent="0.25"/>
  <cols>
    <col min="1" max="1" width="4" style="21" customWidth="1"/>
    <col min="2" max="2" width="23" style="21" customWidth="1"/>
    <col min="3" max="3" width="12.85546875" style="32" customWidth="1"/>
    <col min="4" max="25" width="20.5703125" style="21" customWidth="1"/>
    <col min="26" max="16384" width="9" style="21"/>
  </cols>
  <sheetData>
    <row r="6" spans="2:3" ht="15" customHeight="1" x14ac:dyDescent="0.25">
      <c r="B6" s="233" t="str">
        <f>'Client Dashboard'!B7</f>
        <v>Transaction Details</v>
      </c>
      <c r="C6" s="234"/>
    </row>
    <row r="7" spans="2:3" ht="15" customHeight="1" x14ac:dyDescent="0.25">
      <c r="B7" s="17" t="str">
        <f>'Client Dashboard'!B8</f>
        <v>Sale Price</v>
      </c>
      <c r="C7" s="25">
        <f>Sale_Price</f>
        <v>500000</v>
      </c>
    </row>
    <row r="8" spans="2:3" ht="15" customHeight="1" x14ac:dyDescent="0.25">
      <c r="B8" s="18" t="s">
        <v>64</v>
      </c>
      <c r="C8" s="31">
        <f>Initial_Loan_Amount</f>
        <v>375000</v>
      </c>
    </row>
    <row r="9" spans="2:3" ht="15" customHeight="1" x14ac:dyDescent="0.25">
      <c r="B9" s="18" t="s">
        <v>100</v>
      </c>
      <c r="C9" s="31">
        <f>Down_Payment_Dollars</f>
        <v>125000</v>
      </c>
    </row>
    <row r="10" spans="2:3" ht="15" customHeight="1" x14ac:dyDescent="0.25">
      <c r="B10" s="18" t="str">
        <f>'Client Dashboard'!B15</f>
        <v>Total Closing Costs</v>
      </c>
      <c r="C10" s="26">
        <f>Closing_Costs_Total</f>
        <v>0</v>
      </c>
    </row>
    <row r="11" spans="2:3" ht="15" customHeight="1" x14ac:dyDescent="0.25">
      <c r="B11" s="18" t="str">
        <f>'Client Dashboard'!B16</f>
        <v>Additional Acquisition Costs</v>
      </c>
      <c r="C11" s="26">
        <f>Additional_Acquisition_Costs</f>
        <v>0</v>
      </c>
    </row>
    <row r="12" spans="2:3" ht="15" customHeight="1" x14ac:dyDescent="0.25">
      <c r="B12" s="18" t="str">
        <f>'Client Dashboard'!B11</f>
        <v>Improvement Costs</v>
      </c>
      <c r="C12" s="26">
        <f>Improvement_Costs</f>
        <v>0</v>
      </c>
    </row>
    <row r="13" spans="2:3" ht="15" customHeight="1" x14ac:dyDescent="0.25">
      <c r="B13" s="18" t="str">
        <f>'Client Dashboard'!B12</f>
        <v>Additional Equity</v>
      </c>
      <c r="C13" s="26">
        <f>Additional_Equity</f>
        <v>0</v>
      </c>
    </row>
    <row r="14" spans="2:3" ht="15" customHeight="1" x14ac:dyDescent="0.25">
      <c r="B14" s="102" t="str">
        <f>'Client Dashboard'!B17</f>
        <v>Total Initial Investment</v>
      </c>
      <c r="C14" s="103">
        <f>Total_Initial_Investment</f>
        <v>125000</v>
      </c>
    </row>
    <row r="15" spans="2:3" ht="15" customHeight="1" x14ac:dyDescent="0.25">
      <c r="B15" s="19"/>
      <c r="C15" s="28"/>
    </row>
    <row r="16" spans="2:3" ht="15" customHeight="1" x14ac:dyDescent="0.25">
      <c r="B16" s="233" t="str">
        <f>'Client Dashboard'!V26</f>
        <v>Performance Metrics - Year 5</v>
      </c>
      <c r="C16" s="234"/>
    </row>
    <row r="17" spans="2:3" ht="15" customHeight="1" x14ac:dyDescent="0.25">
      <c r="B17" s="17" t="str">
        <f>'Client Dashboard'!V28</f>
        <v>Equity</v>
      </c>
      <c r="C17" s="29">
        <f>'Client Dashboard'!W28</f>
        <v>319609.68931863178</v>
      </c>
    </row>
    <row r="18" spans="2:3" ht="15" customHeight="1" x14ac:dyDescent="0.25">
      <c r="B18" s="18" t="str">
        <f>'Client Dashboard'!V29</f>
        <v>Accumulated Cash</v>
      </c>
      <c r="C18" s="30">
        <f>'Client Dashboard'!W29</f>
        <v>52110.947953174866</v>
      </c>
    </row>
    <row r="19" spans="2:3" ht="15" customHeight="1" x14ac:dyDescent="0.25">
      <c r="B19" s="104" t="str">
        <f>'Client Dashboard'!V30</f>
        <v>Total Investment Value</v>
      </c>
      <c r="C19" s="105">
        <f>'Client Dashboard'!W30</f>
        <v>371720.63727180666</v>
      </c>
    </row>
    <row r="20" spans="2:3" ht="15" customHeight="1" x14ac:dyDescent="0.25">
      <c r="B20" s="100" t="str">
        <f>'Client Dashboard'!V31</f>
        <v>Annualized Return</v>
      </c>
      <c r="C20" s="101">
        <f>'Client Dashboard'!W31</f>
        <v>0.24354450279266868</v>
      </c>
    </row>
    <row r="21" spans="2:3" ht="15" customHeight="1" x14ac:dyDescent="0.25">
      <c r="B21" s="19"/>
      <c r="C21" s="28"/>
    </row>
    <row r="22" spans="2:3" ht="15" customHeight="1" x14ac:dyDescent="0.25">
      <c r="B22" s="233" t="str">
        <f>'Client Dashboard'!V33</f>
        <v>Performance Metrics - Year 10</v>
      </c>
      <c r="C22" s="234"/>
    </row>
    <row r="23" spans="2:3" ht="15" customHeight="1" x14ac:dyDescent="0.25">
      <c r="B23" s="17" t="str">
        <f>'Client Dashboard'!V35</f>
        <v>Equity</v>
      </c>
      <c r="C23" s="29">
        <f>'Client Dashboard'!W35</f>
        <v>584217.16533016134</v>
      </c>
    </row>
    <row r="24" spans="2:3" ht="15" customHeight="1" x14ac:dyDescent="0.25">
      <c r="B24" s="18" t="str">
        <f>'Client Dashboard'!V36</f>
        <v>Accumulated Cash</v>
      </c>
      <c r="C24" s="30">
        <f>'Client Dashboard'!W36</f>
        <v>150417.11643301806</v>
      </c>
    </row>
    <row r="25" spans="2:3" ht="15" customHeight="1" x14ac:dyDescent="0.25">
      <c r="B25" s="104" t="str">
        <f>'Client Dashboard'!V37</f>
        <v>Total Investment Value</v>
      </c>
      <c r="C25" s="105">
        <f>'Client Dashboard'!W37</f>
        <v>734634.28176317946</v>
      </c>
    </row>
    <row r="26" spans="2:3" ht="15" customHeight="1" x14ac:dyDescent="0.25">
      <c r="B26" s="100" t="str">
        <f>'Client Dashboard'!V38</f>
        <v>Annualized Return</v>
      </c>
      <c r="C26" s="101">
        <f>'Client Dashboard'!W38</f>
        <v>0.1937575127840083</v>
      </c>
    </row>
    <row r="27" spans="2:3" ht="15" customHeight="1" x14ac:dyDescent="0.25">
      <c r="B27" s="19"/>
      <c r="C27" s="28"/>
    </row>
    <row r="28" spans="2:3" ht="15" customHeight="1" x14ac:dyDescent="0.25">
      <c r="B28" s="235" t="str">
        <f>'Client Dashboard'!B40</f>
        <v>Assumptions</v>
      </c>
      <c r="C28" s="236"/>
    </row>
    <row r="29" spans="2:3" ht="15" customHeight="1" x14ac:dyDescent="0.25">
      <c r="B29" s="99" t="str">
        <f>'Client Dashboard'!B22</f>
        <v>Net Income toward Loan?</v>
      </c>
      <c r="C29" s="106" t="str">
        <f>Net_Income_Toward_Loan</f>
        <v>No</v>
      </c>
    </row>
    <row r="30" spans="2:3" ht="15" customHeight="1" x14ac:dyDescent="0.25">
      <c r="B30" s="99" t="str">
        <f>'Client Dashboard'!B35</f>
        <v>Professional Management?</v>
      </c>
      <c r="C30" s="107" t="str">
        <f>Management_Fee_Y_or_N</f>
        <v>No</v>
      </c>
    </row>
    <row r="31" spans="2:3" ht="15" customHeight="1" x14ac:dyDescent="0.25">
      <c r="B31" s="18" t="str">
        <f>'Client Dashboard'!B41</f>
        <v>Annual Appreciation (%)</v>
      </c>
      <c r="C31" s="107">
        <f>Annual_Appreciation_Percentage</f>
        <v>0.06</v>
      </c>
    </row>
    <row r="32" spans="2:3" ht="15" customHeight="1" x14ac:dyDescent="0.25">
      <c r="B32" s="18" t="str">
        <f>'Client Dashboard'!B42</f>
        <v>Annual Inflation (%)</v>
      </c>
      <c r="C32" s="107">
        <f>Annual_Inflation_Percentage</f>
        <v>3.5000000000000003E-2</v>
      </c>
    </row>
    <row r="33" spans="2:3" ht="15" customHeight="1" x14ac:dyDescent="0.25">
      <c r="B33" s="18" t="str">
        <f>'Client Dashboard'!B43</f>
        <v>Annual Rent Increase (%)</v>
      </c>
      <c r="C33" s="107">
        <f>Annual_Rent_Increase_Percentage</f>
        <v>3.5000000000000003E-2</v>
      </c>
    </row>
    <row r="34" spans="2:3" ht="15" customHeight="1" x14ac:dyDescent="0.25">
      <c r="B34" s="18" t="str">
        <f>'Client Dashboard'!B21</f>
        <v>Rent Occupancy (%)</v>
      </c>
      <c r="C34" s="107">
        <f>Rent_Occupancy</f>
        <v>0.96</v>
      </c>
    </row>
    <row r="35" spans="2:3" ht="15" customHeight="1" x14ac:dyDescent="0.25">
      <c r="B35" s="18" t="str">
        <f>'Advanced Table'!F13</f>
        <v>Cash Compounding Rate (%)</v>
      </c>
      <c r="C35" s="107">
        <f>Time_Value_of_Money_Percentage</f>
        <v>0.05</v>
      </c>
    </row>
    <row r="36" spans="2:3" ht="15" customHeight="1" x14ac:dyDescent="0.25">
      <c r="B36" s="108" t="str">
        <f>'Client Dashboard'!B45</f>
        <v>Comparison Rate</v>
      </c>
      <c r="C36" s="109">
        <f>Comparison_Rate_of_Return</f>
        <v>0.1</v>
      </c>
    </row>
  </sheetData>
  <sheetProtection sheet="1" objects="1" scenarios="1" selectLockedCells="1" selectUnlockedCells="1"/>
  <mergeCells count="4">
    <mergeCell ref="B6:C6"/>
    <mergeCell ref="B16:C16"/>
    <mergeCell ref="B22:C22"/>
    <mergeCell ref="B28:C28"/>
  </mergeCells>
  <printOptions horizontalCentered="1"/>
  <pageMargins left="0.25" right="0.25" top="0.25" bottom="0.2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C10C-E7B7-4C08-B0A6-04779AD21353}">
  <sheetPr codeName="Sheet7">
    <tabColor rgb="FF002E6D"/>
  </sheetPr>
  <dimension ref="B7:J35"/>
  <sheetViews>
    <sheetView showGridLines="0" showRowColHeaders="0" zoomScale="127" zoomScaleNormal="115" workbookViewId="0">
      <selection activeCell="K35" sqref="K35"/>
    </sheetView>
  </sheetViews>
  <sheetFormatPr defaultColWidth="9" defaultRowHeight="15" customHeight="1" x14ac:dyDescent="0.25"/>
  <cols>
    <col min="1" max="7" width="4.140625" style="19" customWidth="1"/>
    <col min="8" max="8" width="4.140625" style="28" customWidth="1"/>
    <col min="9" max="37" width="4.140625" style="19" customWidth="1"/>
    <col min="38" max="16384" width="9" style="19"/>
  </cols>
  <sheetData>
    <row r="7" spans="2:10" ht="15" customHeight="1" x14ac:dyDescent="0.25">
      <c r="B7" s="233" t="s">
        <v>108</v>
      </c>
      <c r="C7" s="255"/>
      <c r="D7" s="255"/>
      <c r="E7" s="255"/>
      <c r="F7" s="255"/>
      <c r="G7" s="255"/>
      <c r="H7" s="255"/>
      <c r="I7" s="255"/>
      <c r="J7" s="234"/>
    </row>
    <row r="8" spans="2:10" ht="15" customHeight="1" x14ac:dyDescent="0.25">
      <c r="B8" s="289" t="str">
        <f>'Advanced Table'!F12</f>
        <v>Monthly Rent</v>
      </c>
      <c r="C8" s="290"/>
      <c r="D8" s="290"/>
      <c r="E8" s="290"/>
      <c r="F8" s="290"/>
      <c r="G8" s="290"/>
      <c r="H8" s="249">
        <f>Monthly_Rent</f>
        <v>2900</v>
      </c>
      <c r="I8" s="249"/>
      <c r="J8" s="250"/>
    </row>
    <row r="9" spans="2:10" ht="15" customHeight="1" x14ac:dyDescent="0.25">
      <c r="B9" s="237" t="str">
        <f>'Client Dashboard'!$B$21</f>
        <v>Rent Occupancy (%)</v>
      </c>
      <c r="C9" s="238"/>
      <c r="D9" s="238"/>
      <c r="E9" s="238"/>
      <c r="F9" s="238"/>
      <c r="G9" s="238"/>
      <c r="H9" s="285">
        <f>Rent_Occupancy</f>
        <v>0.96</v>
      </c>
      <c r="I9" s="285"/>
      <c r="J9" s="286"/>
    </row>
    <row r="10" spans="2:10" ht="15" customHeight="1" x14ac:dyDescent="0.25">
      <c r="B10" s="291" t="s">
        <v>68</v>
      </c>
      <c r="C10" s="292"/>
      <c r="D10" s="292"/>
      <c r="E10" s="292"/>
      <c r="F10" s="292"/>
      <c r="G10" s="292"/>
      <c r="H10" s="283">
        <f>H8*H9</f>
        <v>2784</v>
      </c>
      <c r="I10" s="283"/>
      <c r="J10" s="284"/>
    </row>
    <row r="11" spans="2:10" ht="15" customHeight="1" x14ac:dyDescent="0.25">
      <c r="B11" s="237" t="str">
        <f>'Client Dashboard'!$B$22</f>
        <v>Net Income toward Loan?</v>
      </c>
      <c r="C11" s="238"/>
      <c r="D11" s="238"/>
      <c r="E11" s="238"/>
      <c r="F11" s="238"/>
      <c r="G11" s="238"/>
      <c r="H11" s="276" t="str">
        <f>Net_Income_Toward_Loan</f>
        <v>No</v>
      </c>
      <c r="I11" s="276"/>
      <c r="J11" s="277"/>
    </row>
    <row r="12" spans="2:10" ht="15" customHeight="1" x14ac:dyDescent="0.25">
      <c r="B12" s="237" t="s">
        <v>101</v>
      </c>
      <c r="C12" s="238"/>
      <c r="D12" s="238"/>
      <c r="E12" s="238"/>
      <c r="F12" s="238"/>
      <c r="G12" s="238"/>
      <c r="H12" s="241">
        <f>Cap_Rate</f>
        <v>5.4643999999999998E-2</v>
      </c>
      <c r="I12" s="241"/>
      <c r="J12" s="242"/>
    </row>
    <row r="13" spans="2:10" ht="15" customHeight="1" x14ac:dyDescent="0.25">
      <c r="B13" s="239" t="s">
        <v>102</v>
      </c>
      <c r="C13" s="240"/>
      <c r="D13" s="240"/>
      <c r="E13" s="240"/>
      <c r="F13" s="240"/>
      <c r="G13" s="240"/>
      <c r="H13" s="243">
        <f>Cash_on_Cash_Return</f>
        <v>-2.2005223079000512E-2</v>
      </c>
      <c r="I13" s="243"/>
      <c r="J13" s="244"/>
    </row>
    <row r="14" spans="2:10" ht="15" customHeight="1" x14ac:dyDescent="0.25">
      <c r="H14" s="27"/>
    </row>
    <row r="15" spans="2:10" ht="15" customHeight="1" x14ac:dyDescent="0.25">
      <c r="B15" s="233" t="s">
        <v>49</v>
      </c>
      <c r="C15" s="255"/>
      <c r="D15" s="255"/>
      <c r="E15" s="255"/>
      <c r="F15" s="255"/>
      <c r="G15" s="255"/>
      <c r="H15" s="255"/>
      <c r="I15" s="255"/>
      <c r="J15" s="234"/>
    </row>
    <row r="16" spans="2:10" ht="15" customHeight="1" x14ac:dyDescent="0.25">
      <c r="B16" s="245" t="s">
        <v>61</v>
      </c>
      <c r="C16" s="246"/>
      <c r="D16" s="246"/>
      <c r="E16" s="246"/>
      <c r="F16" s="246"/>
      <c r="G16" s="246"/>
      <c r="H16" s="249"/>
      <c r="I16" s="249"/>
      <c r="J16" s="250"/>
    </row>
    <row r="17" spans="2:10" ht="15" customHeight="1" x14ac:dyDescent="0.25">
      <c r="B17" s="237" t="str">
        <f>'Advanced Table'!J12</f>
        <v>Loan Rate</v>
      </c>
      <c r="C17" s="238"/>
      <c r="D17" s="238"/>
      <c r="E17" s="238"/>
      <c r="F17" s="238"/>
      <c r="G17" s="238"/>
      <c r="H17" s="247">
        <f>IF(Initial_Loan_Amount&gt;0,Loan_Rate,"N/A")</f>
        <v>7.4999999999999997E-2</v>
      </c>
      <c r="I17" s="247"/>
      <c r="J17" s="248"/>
    </row>
    <row r="18" spans="2:10" ht="15" customHeight="1" x14ac:dyDescent="0.25">
      <c r="B18" s="237" t="str">
        <f>'Advanced Table'!J13</f>
        <v>APR</v>
      </c>
      <c r="C18" s="238"/>
      <c r="D18" s="238"/>
      <c r="E18" s="238"/>
      <c r="F18" s="238"/>
      <c r="G18" s="238"/>
      <c r="H18" s="295">
        <f>APR</f>
        <v>7.4999999999999886E-2</v>
      </c>
      <c r="I18" s="295"/>
      <c r="J18" s="296"/>
    </row>
    <row r="19" spans="2:10" ht="15" customHeight="1" x14ac:dyDescent="0.25">
      <c r="B19" s="237" t="str">
        <f>'Advanced Table'!J14</f>
        <v>Loan Term (yrs)</v>
      </c>
      <c r="C19" s="238"/>
      <c r="D19" s="238"/>
      <c r="E19" s="238"/>
      <c r="F19" s="238"/>
      <c r="G19" s="238"/>
      <c r="H19" s="293">
        <f>Loan_Term</f>
        <v>30</v>
      </c>
      <c r="I19" s="293"/>
      <c r="J19" s="294"/>
    </row>
    <row r="20" spans="2:10" ht="15" customHeight="1" x14ac:dyDescent="0.25">
      <c r="B20" s="237" t="str">
        <f>'Advanced Table'!M12</f>
        <v>P&amp;I Payment</v>
      </c>
      <c r="C20" s="238"/>
      <c r="D20" s="238"/>
      <c r="E20" s="238"/>
      <c r="F20" s="238"/>
      <c r="G20" s="238"/>
      <c r="H20" s="276">
        <f>PI_Payment</f>
        <v>2622.054407072922</v>
      </c>
      <c r="I20" s="276"/>
      <c r="J20" s="277"/>
    </row>
    <row r="21" spans="2:10" ht="15" customHeight="1" x14ac:dyDescent="0.25">
      <c r="B21" s="237" t="s">
        <v>60</v>
      </c>
      <c r="C21" s="238"/>
      <c r="D21" s="238"/>
      <c r="E21" s="238"/>
      <c r="F21" s="238"/>
      <c r="G21" s="238"/>
      <c r="H21" s="256">
        <f>(Annual_Property_Tax+Annual_Insurance)/12</f>
        <v>340.5</v>
      </c>
      <c r="I21" s="256"/>
      <c r="J21" s="257"/>
    </row>
    <row r="22" spans="2:10" ht="15" customHeight="1" x14ac:dyDescent="0.25">
      <c r="B22" s="287" t="s">
        <v>96</v>
      </c>
      <c r="C22" s="288"/>
      <c r="D22" s="288"/>
      <c r="E22" s="288"/>
      <c r="F22" s="288"/>
      <c r="G22" s="288"/>
      <c r="H22" s="281">
        <f>H20+H21</f>
        <v>2962.554407072922</v>
      </c>
      <c r="I22" s="281"/>
      <c r="J22" s="282"/>
    </row>
    <row r="23" spans="2:10" ht="15" customHeight="1" x14ac:dyDescent="0.25">
      <c r="B23" s="278" t="s">
        <v>62</v>
      </c>
      <c r="C23" s="279"/>
      <c r="D23" s="279"/>
      <c r="E23" s="279"/>
      <c r="F23" s="279"/>
      <c r="G23" s="279"/>
      <c r="H23" s="279"/>
      <c r="I23" s="279"/>
      <c r="J23" s="280"/>
    </row>
    <row r="24" spans="2:10" ht="15" customHeight="1" x14ac:dyDescent="0.25">
      <c r="B24" s="237" t="str">
        <f>'Advanced Table'!M15</f>
        <v>HOA</v>
      </c>
      <c r="C24" s="238"/>
      <c r="D24" s="238"/>
      <c r="E24" s="238"/>
      <c r="F24" s="238"/>
      <c r="G24" s="238"/>
      <c r="H24" s="276">
        <f>Monthly_HOA</f>
        <v>0</v>
      </c>
      <c r="I24" s="276"/>
      <c r="J24" s="277"/>
    </row>
    <row r="25" spans="2:10" ht="15" customHeight="1" x14ac:dyDescent="0.25">
      <c r="B25" s="237" t="str">
        <f>'Advanced Table'!J15</f>
        <v>Monthly Utilities</v>
      </c>
      <c r="C25" s="238"/>
      <c r="D25" s="238"/>
      <c r="E25" s="238"/>
      <c r="F25" s="238"/>
      <c r="G25" s="238"/>
      <c r="H25" s="276">
        <f>Monthly_Utilities</f>
        <v>0</v>
      </c>
      <c r="I25" s="276"/>
      <c r="J25" s="277"/>
    </row>
    <row r="26" spans="2:10" ht="15" customHeight="1" x14ac:dyDescent="0.25">
      <c r="B26" s="237" t="str">
        <f>'Advanced Table'!M13</f>
        <v>Total Monthly Mgmt Fee</v>
      </c>
      <c r="C26" s="238"/>
      <c r="D26" s="238"/>
      <c r="E26" s="238"/>
      <c r="F26" s="238"/>
      <c r="G26" s="238"/>
      <c r="H26" s="276">
        <f>Total_Monthly_Mgmt_Fee</f>
        <v>0</v>
      </c>
      <c r="I26" s="276"/>
      <c r="J26" s="277"/>
    </row>
    <row r="27" spans="2:10" ht="15" customHeight="1" x14ac:dyDescent="0.25">
      <c r="B27" s="237" t="s">
        <v>107</v>
      </c>
      <c r="C27" s="238"/>
      <c r="D27" s="238"/>
      <c r="E27" s="238"/>
      <c r="F27" s="238"/>
      <c r="G27" s="238"/>
      <c r="H27" s="256">
        <f>Other_Fixed_Monthly_Cost</f>
        <v>0</v>
      </c>
      <c r="I27" s="256"/>
      <c r="J27" s="257"/>
    </row>
    <row r="28" spans="2:10" ht="15" customHeight="1" x14ac:dyDescent="0.25">
      <c r="B28" s="287" t="s">
        <v>63</v>
      </c>
      <c r="C28" s="288"/>
      <c r="D28" s="288"/>
      <c r="E28" s="288"/>
      <c r="F28" s="288"/>
      <c r="G28" s="288"/>
      <c r="H28" s="274">
        <f>SUM(H24:H27)</f>
        <v>0</v>
      </c>
      <c r="I28" s="274"/>
      <c r="J28" s="275"/>
    </row>
    <row r="29" spans="2:10" ht="15" customHeight="1" x14ac:dyDescent="0.25">
      <c r="B29" s="291" t="s">
        <v>67</v>
      </c>
      <c r="C29" s="292"/>
      <c r="D29" s="292"/>
      <c r="E29" s="292"/>
      <c r="F29" s="292"/>
      <c r="G29" s="292"/>
      <c r="H29" s="272">
        <f>SUM(H22,H28)</f>
        <v>2962.554407072922</v>
      </c>
      <c r="I29" s="272"/>
      <c r="J29" s="273"/>
    </row>
    <row r="31" spans="2:10" ht="15" customHeight="1" x14ac:dyDescent="0.25">
      <c r="B31" s="94"/>
      <c r="C31" s="95"/>
      <c r="D31" s="254" t="s">
        <v>56</v>
      </c>
      <c r="E31" s="254"/>
      <c r="F31" s="254"/>
      <c r="G31" s="255" t="s">
        <v>105</v>
      </c>
      <c r="H31" s="255"/>
      <c r="I31" s="255"/>
      <c r="J31" s="234"/>
    </row>
    <row r="32" spans="2:10" ht="15" customHeight="1" x14ac:dyDescent="0.25">
      <c r="B32" s="17" t="s">
        <v>53</v>
      </c>
      <c r="C32" s="96"/>
      <c r="D32" s="251">
        <f>'Advanced Table'!O27-'Advanced Table'!F27</f>
        <v>2443.5</v>
      </c>
      <c r="E32" s="252"/>
      <c r="F32" s="253"/>
      <c r="G32" s="264">
        <f>'Advanced Table'!F27</f>
        <v>-166.66666666666666</v>
      </c>
      <c r="H32" s="264"/>
      <c r="I32" s="264"/>
      <c r="J32" s="265"/>
    </row>
    <row r="33" spans="2:10" ht="15" customHeight="1" x14ac:dyDescent="0.25">
      <c r="B33" s="18" t="s">
        <v>54</v>
      </c>
      <c r="D33" s="269">
        <f>'Advanced Table'!O147-'Advanced Table'!F147</f>
        <v>3330.2396826837776</v>
      </c>
      <c r="E33" s="270"/>
      <c r="F33" s="271"/>
      <c r="G33" s="262">
        <f>'Advanced Table'!F147</f>
        <v>-227.14955887618697</v>
      </c>
      <c r="H33" s="262"/>
      <c r="I33" s="262"/>
      <c r="J33" s="263"/>
    </row>
    <row r="34" spans="2:10" ht="15" customHeight="1" x14ac:dyDescent="0.25">
      <c r="B34" s="22" t="s">
        <v>55</v>
      </c>
      <c r="C34" s="24"/>
      <c r="D34" s="269">
        <f>'Advanced Table'!O267-'Advanced Table'!F267</f>
        <v>4697.6319689650118</v>
      </c>
      <c r="E34" s="270"/>
      <c r="F34" s="271"/>
      <c r="G34" s="260">
        <f>'Advanced Table'!F267</f>
        <v>-320.41688622638367</v>
      </c>
      <c r="H34" s="260"/>
      <c r="I34" s="260"/>
      <c r="J34" s="261"/>
    </row>
    <row r="35" spans="2:10" ht="15" customHeight="1" x14ac:dyDescent="0.25">
      <c r="B35" s="20" t="s">
        <v>66</v>
      </c>
      <c r="C35" s="97"/>
      <c r="D35" s="266">
        <f>'Advanced Table'!O387-'Advanced Table'!F387</f>
        <v>6626.4738332762026</v>
      </c>
      <c r="E35" s="267"/>
      <c r="F35" s="268"/>
      <c r="G35" s="258">
        <f>'Advanced Table'!F387</f>
        <v>-451.97966259301552</v>
      </c>
      <c r="H35" s="258"/>
      <c r="I35" s="258"/>
      <c r="J35" s="259"/>
    </row>
  </sheetData>
  <sheetProtection selectLockedCells="1" selectUnlockedCells="1"/>
  <mergeCells count="51">
    <mergeCell ref="B8:G8"/>
    <mergeCell ref="B29:G29"/>
    <mergeCell ref="B28:G28"/>
    <mergeCell ref="B26:G26"/>
    <mergeCell ref="B25:G25"/>
    <mergeCell ref="B24:G24"/>
    <mergeCell ref="B27:G27"/>
    <mergeCell ref="B19:G19"/>
    <mergeCell ref="B11:G11"/>
    <mergeCell ref="B10:G10"/>
    <mergeCell ref="B9:G9"/>
    <mergeCell ref="B15:J15"/>
    <mergeCell ref="B18:G18"/>
    <mergeCell ref="B17:G17"/>
    <mergeCell ref="H19:J19"/>
    <mergeCell ref="H18:J18"/>
    <mergeCell ref="B7:J7"/>
    <mergeCell ref="H29:J29"/>
    <mergeCell ref="H28:J28"/>
    <mergeCell ref="H26:J26"/>
    <mergeCell ref="H25:J25"/>
    <mergeCell ref="H24:J24"/>
    <mergeCell ref="B23:J23"/>
    <mergeCell ref="H22:J22"/>
    <mergeCell ref="H21:J21"/>
    <mergeCell ref="H20:J20"/>
    <mergeCell ref="H11:J11"/>
    <mergeCell ref="H10:J10"/>
    <mergeCell ref="H9:J9"/>
    <mergeCell ref="H8:J8"/>
    <mergeCell ref="B22:G22"/>
    <mergeCell ref="B21:G21"/>
    <mergeCell ref="G35:J35"/>
    <mergeCell ref="G34:J34"/>
    <mergeCell ref="G33:J33"/>
    <mergeCell ref="G32:J32"/>
    <mergeCell ref="D35:F35"/>
    <mergeCell ref="D34:F34"/>
    <mergeCell ref="D33:F33"/>
    <mergeCell ref="H17:J17"/>
    <mergeCell ref="H16:J16"/>
    <mergeCell ref="D32:F32"/>
    <mergeCell ref="D31:F31"/>
    <mergeCell ref="G31:J31"/>
    <mergeCell ref="B20:G20"/>
    <mergeCell ref="H27:J27"/>
    <mergeCell ref="B12:G12"/>
    <mergeCell ref="B13:G13"/>
    <mergeCell ref="H12:J12"/>
    <mergeCell ref="H13:J13"/>
    <mergeCell ref="B16:G16"/>
  </mergeCells>
  <printOptions horizontalCentered="1"/>
  <pageMargins left="0.25" right="0.25" top="0.25" bottom="0.2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2256-C71A-41E0-AE89-54B0CD100074}">
  <sheetPr codeName="Sheet9">
    <tabColor rgb="FF172C51"/>
  </sheetPr>
  <dimension ref="A6:AE43"/>
  <sheetViews>
    <sheetView showGridLines="0" zoomScale="115" zoomScaleNormal="115" workbookViewId="0">
      <selection activeCell="O11" sqref="O11"/>
    </sheetView>
  </sheetViews>
  <sheetFormatPr defaultColWidth="9" defaultRowHeight="15" customHeight="1" outlineLevelCol="1" x14ac:dyDescent="0.25"/>
  <cols>
    <col min="1" max="1" width="5.140625" style="59" customWidth="1"/>
    <col min="2" max="2" width="9.5703125" style="59" customWidth="1"/>
    <col min="3" max="3" width="9" style="59" customWidth="1"/>
    <col min="4" max="4" width="8.5703125" style="59" customWidth="1"/>
    <col min="5" max="5" width="9" style="59" customWidth="1"/>
    <col min="6" max="6" width="8.5703125" style="59" customWidth="1"/>
    <col min="7" max="7" width="9.7109375" style="59" bestFit="1" customWidth="1"/>
    <col min="8" max="8" width="9.5703125" style="59" customWidth="1"/>
    <col min="9" max="9" width="8.5703125" style="59" customWidth="1"/>
    <col min="10" max="10" width="9" style="59" customWidth="1"/>
    <col min="11" max="11" width="9.7109375" style="59" customWidth="1"/>
    <col min="12" max="12" width="9.5703125" style="59" customWidth="1"/>
    <col min="13" max="13" width="9" style="59" customWidth="1"/>
    <col min="14" max="14" width="10" style="59" customWidth="1"/>
    <col min="15" max="15" width="9" style="59" customWidth="1"/>
    <col min="16" max="19" width="9" style="59" hidden="1" customWidth="1" outlineLevel="1"/>
    <col min="20" max="20" width="12.28515625" style="66" hidden="1" customWidth="1" outlineLevel="1"/>
    <col min="21" max="21" width="12.140625" style="59" hidden="1" customWidth="1" outlineLevel="1"/>
    <col min="22" max="22" width="9" style="59" hidden="1" customWidth="1" outlineLevel="1"/>
    <col min="23" max="23" width="10.5703125" style="59" customWidth="1" collapsed="1"/>
    <col min="24" max="28" width="10.5703125" style="59" customWidth="1"/>
    <col min="29" max="31" width="10.5703125" style="60" customWidth="1"/>
    <col min="32" max="34" width="10.5703125" style="59" customWidth="1"/>
    <col min="35" max="35" width="6.7109375" style="59" customWidth="1"/>
    <col min="36" max="36" width="13.7109375" style="59" customWidth="1"/>
    <col min="37" max="16384" width="9" style="59"/>
  </cols>
  <sheetData>
    <row r="6" spans="1:31" ht="15" customHeight="1" x14ac:dyDescent="0.25">
      <c r="I6" s="61"/>
      <c r="J6" s="61"/>
      <c r="AB6" s="62"/>
    </row>
    <row r="7" spans="1:31" s="58" customFormat="1" ht="50.25" customHeight="1" x14ac:dyDescent="0.25">
      <c r="A7" s="52" t="str">
        <f>'Advanced Table'!B26</f>
        <v>EOY</v>
      </c>
      <c r="B7" s="52" t="str">
        <f>'Advanced Table'!C26</f>
        <v>Home Value</v>
      </c>
      <c r="C7" s="52" t="str">
        <f>'Advanced Table'!D26</f>
        <v>Monthly Rent
(adj. for occpncy)</v>
      </c>
      <c r="D7" s="52" t="str">
        <f>'Advanced Table'!E26</f>
        <v>Monthly Owner Expenses</v>
      </c>
      <c r="E7" s="53" t="str">
        <f>'Advanced Table'!K26</f>
        <v>Monthly P&amp;I</v>
      </c>
      <c r="F7" s="52" t="str">
        <f>'Advanced Table'!O26</f>
        <v>NOI</v>
      </c>
      <c r="G7" s="54" t="str">
        <f>'Advanced Table'!P26</f>
        <v>Loan Value</v>
      </c>
      <c r="H7" s="55" t="str">
        <f>'Advanced Table'!Q26</f>
        <v>Equity</v>
      </c>
      <c r="I7" s="52" t="str">
        <f>'Advanced Table'!R26</f>
        <v>Free Cash/Mo</v>
      </c>
      <c r="J7" s="52" t="str">
        <f>'Advanced Table'!S26</f>
        <v>Est. Tax Savings</v>
      </c>
      <c r="K7" s="52" t="str">
        <f>'Advanced Table'!T26</f>
        <v>Accum'd Cash w/ TVM</v>
      </c>
      <c r="L7" s="52" t="str">
        <f>'Advanced Table'!U26</f>
        <v>Total Investment Value</v>
      </c>
      <c r="M7" s="52" t="str">
        <f>'Advanced Table'!V26</f>
        <v>Annual
Increase in
Wealth</v>
      </c>
      <c r="N7" s="52" t="str">
        <f>'Advanced Table'!W26</f>
        <v>Annualized Return</v>
      </c>
      <c r="O7" s="52" t="str">
        <f>'Advanced Table'!X26</f>
        <v>Return on Equity (ROE)</v>
      </c>
      <c r="P7" s="52" t="str">
        <f>'Advanced Table'!Y26</f>
        <v>Estimated Annual Tax Deduction</v>
      </c>
      <c r="Q7" s="53" t="str">
        <f>'Advanced Table'!Z26</f>
        <v>Total P &amp; I &amp; CF / Month</v>
      </c>
      <c r="R7" s="52" t="str">
        <f>'Advanced Table'!AA26</f>
        <v>End of Month</v>
      </c>
      <c r="S7" s="53" t="str">
        <f>'Advanced Table'!AB26</f>
        <v>Monthly Interest</v>
      </c>
      <c r="T7" s="53" t="str">
        <f>'Advanced Table'!AC26</f>
        <v>Annual Interest</v>
      </c>
      <c r="U7" s="52" t="str">
        <f>'Advanced Table'!AD26</f>
        <v>Monthly Increase in Wealth</v>
      </c>
      <c r="V7" s="203" t="str">
        <f>'Advanced Table'!AE26</f>
        <v>Gross Annual Income</v>
      </c>
      <c r="W7" s="56"/>
      <c r="X7" s="57"/>
      <c r="Y7" s="57"/>
      <c r="Z7" s="57"/>
    </row>
    <row r="8" spans="1:31" ht="13.5" customHeight="1" x14ac:dyDescent="0.25">
      <c r="A8" s="69">
        <f>'Advanced Table'!B27</f>
        <v>0</v>
      </c>
      <c r="B8" s="70">
        <f>'Advanced Table'!C27</f>
        <v>500000</v>
      </c>
      <c r="C8" s="70">
        <f>'Advanced Table'!D27</f>
        <v>2784</v>
      </c>
      <c r="D8" s="70">
        <f>'Advanced Table'!E27</f>
        <v>-340.5</v>
      </c>
      <c r="E8" s="70">
        <f>'Advanced Table'!K27</f>
        <v>-2622.054407072922</v>
      </c>
      <c r="F8" s="70">
        <f>'Advanced Table'!O27</f>
        <v>2276.8333333333335</v>
      </c>
      <c r="G8" s="70">
        <f>'Advanced Table'!P27</f>
        <v>375000</v>
      </c>
      <c r="H8" s="70">
        <f>'Advanced Table'!Q27</f>
        <v>125000</v>
      </c>
      <c r="I8" s="70">
        <f>'Advanced Table'!R27</f>
        <v>-229.22107373958866</v>
      </c>
      <c r="J8" s="70">
        <v>0</v>
      </c>
      <c r="K8" s="70">
        <f>'Advanced Table'!T27</f>
        <v>0</v>
      </c>
      <c r="L8" s="70">
        <f>'Advanced Table'!U27</f>
        <v>125000</v>
      </c>
      <c r="M8" s="70" t="str">
        <f>'Advanced Table'!V27</f>
        <v>N/A</v>
      </c>
      <c r="N8" s="70" t="str">
        <f>'Advanced Table'!W27</f>
        <v>N/A</v>
      </c>
      <c r="O8" s="71" t="str">
        <f>'Advanced Table'!X27</f>
        <v>N/A</v>
      </c>
      <c r="P8" s="204" t="str">
        <f>'Advanced Table'!Y27</f>
        <v>N/A</v>
      </c>
      <c r="Q8" s="205">
        <f>'Advanced Table'!Z27</f>
        <v>2622.054407072922</v>
      </c>
      <c r="R8" s="206">
        <f>'Advanced Table'!AA27</f>
        <v>0</v>
      </c>
      <c r="S8" s="207">
        <f>'Advanced Table'!AB27</f>
        <v>-2343.75</v>
      </c>
      <c r="T8" s="207" t="str">
        <f>'Advanced Table'!AC27</f>
        <v>N/A</v>
      </c>
      <c r="U8" s="207" t="str">
        <f>'Advanced Table'!AD27</f>
        <v>N/A</v>
      </c>
      <c r="V8" s="204" t="str">
        <f>'Advanced Table'!AE27</f>
        <v>N/A</v>
      </c>
      <c r="W8" s="62"/>
      <c r="X8" s="60"/>
      <c r="Y8" s="60"/>
      <c r="Z8" s="60"/>
      <c r="AC8" s="59"/>
      <c r="AD8" s="59"/>
      <c r="AE8" s="59"/>
    </row>
    <row r="9" spans="1:31" ht="13.5" customHeight="1" x14ac:dyDescent="0.25">
      <c r="A9" s="72">
        <f>'Advanced Table'!B39</f>
        <v>1</v>
      </c>
      <c r="B9" s="67">
        <f>'Advanced Table'!C39</f>
        <v>530838.90593224915</v>
      </c>
      <c r="C9" s="67">
        <f>'Advanced Table'!D39</f>
        <v>2784</v>
      </c>
      <c r="D9" s="67">
        <f>'Advanced Table'!E39</f>
        <v>-340.5</v>
      </c>
      <c r="E9" s="67">
        <f>'Advanced Table'!K39</f>
        <v>-2622.054407072922</v>
      </c>
      <c r="F9" s="67">
        <f>'Advanced Table'!O39</f>
        <v>2276.8333333333335</v>
      </c>
      <c r="G9" s="67">
        <f>'Advanced Table'!P39</f>
        <v>371543.12089693488</v>
      </c>
      <c r="H9" s="67">
        <f>'Advanced Table'!Q39</f>
        <v>159295.78503531427</v>
      </c>
      <c r="I9" s="67">
        <f>'Advanced Table'!R39</f>
        <v>-229.22107373958866</v>
      </c>
      <c r="J9" s="67">
        <f>'Advanced Table'!S39</f>
        <v>10260.630231998171</v>
      </c>
      <c r="K9" s="67">
        <f>'Advanced Table'!T39</f>
        <v>7446.0577919167154</v>
      </c>
      <c r="L9" s="67">
        <f>'Advanced Table'!U39</f>
        <v>166741.84282723098</v>
      </c>
      <c r="M9" s="67">
        <f>'Advanced Table'!V39</f>
        <v>41741.842827230983</v>
      </c>
      <c r="N9" s="210">
        <f>'Advanced Table'!W39</f>
        <v>0.33393474261784784</v>
      </c>
      <c r="O9" s="169">
        <f>'Advanced Table'!X39</f>
        <v>0.33393474261784789</v>
      </c>
      <c r="P9" s="208">
        <f>'Advanced Table'!Y39</f>
        <v>46639.228327264413</v>
      </c>
      <c r="Q9" s="208">
        <f>'Advanced Table'!Z39</f>
        <v>2622.054407072922</v>
      </c>
      <c r="R9" s="59">
        <f>'Advanced Table'!AA39</f>
        <v>12</v>
      </c>
      <c r="S9" s="64">
        <f>'Advanced Table'!AB39</f>
        <v>-2324.0073000248931</v>
      </c>
      <c r="T9" s="64">
        <f>'Advanced Table'!AC39</f>
        <v>-28007.773781809872</v>
      </c>
      <c r="U9" s="65">
        <f>'Advanced Table'!AD39</f>
        <v>12959.718248028599</v>
      </c>
      <c r="V9" s="66">
        <f>'Advanced Table'!AE39</f>
        <v>33408</v>
      </c>
      <c r="X9" s="60"/>
      <c r="Y9" s="60"/>
      <c r="Z9" s="60"/>
      <c r="AC9" s="59"/>
      <c r="AD9" s="59"/>
      <c r="AE9" s="59"/>
    </row>
    <row r="10" spans="1:31" ht="13.5" customHeight="1" x14ac:dyDescent="0.25">
      <c r="A10" s="72">
        <f>'Advanced Table'!B51</f>
        <v>2</v>
      </c>
      <c r="B10" s="67">
        <f>'Advanced Table'!C51</f>
        <v>563579.88810269441</v>
      </c>
      <c r="C10" s="67">
        <f>'Advanced Table'!D51</f>
        <v>2881.4399999999996</v>
      </c>
      <c r="D10" s="67">
        <f>'Advanced Table'!E51</f>
        <v>-352.41749999999996</v>
      </c>
      <c r="E10" s="67">
        <f>'Advanced Table'!K51</f>
        <v>-2622.054407072922</v>
      </c>
      <c r="F10" s="67">
        <f>'Advanced Table'!O51</f>
        <v>2356.5224999999996</v>
      </c>
      <c r="G10" s="67">
        <f>'Advanced Table'!P51</f>
        <v>367817.87528516771</v>
      </c>
      <c r="H10" s="67">
        <f>'Advanced Table'!Q51</f>
        <v>195762.0128175267</v>
      </c>
      <c r="I10" s="67">
        <f>'Advanced Table'!R51</f>
        <v>-145.47190707292245</v>
      </c>
      <c r="J10" s="67">
        <f>'Advanced Table'!S51</f>
        <v>10233.051800083722</v>
      </c>
      <c r="K10" s="67">
        <f>'Advanced Table'!T51</f>
        <v>16273.835515333762</v>
      </c>
      <c r="L10" s="67">
        <f>'Advanced Table'!U51</f>
        <v>212035.84833286045</v>
      </c>
      <c r="M10" s="67">
        <f>'Advanced Table'!V51</f>
        <v>45294.005505629466</v>
      </c>
      <c r="N10" s="200">
        <f>'Advanced Table'!W51</f>
        <v>0.30241575031278201</v>
      </c>
      <c r="O10" s="169">
        <f>'Advanced Table'!X51</f>
        <v>0.27164150724039138</v>
      </c>
      <c r="P10" s="208">
        <f>'Advanced Table'!Y51</f>
        <v>46513.871818562373</v>
      </c>
      <c r="Q10" s="208">
        <f>'Advanced Table'!Z51</f>
        <v>2622.054407072922</v>
      </c>
      <c r="R10" s="59">
        <f>'Advanced Table'!AA51</f>
        <v>24</v>
      </c>
      <c r="S10" s="64">
        <f>'Advanced Table'!AB51</f>
        <v>-2300.8691285232335</v>
      </c>
      <c r="T10" s="64">
        <f>'Advanced Table'!AC51</f>
        <v>-27739.407273107827</v>
      </c>
      <c r="U10" s="65">
        <f>'Advanced Table'!AD51</f>
        <v>13238.314322338381</v>
      </c>
      <c r="V10" s="66">
        <f>'Advanced Table'!AE51</f>
        <v>34577.279999999999</v>
      </c>
      <c r="AC10" s="59"/>
      <c r="AD10" s="59"/>
      <c r="AE10" s="59"/>
    </row>
    <row r="11" spans="1:31" ht="13.5" customHeight="1" x14ac:dyDescent="0.25">
      <c r="A11" s="72">
        <f>'Advanced Table'!B63</f>
        <v>3</v>
      </c>
      <c r="B11" s="67">
        <f>'Advanced Table'!C63</f>
        <v>598340.26241170755</v>
      </c>
      <c r="C11" s="67">
        <f>'Advanced Table'!D63</f>
        <v>2982.2903999999994</v>
      </c>
      <c r="D11" s="67">
        <f>'Advanced Table'!E63</f>
        <v>-364.75211249999995</v>
      </c>
      <c r="E11" s="67">
        <f>'Advanced Table'!K63</f>
        <v>-2622.054407072922</v>
      </c>
      <c r="F11" s="67">
        <f>'Advanced Table'!O63</f>
        <v>2439.0007874999997</v>
      </c>
      <c r="G11" s="67">
        <f>'Advanced Table'!P63</f>
        <v>363803.42917518201</v>
      </c>
      <c r="H11" s="67">
        <f>'Advanced Table'!Q63</f>
        <v>234536.83323652553</v>
      </c>
      <c r="I11" s="67">
        <f>'Advanced Table'!R63</f>
        <v>-58.791519572922482</v>
      </c>
      <c r="J11" s="67">
        <f>'Advanced Table'!S63</f>
        <v>10201.99106747565</v>
      </c>
      <c r="K11" s="67">
        <f>'Advanced Table'!T63</f>
        <v>26586.53432062062</v>
      </c>
      <c r="L11" s="67">
        <f>'Advanced Table'!U63</f>
        <v>261123.36755714615</v>
      </c>
      <c r="M11" s="67">
        <f>'Advanced Table'!V63</f>
        <v>49087.519224285701</v>
      </c>
      <c r="N11" s="200">
        <f>'Advanced Table'!W63</f>
        <v>0.27833665381925404</v>
      </c>
      <c r="O11" s="169">
        <f>'Advanced Table'!X63</f>
        <v>0.23150575532504575</v>
      </c>
      <c r="P11" s="208">
        <f>'Advanced Table'!Y63</f>
        <v>46372.686670343865</v>
      </c>
      <c r="Q11" s="208">
        <f>'Advanced Table'!Z63</f>
        <v>2622.054407072922</v>
      </c>
      <c r="R11" s="59">
        <f>'Advanced Table'!AA63</f>
        <v>36</v>
      </c>
      <c r="S11" s="64">
        <f>'Advanced Table'!AB63</f>
        <v>-2275.9346806351236</v>
      </c>
      <c r="T11" s="64">
        <f>'Advanced Table'!AC63</f>
        <v>-27450.206774889317</v>
      </c>
      <c r="U11" s="65">
        <f>'Advanced Table'!AD63</f>
        <v>13534.366105135443</v>
      </c>
      <c r="V11" s="66">
        <f>'Advanced Table'!AE63</f>
        <v>35787.484799999991</v>
      </c>
      <c r="X11" s="60"/>
      <c r="Y11" s="60"/>
      <c r="Z11" s="60"/>
      <c r="AC11" s="59"/>
      <c r="AD11" s="59"/>
      <c r="AE11" s="59"/>
    </row>
    <row r="12" spans="1:31" ht="13.5" customHeight="1" x14ac:dyDescent="0.25">
      <c r="A12" s="72">
        <f>'Advanced Table'!B75</f>
        <v>4</v>
      </c>
      <c r="B12" s="67">
        <f>'Advanced Table'!C75</f>
        <v>635244.58054769156</v>
      </c>
      <c r="C12" s="67">
        <f>'Advanced Table'!D75</f>
        <v>3086.6705639999991</v>
      </c>
      <c r="D12" s="67">
        <f>'Advanced Table'!E75</f>
        <v>-377.51843643749993</v>
      </c>
      <c r="E12" s="67">
        <f>'Advanced Table'!K75</f>
        <v>-2622.054407072922</v>
      </c>
      <c r="F12" s="67">
        <f>'Advanced Table'!O75</f>
        <v>2524.3658150624992</v>
      </c>
      <c r="G12" s="67">
        <f>'Advanced Table'!P75</f>
        <v>359477.33118071058</v>
      </c>
      <c r="H12" s="67">
        <f>'Advanced Table'!Q75</f>
        <v>275767.24936698098</v>
      </c>
      <c r="I12" s="67">
        <f>'Advanced Table'!R75</f>
        <v>30.922681489577315</v>
      </c>
      <c r="J12" s="67">
        <f>'Advanced Table'!S75</f>
        <v>10167.1307480838</v>
      </c>
      <c r="K12" s="67">
        <f>'Advanced Table'!T75</f>
        <v>38493.577760068998</v>
      </c>
      <c r="L12" s="67">
        <f>'Advanced Table'!U75</f>
        <v>314260.82712704997</v>
      </c>
      <c r="M12" s="67">
        <f>'Advanced Table'!V75</f>
        <v>53137.459569903818</v>
      </c>
      <c r="N12" s="200">
        <f>'Advanced Table'!W75</f>
        <v>0.25920099751201142</v>
      </c>
      <c r="O12" s="169">
        <f>'Advanced Table'!X75</f>
        <v>0.20349561231158228</v>
      </c>
      <c r="P12" s="208">
        <f>'Advanced Table'!Y75</f>
        <v>46214.230673108184</v>
      </c>
      <c r="Q12" s="208">
        <f>'Advanced Table'!Z75</f>
        <v>2622.054407072922</v>
      </c>
      <c r="R12" s="59">
        <f>'Advanced Table'!AA75</f>
        <v>48</v>
      </c>
      <c r="S12" s="64">
        <f>'Advanced Table'!AB75</f>
        <v>-2249.0645067564192</v>
      </c>
      <c r="T12" s="64">
        <f>'Advanced Table'!AC75</f>
        <v>-27138.55489040364</v>
      </c>
      <c r="U12" s="65">
        <f>'Advanced Table'!AD75</f>
        <v>13848.872943283932</v>
      </c>
      <c r="V12" s="66">
        <f>'Advanced Table'!AE75</f>
        <v>37040.046767999986</v>
      </c>
      <c r="X12" s="60"/>
      <c r="Y12" s="60"/>
      <c r="Z12" s="60"/>
      <c r="AC12" s="59"/>
      <c r="AD12" s="59"/>
      <c r="AE12" s="59"/>
    </row>
    <row r="13" spans="1:31" ht="13.5" customHeight="1" x14ac:dyDescent="0.25">
      <c r="A13" s="72">
        <f>'Advanced Table'!B87</f>
        <v>5</v>
      </c>
      <c r="B13" s="67">
        <f>'Advanced Table'!C87</f>
        <v>674425.07627465413</v>
      </c>
      <c r="C13" s="67">
        <f>'Advanced Table'!D87</f>
        <v>3194.704033739999</v>
      </c>
      <c r="D13" s="67">
        <f>'Advanced Table'!E87</f>
        <v>-390.73158171281239</v>
      </c>
      <c r="E13" s="67">
        <f>'Advanced Table'!K87</f>
        <v>-2622.054407072922</v>
      </c>
      <c r="F13" s="67">
        <f>'Advanced Table'!O87</f>
        <v>2612.7186185896867</v>
      </c>
      <c r="G13" s="67">
        <f>'Advanced Table'!P87</f>
        <v>354815.38695602235</v>
      </c>
      <c r="H13" s="67">
        <f>'Advanced Table'!Q87</f>
        <v>319609.68931863178</v>
      </c>
      <c r="I13" s="67">
        <f>'Advanced Table'!R87</f>
        <v>123.77687958926478</v>
      </c>
      <c r="J13" s="67">
        <f>'Advanced Table'!S87</f>
        <v>10128.127280962957</v>
      </c>
      <c r="K13" s="67">
        <f>'Advanced Table'!T87</f>
        <v>52110.947953174866</v>
      </c>
      <c r="L13" s="67">
        <f>'Advanced Table'!U87</f>
        <v>371720.63727180666</v>
      </c>
      <c r="M13" s="67">
        <f>'Advanced Table'!V87</f>
        <v>57459.810144756688</v>
      </c>
      <c r="N13" s="200">
        <f>'Advanced Table'!W87</f>
        <v>0.24354450279266868</v>
      </c>
      <c r="O13" s="169">
        <f>'Advanced Table'!X87</f>
        <v>0.18284114717717181</v>
      </c>
      <c r="P13" s="208">
        <f>'Advanced Table'!Y87</f>
        <v>46036.942186195258</v>
      </c>
      <c r="Q13" s="208">
        <f>'Advanced Table'!Z87</f>
        <v>2622.054407072922</v>
      </c>
      <c r="R13" s="59">
        <f>'Advanced Table'!AA87</f>
        <v>60</v>
      </c>
      <c r="S13" s="64">
        <f>'Advanced Table'!AB87</f>
        <v>-2220.1083314477964</v>
      </c>
      <c r="T13" s="64">
        <f>'Advanced Table'!AC87</f>
        <v>-26802.70866018696</v>
      </c>
      <c r="U13" s="65">
        <f>'Advanced Table'!AD87</f>
        <v>14182.88785275229</v>
      </c>
      <c r="V13" s="66">
        <f>'Advanced Table'!AE87</f>
        <v>38336.448404879986</v>
      </c>
      <c r="X13" s="60"/>
      <c r="Y13" s="60"/>
      <c r="Z13" s="60"/>
      <c r="AC13" s="59"/>
      <c r="AD13" s="59"/>
      <c r="AE13" s="59"/>
    </row>
    <row r="14" spans="1:31" ht="13.5" customHeight="1" x14ac:dyDescent="0.25">
      <c r="A14" s="73">
        <f>'Advanced Table'!B99</f>
        <v>6</v>
      </c>
      <c r="B14" s="63">
        <f>'Advanced Table'!C99</f>
        <v>716022.13924582233</v>
      </c>
      <c r="C14" s="63">
        <f>'Advanced Table'!D99</f>
        <v>3306.5186749208988</v>
      </c>
      <c r="D14" s="63">
        <f>'Advanced Table'!E99</f>
        <v>-404.40718707276079</v>
      </c>
      <c r="E14" s="63">
        <f>'Advanced Table'!K99</f>
        <v>-2622.054407072922</v>
      </c>
      <c r="F14" s="63">
        <f>'Advanced Table'!O99</f>
        <v>2704.1637702403254</v>
      </c>
      <c r="G14" s="63">
        <f>'Advanced Table'!P99</f>
        <v>349791.52388544986</v>
      </c>
      <c r="H14" s="63">
        <f>'Advanced Table'!Q99</f>
        <v>366230.61536037247</v>
      </c>
      <c r="I14" s="63">
        <f>'Advanced Table'!R99</f>
        <v>219.88097462244122</v>
      </c>
      <c r="J14" s="63">
        <f>'Advanced Table'!S99</f>
        <v>10084.608733018651</v>
      </c>
      <c r="K14" s="63">
        <f>'Advanced Table'!T99</f>
        <v>67561.538396638804</v>
      </c>
      <c r="L14" s="63">
        <f>'Advanced Table'!U99</f>
        <v>433792.15375701129</v>
      </c>
      <c r="M14" s="63">
        <f>'Advanced Table'!V99</f>
        <v>62071.516485204629</v>
      </c>
      <c r="N14" s="201">
        <f>'Advanced Table'!W99</f>
        <v>0.23044426547703753</v>
      </c>
      <c r="O14" s="170">
        <f>'Advanced Table'!X99</f>
        <v>0.16698431634242891</v>
      </c>
      <c r="P14" s="209">
        <f>'Advanced Table'!Y99</f>
        <v>45839.130604630234</v>
      </c>
      <c r="Q14" s="209">
        <f>'Advanced Table'!Z99</f>
        <v>2704.1637702403254</v>
      </c>
      <c r="R14" s="211">
        <f>'Advanced Table'!AA99</f>
        <v>72</v>
      </c>
      <c r="S14" s="212">
        <f>'Advanced Table'!AB99</f>
        <v>-2188.9042129970358</v>
      </c>
      <c r="T14" s="212">
        <f>'Advanced Table'!AC99</f>
        <v>-26440.789814302556</v>
      </c>
      <c r="U14" s="213">
        <f>'Advanced Table'!AD99</f>
        <v>14537.52021683706</v>
      </c>
      <c r="V14" s="63">
        <f>'Advanced Table'!AE99</f>
        <v>39678.224099050785</v>
      </c>
      <c r="X14" s="60"/>
      <c r="Y14" s="60"/>
      <c r="Z14" s="60"/>
      <c r="AC14" s="59"/>
      <c r="AD14" s="59"/>
      <c r="AE14" s="59"/>
    </row>
    <row r="15" spans="1:31" ht="13.5" customHeight="1" x14ac:dyDescent="0.25">
      <c r="A15" s="73">
        <f>'Advanced Table'!B111</f>
        <v>7</v>
      </c>
      <c r="B15" s="63">
        <f>'Advanced Table'!C111</f>
        <v>760184.81804104173</v>
      </c>
      <c r="C15" s="63">
        <f>'Advanced Table'!D111</f>
        <v>3422.2468285431301</v>
      </c>
      <c r="D15" s="63">
        <f>'Advanced Table'!E111</f>
        <v>-418.5614386203074</v>
      </c>
      <c r="E15" s="63">
        <f>'Advanced Table'!K111</f>
        <v>-2622.054407072922</v>
      </c>
      <c r="F15" s="63">
        <f>'Advanced Table'!O111</f>
        <v>2798.8095021987369</v>
      </c>
      <c r="G15" s="63">
        <f>'Advanced Table'!P111</f>
        <v>344377.64526841196</v>
      </c>
      <c r="H15" s="63">
        <f>'Advanced Table'!Q111</f>
        <v>415807.17277262977</v>
      </c>
      <c r="I15" s="63">
        <f>'Advanced Table'!R111</f>
        <v>319.34871298177848</v>
      </c>
      <c r="J15" s="63">
        <f>'Advanced Table'!S111</f>
        <v>10036.172536881793</v>
      </c>
      <c r="K15" s="63">
        <f>'Advanced Table'!T111</f>
        <v>84975.524159839057</v>
      </c>
      <c r="L15" s="63">
        <f>'Advanced Table'!U111</f>
        <v>500782.6969324688</v>
      </c>
      <c r="M15" s="63">
        <f>'Advanced Table'!V111</f>
        <v>66990.543175457511</v>
      </c>
      <c r="N15" s="201">
        <f>'Advanced Table'!W111</f>
        <v>0.21928607670892972</v>
      </c>
      <c r="O15" s="170">
        <f>'Advanced Table'!X111</f>
        <v>0.15443004811235536</v>
      </c>
      <c r="P15" s="209">
        <f>'Advanced Table'!Y111</f>
        <v>45618.966076735422</v>
      </c>
      <c r="Q15" s="209">
        <f>'Advanced Table'!Z111</f>
        <v>2798.8095021987369</v>
      </c>
      <c r="R15" s="211">
        <f>'Advanced Table'!AA111</f>
        <v>84</v>
      </c>
      <c r="S15" s="212">
        <f>'Advanced Table'!AB111</f>
        <v>-2155.277637735931</v>
      </c>
      <c r="T15" s="212">
        <f>'Advanced Table'!AC111</f>
        <v>-26050.774267837183</v>
      </c>
      <c r="U15" s="213">
        <f>'Advanced Table'!AD111</f>
        <v>14913.938607396442</v>
      </c>
      <c r="V15" s="63">
        <f>'Advanced Table'!AE111</f>
        <v>41066.961942517562</v>
      </c>
      <c r="X15" s="60"/>
      <c r="Y15" s="60"/>
      <c r="Z15" s="60"/>
      <c r="AC15" s="59"/>
      <c r="AD15" s="59"/>
      <c r="AE15" s="59"/>
    </row>
    <row r="16" spans="1:31" ht="13.5" customHeight="1" x14ac:dyDescent="0.25">
      <c r="A16" s="73">
        <f>'Advanced Table'!B123</f>
        <v>8</v>
      </c>
      <c r="B16" s="63">
        <f>'Advanced Table'!C123</f>
        <v>807071.35423042485</v>
      </c>
      <c r="C16" s="63">
        <f>'Advanced Table'!D123</f>
        <v>3542.0254675421393</v>
      </c>
      <c r="D16" s="63">
        <f>'Advanced Table'!E123</f>
        <v>-433.2110889720181</v>
      </c>
      <c r="E16" s="63">
        <f>'Advanced Table'!K123</f>
        <v>-2622.054407072922</v>
      </c>
      <c r="F16" s="63">
        <f>'Advanced Table'!O123</f>
        <v>2896.7678347756923</v>
      </c>
      <c r="G16" s="63">
        <f>'Advanced Table'!P123</f>
        <v>338543.47318444226</v>
      </c>
      <c r="H16" s="63">
        <f>'Advanced Table'!Q123</f>
        <v>468527.88104598259</v>
      </c>
      <c r="I16" s="63">
        <f>'Advanced Table'!R123</f>
        <v>422.29782218369309</v>
      </c>
      <c r="J16" s="63">
        <f>'Advanced Table'!S123</f>
        <v>9982.383051085324</v>
      </c>
      <c r="K16" s="63">
        <f>'Advanced Table'!T123</f>
        <v>104490.75023345456</v>
      </c>
      <c r="L16" s="63">
        <f>'Advanced Table'!U123</f>
        <v>573018.6312794371</v>
      </c>
      <c r="M16" s="63">
        <f>'Advanced Table'!V123</f>
        <v>72235.934346968308</v>
      </c>
      <c r="N16" s="201">
        <f>'Advanced Table'!W123</f>
        <v>0.20964334719496736</v>
      </c>
      <c r="O16" s="170">
        <f>'Advanced Table'!X123</f>
        <v>0.14424606678594851</v>
      </c>
      <c r="P16" s="209">
        <f>'Advanced Table'!Y123</f>
        <v>45374.468414024203</v>
      </c>
      <c r="Q16" s="209">
        <f>'Advanced Table'!Z123</f>
        <v>2896.7678347756923</v>
      </c>
      <c r="R16" s="211">
        <f>'Advanced Table'!AA123</f>
        <v>96</v>
      </c>
      <c r="S16" s="212">
        <f>'Advanced Table'!AB123</f>
        <v>-2119.040544046678</v>
      </c>
      <c r="T16" s="212">
        <f>'Advanced Table'!AC123</f>
        <v>-25630.480800905436</v>
      </c>
      <c r="U16" s="213">
        <f>'Advanced Table'!AD123</f>
        <v>15313.373733651242</v>
      </c>
      <c r="V16" s="63">
        <f>'Advanced Table'!AE123</f>
        <v>42504.305610505675</v>
      </c>
      <c r="X16" s="60"/>
      <c r="Y16" s="60"/>
      <c r="Z16" s="60"/>
      <c r="AC16" s="59"/>
      <c r="AD16" s="59"/>
      <c r="AE16" s="59"/>
    </row>
    <row r="17" spans="1:31" ht="13.5" customHeight="1" x14ac:dyDescent="0.25">
      <c r="A17" s="73">
        <f>'Advanced Table'!B135</f>
        <v>9</v>
      </c>
      <c r="B17" s="63">
        <f>'Advanced Table'!C135</f>
        <v>856849.74937787489</v>
      </c>
      <c r="C17" s="63">
        <f>'Advanced Table'!D135</f>
        <v>3665.996358906114</v>
      </c>
      <c r="D17" s="63">
        <f>'Advanced Table'!E135</f>
        <v>-448.37347708603869</v>
      </c>
      <c r="E17" s="63">
        <f>'Advanced Table'!K135</f>
        <v>-2622.054407072922</v>
      </c>
      <c r="F17" s="63">
        <f>'Advanced Table'!O135</f>
        <v>2998.1547089928413</v>
      </c>
      <c r="G17" s="63">
        <f>'Advanced Table'!P135</f>
        <v>332256.37915942085</v>
      </c>
      <c r="H17" s="63">
        <f>'Advanced Table'!Q135</f>
        <v>524593.37021845405</v>
      </c>
      <c r="I17" s="63">
        <f>'Advanced Table'!R135</f>
        <v>528.85015020767435</v>
      </c>
      <c r="J17" s="63">
        <f>'Advanced Table'!S135</f>
        <v>9922.7689286749282</v>
      </c>
      <c r="K17" s="63">
        <f>'Advanced Table'!T135</f>
        <v>126253.13882627852</v>
      </c>
      <c r="L17" s="63">
        <f>'Advanced Table'!U135</f>
        <v>650846.50904473255</v>
      </c>
      <c r="M17" s="63">
        <f>'Advanced Table'!V135</f>
        <v>77827.877765295445</v>
      </c>
      <c r="N17" s="201">
        <f>'Advanced Table'!W135</f>
        <v>0.20120942088385854</v>
      </c>
      <c r="O17" s="170">
        <f>'Advanced Table'!X135</f>
        <v>0.13582085034743321</v>
      </c>
      <c r="P17" s="209">
        <f>'Advanced Table'!Y135</f>
        <v>45103.495130340583</v>
      </c>
      <c r="Q17" s="209">
        <f>'Advanced Table'!Z135</f>
        <v>2998.1547089928413</v>
      </c>
      <c r="R17" s="211">
        <f>'Advanced Table'!AA135</f>
        <v>108</v>
      </c>
      <c r="S17" s="212">
        <f>'Advanced Table'!AB135</f>
        <v>-2079.99027059934</v>
      </c>
      <c r="T17" s="212">
        <f>'Advanced Table'!AC135</f>
        <v>-25177.558859853572</v>
      </c>
      <c r="U17" s="213">
        <f>'Advanced Table'!AD135</f>
        <v>15737.121523179929</v>
      </c>
      <c r="V17" s="63">
        <f>'Advanced Table'!AE135</f>
        <v>43991.95630687337</v>
      </c>
      <c r="X17" s="60"/>
      <c r="Y17" s="60"/>
      <c r="Z17" s="60"/>
      <c r="AC17" s="59"/>
      <c r="AD17" s="59"/>
      <c r="AE17" s="59"/>
    </row>
    <row r="18" spans="1:31" ht="13.5" customHeight="1" x14ac:dyDescent="0.25">
      <c r="A18" s="73">
        <f>'Advanced Table'!B147</f>
        <v>10</v>
      </c>
      <c r="B18" s="63">
        <f>'Advanced Table'!C147</f>
        <v>909698.36701614596</v>
      </c>
      <c r="C18" s="63">
        <f>'Advanced Table'!D147</f>
        <v>3794.3062314678277</v>
      </c>
      <c r="D18" s="63">
        <f>'Advanced Table'!E147</f>
        <v>-464.06654878404998</v>
      </c>
      <c r="E18" s="63">
        <f>'Advanced Table'!K147</f>
        <v>-2622.054407072922</v>
      </c>
      <c r="F18" s="63">
        <f>'Advanced Table'!O147</f>
        <v>3103.0901238075908</v>
      </c>
      <c r="G18" s="63">
        <f>'Advanced Table'!P147</f>
        <v>325481.20168598462</v>
      </c>
      <c r="H18" s="63">
        <f>'Advanced Table'!Q147</f>
        <v>584217.16533016134</v>
      </c>
      <c r="I18" s="63">
        <f>'Advanced Table'!R147</f>
        <v>639.13180971249471</v>
      </c>
      <c r="J18" s="63">
        <f>'Advanced Table'!S147</f>
        <v>9856.8202793064575</v>
      </c>
      <c r="K18" s="63">
        <f>'Advanced Table'!T147</f>
        <v>150417.11643301806</v>
      </c>
      <c r="L18" s="63">
        <f>'Advanced Table'!U147</f>
        <v>734634.28176317946</v>
      </c>
      <c r="M18" s="63">
        <f>'Advanced Table'!V147</f>
        <v>83787.772718446911</v>
      </c>
      <c r="N18" s="201">
        <f>'Advanced Table'!W147</f>
        <v>0.1937575127840083</v>
      </c>
      <c r="O18" s="170">
        <f>'Advanced Table'!X147</f>
        <v>0.12873660925280955</v>
      </c>
      <c r="P18" s="209">
        <f>'Advanced Table'!Y147</f>
        <v>44803.72854230208</v>
      </c>
      <c r="Q18" s="209">
        <f>'Advanced Table'!Z147</f>
        <v>3103.0901238075908</v>
      </c>
      <c r="R18" s="211">
        <f>'Advanced Table'!AA147</f>
        <v>120</v>
      </c>
      <c r="S18" s="212">
        <f>'Advanced Table'!AB147</f>
        <v>-2037.9084229382456</v>
      </c>
      <c r="T18" s="212">
        <f>'Advanced Table'!AC147</f>
        <v>-24689.475411438936</v>
      </c>
      <c r="U18" s="213">
        <f>'Advanced Table'!AD147</f>
        <v>16186.546339788008</v>
      </c>
      <c r="V18" s="209">
        <f>'Advanced Table'!AE147</f>
        <v>45531.674777613931</v>
      </c>
      <c r="X18" s="60"/>
      <c r="Y18" s="60"/>
      <c r="Z18" s="60"/>
      <c r="AC18" s="59"/>
      <c r="AD18" s="59"/>
      <c r="AE18" s="59"/>
    </row>
    <row r="19" spans="1:31" ht="13.5" customHeight="1" x14ac:dyDescent="0.25">
      <c r="A19" s="72">
        <f>'Advanced Table'!B159</f>
        <v>11</v>
      </c>
      <c r="B19" s="67">
        <f>'Advanced Table'!C159</f>
        <v>965806.57175040909</v>
      </c>
      <c r="C19" s="67">
        <f>'Advanced Table'!D159</f>
        <v>3927.1069495692013</v>
      </c>
      <c r="D19" s="67">
        <f>'Advanced Table'!E159</f>
        <v>-480.30887799149167</v>
      </c>
      <c r="E19" s="67">
        <f>'Advanced Table'!K159</f>
        <v>-2622.054407072922</v>
      </c>
      <c r="F19" s="67">
        <f>'Advanced Table'!O159</f>
        <v>3211.6982781408565</v>
      </c>
      <c r="G19" s="67">
        <f>'Advanced Table'!P159</f>
        <v>318180.04957757489</v>
      </c>
      <c r="H19" s="67">
        <f>'Advanced Table'!Q159</f>
        <v>647626.52217283426</v>
      </c>
      <c r="I19" s="67">
        <f>'Advanced Table'!R159</f>
        <v>753.27332729998477</v>
      </c>
      <c r="J19" s="67">
        <f>'Advanced Table'!S159</f>
        <v>9783.985608719895</v>
      </c>
      <c r="K19" s="67">
        <f>'Advanced Table'!T159</f>
        <v>177146.06152395392</v>
      </c>
      <c r="L19" s="67">
        <f>'Advanced Table'!U159</f>
        <v>824772.58369678818</v>
      </c>
      <c r="M19" s="67">
        <f>'Advanced Table'!V159</f>
        <v>90138.301933608716</v>
      </c>
      <c r="N19" s="200">
        <f>'Advanced Table'!W159</f>
        <v>0.18711586581151532</v>
      </c>
      <c r="O19" s="169">
        <f>'Advanced Table'!X159</f>
        <v>0.12269819714548275</v>
      </c>
      <c r="P19" s="208">
        <f>'Advanced Table'!Y159</f>
        <v>44472.6618578177</v>
      </c>
      <c r="Q19" s="208">
        <f>'Advanced Table'!Z159</f>
        <v>3211.6982781408565</v>
      </c>
      <c r="R19" s="59">
        <f>'Advanced Table'!AA159</f>
        <v>132</v>
      </c>
      <c r="S19" s="64">
        <f>'Advanced Table'!AB159</f>
        <v>-1992.5596520785575</v>
      </c>
      <c r="T19" s="64">
        <f>'Advanced Table'!AC159</f>
        <v>-24163.500776465258</v>
      </c>
      <c r="U19" s="65">
        <f>'Advanced Table'!AD159</f>
        <v>16663.084342983086</v>
      </c>
      <c r="V19" s="66">
        <f>'Advanced Table'!AE159</f>
        <v>47125.283394830418</v>
      </c>
      <c r="X19" s="60"/>
      <c r="Y19" s="60"/>
      <c r="Z19" s="60"/>
      <c r="AC19" s="59"/>
      <c r="AD19" s="59"/>
      <c r="AE19" s="59"/>
    </row>
    <row r="20" spans="1:31" ht="13.5" customHeight="1" x14ac:dyDescent="0.25">
      <c r="A20" s="72">
        <f>'Advanced Table'!B171</f>
        <v>12</v>
      </c>
      <c r="B20" s="67">
        <f>'Advanced Table'!C171</f>
        <v>1025375.4077803269</v>
      </c>
      <c r="C20" s="67">
        <f>'Advanced Table'!D171</f>
        <v>4064.5556928041233</v>
      </c>
      <c r="D20" s="67">
        <f>'Advanced Table'!E171</f>
        <v>-497.11968872119382</v>
      </c>
      <c r="E20" s="67">
        <f>'Advanced Table'!K171</f>
        <v>-2622.054407072922</v>
      </c>
      <c r="F20" s="67">
        <f>'Advanced Table'!O171</f>
        <v>3324.1077178757864</v>
      </c>
      <c r="G20" s="67">
        <f>'Advanced Table'!P171</f>
        <v>310312.09005634603</v>
      </c>
      <c r="H20" s="67">
        <f>'Advanced Table'!Q171</f>
        <v>715063.31772398087</v>
      </c>
      <c r="I20" s="67">
        <f>'Advanced Table'!R171</f>
        <v>871.40979800303592</v>
      </c>
      <c r="J20" s="67">
        <f>'Advanced Table'!S171</f>
        <v>9703.6685182261208</v>
      </c>
      <c r="K20" s="67">
        <f>'Advanced Table'!T171</f>
        <v>206612.7737356773</v>
      </c>
      <c r="L20" s="67">
        <f>'Advanced Table'!U171</f>
        <v>921676.09145965823</v>
      </c>
      <c r="M20" s="67">
        <f>'Advanced Table'!V171</f>
        <v>96903.507762870053</v>
      </c>
      <c r="N20" s="200">
        <f>'Advanced Table'!W171</f>
        <v>0.18115173549030095</v>
      </c>
      <c r="O20" s="169">
        <f>'Advanced Table'!X171</f>
        <v>0.11749118445296766</v>
      </c>
      <c r="P20" s="208">
        <f>'Advanced Table'!Y171</f>
        <v>44107.584173755095</v>
      </c>
      <c r="Q20" s="208">
        <f>'Advanced Table'!Z171</f>
        <v>3324.1077178757864</v>
      </c>
      <c r="R20" s="59">
        <f>'Advanced Table'!AA171</f>
        <v>144</v>
      </c>
      <c r="S20" s="64">
        <f>'Advanced Table'!AB171</f>
        <v>-1943.6903382821051</v>
      </c>
      <c r="T20" s="64">
        <f>'Advanced Table'!AC171</f>
        <v>-23596.69336364622</v>
      </c>
      <c r="U20" s="65">
        <f>'Advanced Table'!AD171</f>
        <v>17168.246993809356</v>
      </c>
      <c r="V20" s="66">
        <f>'Advanced Table'!AE171</f>
        <v>48774.668313649483</v>
      </c>
      <c r="X20" s="60"/>
      <c r="Y20" s="60"/>
      <c r="Z20" s="60"/>
      <c r="AC20" s="59"/>
      <c r="AD20" s="59"/>
      <c r="AE20" s="59"/>
    </row>
    <row r="21" spans="1:31" ht="13.5" customHeight="1" x14ac:dyDescent="0.25">
      <c r="A21" s="72">
        <f>'Advanced Table'!B183</f>
        <v>13</v>
      </c>
      <c r="B21" s="67">
        <f>'Advanced Table'!C183</f>
        <v>1088618.3192718853</v>
      </c>
      <c r="C21" s="67">
        <f>'Advanced Table'!D183</f>
        <v>4206.8151420522672</v>
      </c>
      <c r="D21" s="67">
        <f>'Advanced Table'!E183</f>
        <v>-514.51887782643553</v>
      </c>
      <c r="E21" s="67">
        <f>'Advanced Table'!K183</f>
        <v>-2622.054407072922</v>
      </c>
      <c r="F21" s="67">
        <f>'Advanced Table'!O183</f>
        <v>3440.4514880014385</v>
      </c>
      <c r="G21" s="67">
        <f>'Advanced Table'!P183</f>
        <v>301833.32038979011</v>
      </c>
      <c r="H21" s="67">
        <f>'Advanced Table'!Q183</f>
        <v>786784.99888209521</v>
      </c>
      <c r="I21" s="67">
        <f>'Advanced Table'!R183</f>
        <v>993.6810451806939</v>
      </c>
      <c r="J21" s="67">
        <f>'Advanced Table'!S183</f>
        <v>9615.2241454920113</v>
      </c>
      <c r="K21" s="67">
        <f>'Advanced Table'!T183</f>
        <v>238999.96547062712</v>
      </c>
      <c r="L21" s="67">
        <f>'Advanced Table'!U183</f>
        <v>1025784.9643527223</v>
      </c>
      <c r="M21" s="67">
        <f>'Advanced Table'!V183</f>
        <v>104108.87289306405</v>
      </c>
      <c r="N21" s="200">
        <f>'Advanced Table'!W183</f>
        <v>0.17576072072748603</v>
      </c>
      <c r="O21" s="169">
        <f>'Advanced Table'!X183</f>
        <v>0.1129560307115994</v>
      </c>
      <c r="P21" s="208">
        <f>'Advanced Table'!Y183</f>
        <v>43705.564297690958</v>
      </c>
      <c r="Q21" s="208">
        <f>'Advanced Table'!Z183</f>
        <v>3440.4514880014385</v>
      </c>
      <c r="R21" s="59">
        <f>'Advanced Table'!AA183</f>
        <v>156</v>
      </c>
      <c r="S21" s="64">
        <f>'Advanced Table'!AB183</f>
        <v>-1891.0271726513229</v>
      </c>
      <c r="T21" s="64">
        <f>'Advanced Table'!AC183</f>
        <v>-22985.883218319184</v>
      </c>
      <c r="U21" s="65">
        <f>'Advanced Table'!AD183</f>
        <v>17703.624711809796</v>
      </c>
      <c r="V21" s="66">
        <f>'Advanced Table'!AE183</f>
        <v>50481.78170462721</v>
      </c>
      <c r="X21" s="60"/>
      <c r="Y21" s="60"/>
      <c r="Z21" s="60"/>
      <c r="AC21" s="59"/>
      <c r="AD21" s="59"/>
      <c r="AE21" s="59"/>
    </row>
    <row r="22" spans="1:31" ht="13.5" customHeight="1" x14ac:dyDescent="0.25">
      <c r="A22" s="72">
        <f>'Advanced Table'!B195</f>
        <v>14</v>
      </c>
      <c r="B22" s="67">
        <f>'Advanced Table'!C195</f>
        <v>1155761.9151601831</v>
      </c>
      <c r="C22" s="67">
        <f>'Advanced Table'!D195</f>
        <v>4354.0536720240962</v>
      </c>
      <c r="D22" s="67">
        <f>'Advanced Table'!E195</f>
        <v>-532.52703855036077</v>
      </c>
      <c r="E22" s="67">
        <f>'Advanced Table'!K195</f>
        <v>-2622.054407072922</v>
      </c>
      <c r="F22" s="67">
        <f>'Advanced Table'!O195</f>
        <v>3560.8672900814881</v>
      </c>
      <c r="G22" s="67">
        <f>'Advanced Table'!P195</f>
        <v>292696.32179891772</v>
      </c>
      <c r="H22" s="67">
        <f>'Advanced Table'!Q195</f>
        <v>863065.59336126538</v>
      </c>
      <c r="I22" s="67">
        <f>'Advanced Table'!R195</f>
        <v>1120.23178600957</v>
      </c>
      <c r="J22" s="67">
        <f>'Advanced Table'!S195</f>
        <v>9517.9553264535625</v>
      </c>
      <c r="K22" s="67">
        <f>'Advanced Table'!T195</f>
        <v>274500.77684175293</v>
      </c>
      <c r="L22" s="67">
        <f>'Advanced Table'!U195</f>
        <v>1137566.3702030182</v>
      </c>
      <c r="M22" s="67">
        <f>'Advanced Table'!V195</f>
        <v>111781.40585029591</v>
      </c>
      <c r="N22" s="200">
        <f>'Advanced Table'!W195</f>
        <v>0.17085945285628473</v>
      </c>
      <c r="O22" s="169">
        <f>'Advanced Table'!X195</f>
        <v>0.10897157760625863</v>
      </c>
      <c r="P22" s="208">
        <f>'Advanced Table'!Y195</f>
        <v>43263.433302061647</v>
      </c>
      <c r="Q22" s="208">
        <f>'Advanced Table'!Z195</f>
        <v>3560.8672900814881</v>
      </c>
      <c r="R22" s="59">
        <f>'Advanced Table'!AA195</f>
        <v>168</v>
      </c>
      <c r="S22" s="64">
        <f>'Advanced Table'!AB195</f>
        <v>-1834.2756286086376</v>
      </c>
      <c r="T22" s="64">
        <f>'Advanced Table'!AC195</f>
        <v>-22327.654294002768</v>
      </c>
      <c r="U22" s="65">
        <f>'Advanced Table'!AD195</f>
        <v>18270.890687880106</v>
      </c>
      <c r="V22" s="66">
        <f>'Advanced Table'!AE195</f>
        <v>52248.644064289154</v>
      </c>
      <c r="AC22" s="59"/>
      <c r="AD22" s="59"/>
      <c r="AE22" s="59"/>
    </row>
    <row r="23" spans="1:31" ht="13.5" customHeight="1" x14ac:dyDescent="0.25">
      <c r="A23" s="72">
        <f>'Advanced Table'!B207</f>
        <v>15</v>
      </c>
      <c r="B23" s="67">
        <f>'Advanced Table'!C207</f>
        <v>1227046.7811235851</v>
      </c>
      <c r="C23" s="67">
        <f>'Advanced Table'!D207</f>
        <v>4506.4455505449396</v>
      </c>
      <c r="D23" s="67">
        <f>'Advanced Table'!E207</f>
        <v>-551.16548489962338</v>
      </c>
      <c r="E23" s="67">
        <f>'Advanced Table'!K207</f>
        <v>-2622.054407072922</v>
      </c>
      <c r="F23" s="67">
        <f>'Advanced Table'!O207</f>
        <v>3685.4976452343408</v>
      </c>
      <c r="G23" s="67">
        <f>'Advanced Table'!P207</f>
        <v>282849.99426169205</v>
      </c>
      <c r="H23" s="67">
        <f>'Advanced Table'!Q207</f>
        <v>944196.78686189302</v>
      </c>
      <c r="I23" s="67">
        <f>'Advanced Table'!R207</f>
        <v>1251.2118027674578</v>
      </c>
      <c r="J23" s="67">
        <f>'Advanced Table'!S207</f>
        <v>9411.1084566178888</v>
      </c>
      <c r="K23" s="67">
        <f>'Advanced Table'!T207</f>
        <v>313319.31492719107</v>
      </c>
      <c r="L23" s="67">
        <f>'Advanced Table'!U207</f>
        <v>1257516.101789084</v>
      </c>
      <c r="M23" s="67">
        <f>'Advanced Table'!V207</f>
        <v>119949.73158606584</v>
      </c>
      <c r="N23" s="200">
        <f>'Advanced Table'!W207</f>
        <v>0.16638046180575025</v>
      </c>
      <c r="O23" s="169">
        <f>'Advanced Table'!X207</f>
        <v>0.10544416108631864</v>
      </c>
      <c r="P23" s="208">
        <f>'Advanced Table'!Y207</f>
        <v>42777.76571189949</v>
      </c>
      <c r="Q23" s="208">
        <f>'Advanced Table'!Z207</f>
        <v>3685.4976452343408</v>
      </c>
      <c r="R23" s="59">
        <f>'Advanced Table'!AA207</f>
        <v>180</v>
      </c>
      <c r="S23" s="64">
        <f>'Advanced Table'!AB207</f>
        <v>-1773.1183147128258</v>
      </c>
      <c r="T23" s="64">
        <f>'Advanced Table'!AC207</f>
        <v>-21618.325347649465</v>
      </c>
      <c r="U23" s="65">
        <f>'Advanced Table'!AD207</f>
        <v>18871.804857742507</v>
      </c>
      <c r="V23" s="66">
        <f>'Advanced Table'!AE207</f>
        <v>54077.346606539271</v>
      </c>
      <c r="X23" s="60"/>
      <c r="Y23" s="60"/>
      <c r="Z23" s="60"/>
      <c r="AC23" s="59"/>
      <c r="AD23" s="59"/>
      <c r="AE23" s="59"/>
    </row>
    <row r="24" spans="1:31" ht="13.5" customHeight="1" x14ac:dyDescent="0.25">
      <c r="A24" s="73">
        <f>'Advanced Table'!B219</f>
        <v>16</v>
      </c>
      <c r="B24" s="63">
        <f>'Advanced Table'!C219</f>
        <v>1302728.341638664</v>
      </c>
      <c r="C24" s="63">
        <f>'Advanced Table'!D219</f>
        <v>4664.1711448140122</v>
      </c>
      <c r="D24" s="63">
        <f>'Advanced Table'!E219</f>
        <v>-570.45627687111016</v>
      </c>
      <c r="E24" s="63">
        <f>'Advanced Table'!K219</f>
        <v>-2622.054407072922</v>
      </c>
      <c r="F24" s="63">
        <f>'Advanced Table'!O219</f>
        <v>3814.4900628175419</v>
      </c>
      <c r="G24" s="63">
        <f>'Advanced Table'!P219</f>
        <v>272239.27072856383</v>
      </c>
      <c r="H24" s="63">
        <f>'Advanced Table'!Q219</f>
        <v>1030489.0709101001</v>
      </c>
      <c r="I24" s="63">
        <f>'Advanced Table'!R219</f>
        <v>1386.7761201118713</v>
      </c>
      <c r="J24" s="63">
        <f>'Advanced Table'!S219</f>
        <v>9293.8690283240558</v>
      </c>
      <c r="K24" s="63">
        <f>'Advanced Table'!T219</f>
        <v>355671.21832827205</v>
      </c>
      <c r="L24" s="63">
        <f>'Advanced Table'!U219</f>
        <v>1386160.2892383721</v>
      </c>
      <c r="M24" s="63">
        <f>'Advanced Table'!V219</f>
        <v>128644.18744928809</v>
      </c>
      <c r="N24" s="201">
        <f>'Advanced Table'!W219</f>
        <v>0.16226849293532389</v>
      </c>
      <c r="O24" s="170">
        <f>'Advanced Table'!X219</f>
        <v>0.10230023080123139</v>
      </c>
      <c r="P24" s="209">
        <f>'Advanced Table'!Y219</f>
        <v>42244.859219654798</v>
      </c>
      <c r="Q24" s="209">
        <f>'Advanced Table'!Z219</f>
        <v>3814.4900628175419</v>
      </c>
      <c r="R24" s="211">
        <f>'Advanced Table'!AA219</f>
        <v>192</v>
      </c>
      <c r="S24" s="212">
        <f>'Advanced Table'!AB219</f>
        <v>-1707.2131996002283</v>
      </c>
      <c r="T24" s="212">
        <f>'Advanced Table'!AC219</f>
        <v>-20853.929351746934</v>
      </c>
      <c r="U24" s="213">
        <f>'Advanced Table'!AD219</f>
        <v>19508.218040722189</v>
      </c>
      <c r="V24" s="63">
        <f>'Advanced Table'!AE219</f>
        <v>55970.053737768147</v>
      </c>
      <c r="X24" s="60"/>
      <c r="Y24" s="60"/>
      <c r="Z24" s="60"/>
      <c r="AC24" s="59"/>
      <c r="AD24" s="59"/>
      <c r="AE24" s="59"/>
    </row>
    <row r="25" spans="1:31" ht="13.5" customHeight="1" x14ac:dyDescent="0.25">
      <c r="A25" s="73">
        <f>'Advanced Table'!B231</f>
        <v>17</v>
      </c>
      <c r="B25" s="63">
        <f>'Advanced Table'!C231</f>
        <v>1383077.7752048031</v>
      </c>
      <c r="C25" s="63">
        <f>'Advanced Table'!D231</f>
        <v>4827.4171348825021</v>
      </c>
      <c r="D25" s="63">
        <f>'Advanced Table'!E231</f>
        <v>-590.42224656159897</v>
      </c>
      <c r="E25" s="63">
        <f>'Advanced Table'!K231</f>
        <v>-2622.054407072922</v>
      </c>
      <c r="F25" s="63">
        <f>'Advanced Table'!O231</f>
        <v>3947.9972150161561</v>
      </c>
      <c r="G25" s="63">
        <f>'Advanced Table'!P231</f>
        <v>260804.80915181607</v>
      </c>
      <c r="H25" s="63">
        <f>'Advanced Table'!Q231</f>
        <v>1122272.9660529871</v>
      </c>
      <c r="I25" s="63">
        <f>'Advanced Table'!R231</f>
        <v>1527.0851885633379</v>
      </c>
      <c r="J25" s="63">
        <f>'Advanced Table'!S231</f>
        <v>9165.3568187106393</v>
      </c>
      <c r="K25" s="63">
        <f>'Advanced Table'!T231</f>
        <v>401784.24805232161</v>
      </c>
      <c r="L25" s="63">
        <f>'Advanced Table'!U231</f>
        <v>1524057.2141053088</v>
      </c>
      <c r="M25" s="63">
        <f>'Advanced Table'!V231</f>
        <v>137896.92486693664</v>
      </c>
      <c r="N25" s="201">
        <f>'Advanced Table'!W231</f>
        <v>0.15847781406300776</v>
      </c>
      <c r="O25" s="170">
        <f>'Advanced Table'!X231</f>
        <v>9.9481225899714892E-2</v>
      </c>
      <c r="P25" s="209">
        <f>'Advanced Table'!Y231</f>
        <v>41660.712812321086</v>
      </c>
      <c r="Q25" s="209">
        <f>'Advanced Table'!Z231</f>
        <v>3947.9972150161561</v>
      </c>
      <c r="R25" s="211">
        <f>'Advanced Table'!AA231</f>
        <v>204</v>
      </c>
      <c r="S25" s="212">
        <f>'Advanced Table'!AB231</f>
        <v>-1636.1916991235341</v>
      </c>
      <c r="T25" s="212">
        <f>'Advanced Table'!AC231</f>
        <v>-20030.191308127356</v>
      </c>
      <c r="U25" s="213">
        <f>'Advanced Table'!AD231</f>
        <v>20182.076248416444</v>
      </c>
      <c r="V25" s="63">
        <f>'Advanced Table'!AE231</f>
        <v>57929.005618590025</v>
      </c>
      <c r="X25" s="60"/>
      <c r="Y25" s="60"/>
      <c r="Z25" s="60"/>
      <c r="AC25" s="59"/>
      <c r="AD25" s="59"/>
      <c r="AE25" s="59"/>
    </row>
    <row r="26" spans="1:31" ht="13.5" customHeight="1" x14ac:dyDescent="0.25">
      <c r="A26" s="73">
        <f>'Advanced Table'!B243</f>
        <v>18</v>
      </c>
      <c r="B26" s="63">
        <f>'Advanced Table'!C243</f>
        <v>1468382.986017854</v>
      </c>
      <c r="C26" s="63">
        <f>'Advanced Table'!D243</f>
        <v>4996.3767346033892</v>
      </c>
      <c r="D26" s="63">
        <f>'Advanced Table'!E243</f>
        <v>-611.08702519125484</v>
      </c>
      <c r="E26" s="63">
        <f>'Advanced Table'!K243</f>
        <v>-2622.054407072922</v>
      </c>
      <c r="F26" s="63">
        <f>'Advanced Table'!O243</f>
        <v>4086.1771175417211</v>
      </c>
      <c r="G26" s="63">
        <f>'Advanced Table'!P243</f>
        <v>248482.66060634595</v>
      </c>
      <c r="H26" s="63">
        <f>'Advanced Table'!Q243</f>
        <v>1219900.3254115081</v>
      </c>
      <c r="I26" s="63">
        <f>'Advanced Table'!R243</f>
        <v>1672.3050744106069</v>
      </c>
      <c r="J26" s="63">
        <f>'Advanced Table'!S243</f>
        <v>9024.6207011740134</v>
      </c>
      <c r="K26" s="63">
        <f>'Advanced Table'!T243</f>
        <v>451898.90576942154</v>
      </c>
      <c r="L26" s="63">
        <f>'Advanced Table'!U243</f>
        <v>1671799.2311809296</v>
      </c>
      <c r="M26" s="63">
        <f>'Advanced Table'!V243</f>
        <v>147742.01707562082</v>
      </c>
      <c r="N26" s="201">
        <f>'Advanced Table'!W243</f>
        <v>0.15497021297003813</v>
      </c>
      <c r="O26" s="170">
        <f>'Advanced Table'!X243</f>
        <v>9.6939941432810414E-2</v>
      </c>
      <c r="P26" s="209">
        <f>'Advanced Table'!Y243</f>
        <v>41021.003187154609</v>
      </c>
      <c r="Q26" s="209">
        <f>'Advanced Table'!Z243</f>
        <v>4086.1771175417211</v>
      </c>
      <c r="R26" s="211">
        <f>'Advanced Table'!AA243</f>
        <v>216</v>
      </c>
      <c r="S26" s="212">
        <f>'Advanced Table'!AB243</f>
        <v>-1559.6566149901792</v>
      </c>
      <c r="T26" s="212">
        <f>'Advanced Table'!AC243</f>
        <v>-19142.504339405008</v>
      </c>
      <c r="U26" s="213">
        <f>'Advanced Table'!AD243</f>
        <v>20895.425167738693</v>
      </c>
      <c r="V26" s="63">
        <f>'Advanced Table'!AE243</f>
        <v>59956.52081524067</v>
      </c>
      <c r="X26" s="60"/>
      <c r="Y26" s="60"/>
      <c r="Z26" s="60"/>
      <c r="AC26" s="59"/>
      <c r="AD26" s="59"/>
      <c r="AE26" s="59"/>
    </row>
    <row r="27" spans="1:31" ht="13.5" customHeight="1" x14ac:dyDescent="0.25">
      <c r="A27" s="73">
        <f>'Advanced Table'!B255</f>
        <v>19</v>
      </c>
      <c r="B27" s="63">
        <f>'Advanced Table'!C255</f>
        <v>1558949.6355744933</v>
      </c>
      <c r="C27" s="63">
        <f>'Advanced Table'!D255</f>
        <v>5171.2499203145071</v>
      </c>
      <c r="D27" s="63">
        <f>'Advanced Table'!E255</f>
        <v>-632.47507107294871</v>
      </c>
      <c r="E27" s="63">
        <f>'Advanced Table'!K255</f>
        <v>-2622.054407072922</v>
      </c>
      <c r="F27" s="63">
        <f>'Advanced Table'!O255</f>
        <v>4229.193316655681</v>
      </c>
      <c r="G27" s="63">
        <f>'Advanced Table'!P255</f>
        <v>235203.91164580089</v>
      </c>
      <c r="H27" s="63">
        <f>'Advanced Table'!Q255</f>
        <v>1323745.7239286925</v>
      </c>
      <c r="I27" s="63">
        <f>'Advanced Table'!R255</f>
        <v>1822.6076562625299</v>
      </c>
      <c r="J27" s="63">
        <f>'Advanced Table'!S255</f>
        <v>8870.6330509852087</v>
      </c>
      <c r="K27" s="63">
        <f>'Advanced Table'!T255</f>
        <v>506269.08051940921</v>
      </c>
      <c r="L27" s="63">
        <f>'Advanced Table'!U255</f>
        <v>1830014.8044481017</v>
      </c>
      <c r="M27" s="63">
        <f>'Advanced Table'!V255</f>
        <v>158215.57326717209</v>
      </c>
      <c r="N27" s="201">
        <f>'Advanced Table'!W255</f>
        <v>0.15171348564951778</v>
      </c>
      <c r="O27" s="170">
        <f>'Advanced Table'!X255</f>
        <v>9.4637902875102653E-2</v>
      </c>
      <c r="P27" s="209">
        <f>'Advanced Table'!Y255</f>
        <v>40321.059322660039</v>
      </c>
      <c r="Q27" s="209">
        <f>'Advanced Table'!Z255</f>
        <v>4229.193316655681</v>
      </c>
      <c r="R27" s="211">
        <f>'Advanced Table'!AA255</f>
        <v>228</v>
      </c>
      <c r="S27" s="212">
        <f>'Advanced Table'!AB255</f>
        <v>-1477.1799133718869</v>
      </c>
      <c r="T27" s="212">
        <f>'Advanced Table'!AC255</f>
        <v>-18185.903924330109</v>
      </c>
      <c r="U27" s="213">
        <f>'Advanced Table'!AD255</f>
        <v>21650.414822667837</v>
      </c>
      <c r="V27" s="63">
        <f>'Advanced Table'!AE255</f>
        <v>62054.999043774085</v>
      </c>
      <c r="X27" s="60"/>
      <c r="Y27" s="60"/>
      <c r="Z27" s="60"/>
      <c r="AC27" s="59"/>
      <c r="AD27" s="59"/>
      <c r="AE27" s="59"/>
    </row>
    <row r="28" spans="1:31" ht="13.5" customHeight="1" x14ac:dyDescent="0.25">
      <c r="A28" s="73">
        <f>'Advanced Table'!B267</f>
        <v>20</v>
      </c>
      <c r="B28" s="63">
        <f>'Advanced Table'!C267</f>
        <v>1655102.2379036851</v>
      </c>
      <c r="C28" s="63">
        <f>'Advanced Table'!D267</f>
        <v>5352.2436675255149</v>
      </c>
      <c r="D28" s="63">
        <f>'Advanced Table'!E267</f>
        <v>-654.61169856050185</v>
      </c>
      <c r="E28" s="63">
        <f>'Advanced Table'!K267</f>
        <v>-2622.054407072922</v>
      </c>
      <c r="F28" s="63">
        <f>'Advanced Table'!O267</f>
        <v>4377.2150827386286</v>
      </c>
      <c r="G28" s="63">
        <f>'Advanced Table'!P267</f>
        <v>220894.29889389192</v>
      </c>
      <c r="H28" s="63">
        <f>'Advanced Table'!Q267</f>
        <v>1434207.9390097931</v>
      </c>
      <c r="I28" s="63">
        <f>'Advanced Table'!R267</f>
        <v>1978.1708284792708</v>
      </c>
      <c r="J28" s="63">
        <f>'Advanced Table'!S267</f>
        <v>8702.283713452287</v>
      </c>
      <c r="K28" s="63">
        <f>'Advanced Table'!T267</f>
        <v>565162.72497170127</v>
      </c>
      <c r="L28" s="63">
        <f>'Advanced Table'!U267</f>
        <v>1999370.6639814945</v>
      </c>
      <c r="M28" s="63">
        <f>'Advanced Table'!V267</f>
        <v>169355.85953339282</v>
      </c>
      <c r="N28" s="201">
        <f>'Advanced Table'!W267</f>
        <v>0.14868027936394015</v>
      </c>
      <c r="O28" s="170">
        <f>'Advanced Table'!X267</f>
        <v>9.2543436873707363E-2</v>
      </c>
      <c r="P28" s="209">
        <f>'Advanced Table'!Y267</f>
        <v>39555.835061146761</v>
      </c>
      <c r="Q28" s="209">
        <f>'Advanced Table'!Z267</f>
        <v>4377.2150827386286</v>
      </c>
      <c r="R28" s="211">
        <f>'Advanced Table'!AA267</f>
        <v>240</v>
      </c>
      <c r="S28" s="212">
        <f>'Advanced Table'!AB267</f>
        <v>-1388.3003310618933</v>
      </c>
      <c r="T28" s="212">
        <f>'Advanced Table'!AC267</f>
        <v>-17155.040132966191</v>
      </c>
      <c r="U28" s="213">
        <f>'Advanced Table'!AD267</f>
        <v>22449.304418837652</v>
      </c>
      <c r="V28" s="63">
        <f>'Advanced Table'!AE267</f>
        <v>64226.924010306175</v>
      </c>
      <c r="X28" s="60"/>
      <c r="Y28" s="60"/>
      <c r="Z28" s="60"/>
      <c r="AC28" s="59"/>
      <c r="AD28" s="59"/>
      <c r="AE28" s="59"/>
    </row>
    <row r="29" spans="1:31" ht="13.5" customHeight="1" x14ac:dyDescent="0.25">
      <c r="A29" s="72">
        <f>'Advanced Table'!B279</f>
        <v>21</v>
      </c>
      <c r="B29" s="67">
        <f>'Advanced Table'!C279</f>
        <v>1757185.3223496182</v>
      </c>
      <c r="C29" s="67">
        <f>'Advanced Table'!D279</f>
        <v>5539.5721958889071</v>
      </c>
      <c r="D29" s="67">
        <f>'Advanced Table'!E279</f>
        <v>-677.52310801011936</v>
      </c>
      <c r="E29" s="67">
        <f>'Advanced Table'!K279</f>
        <v>-2622.054407072922</v>
      </c>
      <c r="F29" s="67">
        <f>'Advanced Table'!O279</f>
        <v>4530.4176106344803</v>
      </c>
      <c r="G29" s="67">
        <f>'Advanced Table'!P279</f>
        <v>205473.79371542882</v>
      </c>
      <c r="H29" s="67">
        <f>'Advanced Table'!Q279</f>
        <v>1551711.5286341894</v>
      </c>
      <c r="I29" s="67">
        <f>'Advanced Table'!R279</f>
        <v>2139.1787117235967</v>
      </c>
      <c r="J29" s="67">
        <f>'Advanced Table'!S279</f>
        <v>8518.3735005573799</v>
      </c>
      <c r="K29" s="67">
        <f>'Advanced Table'!T279</f>
        <v>628862.56236581865</v>
      </c>
      <c r="L29" s="67">
        <f>'Advanced Table'!U279</f>
        <v>2180574.0910000079</v>
      </c>
      <c r="M29" s="67">
        <f>'Advanced Table'!V279</f>
        <v>181203.42701851344</v>
      </c>
      <c r="N29" s="200">
        <f>'Advanced Table'!W279</f>
        <v>0.14584719622672154</v>
      </c>
      <c r="O29" s="169">
        <f>'Advanced Table'!X279</f>
        <v>9.0630231943920628E-2</v>
      </c>
      <c r="P29" s="208">
        <f>'Advanced Table'!Y279</f>
        <v>38719.879547988086</v>
      </c>
      <c r="Q29" s="208">
        <f>'Advanced Table'!Z279</f>
        <v>4530.4176106344803</v>
      </c>
      <c r="R29" s="59">
        <f>'Advanced Table'!AA279</f>
        <v>252</v>
      </c>
      <c r="S29" s="64">
        <f>'Advanced Table'!AB279</f>
        <v>-1292.5207957919363</v>
      </c>
      <c r="T29" s="64">
        <f>'Advanced Table'!AC279</f>
        <v>-16044.147706412108</v>
      </c>
      <c r="U29" s="65">
        <f>'Advanced Table'!AD279</f>
        <v>23294.467374873813</v>
      </c>
      <c r="V29" s="66">
        <f>'Advanced Table'!AE279</f>
        <v>66474.866350666882</v>
      </c>
      <c r="X29" s="60"/>
      <c r="Y29" s="60"/>
      <c r="Z29" s="60"/>
      <c r="AC29" s="59"/>
      <c r="AD29" s="59"/>
      <c r="AE29" s="59"/>
    </row>
    <row r="30" spans="1:31" ht="13.5" customHeight="1" x14ac:dyDescent="0.25">
      <c r="A30" s="72">
        <f>'Advanced Table'!B291</f>
        <v>22</v>
      </c>
      <c r="B30" s="67">
        <f>'Advanced Table'!C291</f>
        <v>1865564.6680725554</v>
      </c>
      <c r="C30" s="67">
        <f>'Advanced Table'!D291</f>
        <v>5733.457222745018</v>
      </c>
      <c r="D30" s="67">
        <f>'Advanced Table'!E291</f>
        <v>-701.23641679047353</v>
      </c>
      <c r="E30" s="67">
        <f>'Advanced Table'!K291</f>
        <v>-2622.054407072922</v>
      </c>
      <c r="F30" s="67">
        <f>'Advanced Table'!O291</f>
        <v>4688.982227006687</v>
      </c>
      <c r="G30" s="67">
        <f>'Advanced Table'!P291</f>
        <v>188856.15464428873</v>
      </c>
      <c r="H30" s="67">
        <f>'Advanced Table'!Q291</f>
        <v>1676708.5134282666</v>
      </c>
      <c r="I30" s="67">
        <f>'Advanced Table'!R291</f>
        <v>2305.8218708814748</v>
      </c>
      <c r="J30" s="67">
        <f>'Advanced Table'!S291</f>
        <v>8317.6071793485826</v>
      </c>
      <c r="K30" s="67">
        <f>'Advanced Table'!T291</f>
        <v>697666.82528453344</v>
      </c>
      <c r="L30" s="67">
        <f>'Advanced Table'!U291</f>
        <v>2374375.3387128003</v>
      </c>
      <c r="M30" s="67">
        <f>'Advanced Table'!V291</f>
        <v>193801.24771279236</v>
      </c>
      <c r="N30" s="200">
        <f>'Advanced Table'!W291</f>
        <v>0.14319409078098619</v>
      </c>
      <c r="O30" s="169">
        <f>'Advanced Table'!X291</f>
        <v>8.8876249842955529E-2</v>
      </c>
      <c r="P30" s="208">
        <f>'Advanced Table'!Y291</f>
        <v>37807.305360675375</v>
      </c>
      <c r="Q30" s="208">
        <f>'Advanced Table'!Z291</f>
        <v>4688.982227006687</v>
      </c>
      <c r="R30" s="59">
        <f>'Advanced Table'!AA291</f>
        <v>264</v>
      </c>
      <c r="S30" s="64">
        <f>'Advanced Table'!AB291</f>
        <v>-1189.3056462817494</v>
      </c>
      <c r="T30" s="64">
        <f>'Advanced Table'!AC291</f>
        <v>-14847.013813735144</v>
      </c>
      <c r="U30" s="65">
        <f>'Advanced Table'!AD291</f>
        <v>24188.396544089541</v>
      </c>
      <c r="V30" s="66">
        <f>'Advanced Table'!AE291</f>
        <v>68801.486672940213</v>
      </c>
      <c r="X30" s="60"/>
      <c r="Y30" s="60"/>
      <c r="Z30" s="60"/>
      <c r="AC30" s="59"/>
      <c r="AD30" s="59"/>
      <c r="AE30" s="59"/>
    </row>
    <row r="31" spans="1:31" ht="13.5" customHeight="1" x14ac:dyDescent="0.25">
      <c r="A31" s="72">
        <f>'Advanced Table'!B303</f>
        <v>23</v>
      </c>
      <c r="B31" s="67">
        <f>'Advanced Table'!C303</f>
        <v>1980628.6146909897</v>
      </c>
      <c r="C31" s="67">
        <f>'Advanced Table'!D303</f>
        <v>5934.1282255410933</v>
      </c>
      <c r="D31" s="67">
        <f>'Advanced Table'!E303</f>
        <v>-725.77969137814</v>
      </c>
      <c r="E31" s="67">
        <f>'Advanced Table'!K303</f>
        <v>-2622.054407072922</v>
      </c>
      <c r="F31" s="67">
        <f>'Advanced Table'!O303</f>
        <v>4853.0966049519202</v>
      </c>
      <c r="G31" s="67">
        <f>'Advanced Table'!P303</f>
        <v>170948.44506520455</v>
      </c>
      <c r="H31" s="67">
        <f>'Advanced Table'!Q303</f>
        <v>1809680.1696257852</v>
      </c>
      <c r="I31" s="67">
        <f>'Advanced Table'!R303</f>
        <v>2478.2975406098776</v>
      </c>
      <c r="J31" s="67">
        <f>'Advanced Table'!S303</f>
        <v>8098.5859125123179</v>
      </c>
      <c r="K31" s="67">
        <f>'Advanced Table'!T303</f>
        <v>771890.0274341011</v>
      </c>
      <c r="L31" s="67">
        <f>'Advanced Table'!U303</f>
        <v>2581570.1970598865</v>
      </c>
      <c r="M31" s="67">
        <f>'Advanced Table'!V303</f>
        <v>207194.85834708624</v>
      </c>
      <c r="N31" s="200">
        <f>'Advanced Table'!W303</f>
        <v>0.14070351389761507</v>
      </c>
      <c r="O31" s="169">
        <f>'Advanced Table'!X303</f>
        <v>8.7262891830493405E-2</v>
      </c>
      <c r="P31" s="208">
        <f>'Advanced Table'!Y303</f>
        <v>36811.754147783264</v>
      </c>
      <c r="Q31" s="208">
        <f>'Advanced Table'!Z303</f>
        <v>4853.0966049519202</v>
      </c>
      <c r="R31" s="59">
        <f>'Advanced Table'!AA303</f>
        <v>276</v>
      </c>
      <c r="S31" s="64">
        <f>'Advanced Table'!AB303</f>
        <v>-1078.0776364737731</v>
      </c>
      <c r="T31" s="64">
        <f>'Advanced Table'!AC303</f>
        <v>-13556.943305791036</v>
      </c>
      <c r="U31" s="65">
        <f>'Advanced Table'!AD303</f>
        <v>25133.7096298174</v>
      </c>
      <c r="V31" s="66">
        <f>'Advanced Table'!AE303</f>
        <v>71209.538706493127</v>
      </c>
      <c r="X31" s="60"/>
      <c r="Y31" s="60"/>
      <c r="Z31" s="60"/>
      <c r="AC31" s="59"/>
      <c r="AD31" s="59"/>
      <c r="AE31" s="59"/>
    </row>
    <row r="32" spans="1:31" ht="13.5" customHeight="1" x14ac:dyDescent="0.25">
      <c r="A32" s="72">
        <f>'Advanced Table'!B315</f>
        <v>24</v>
      </c>
      <c r="B32" s="67">
        <f>'Advanced Table'!C315</f>
        <v>2102789.4537613424</v>
      </c>
      <c r="C32" s="67">
        <f>'Advanced Table'!D315</f>
        <v>6141.8227134350309</v>
      </c>
      <c r="D32" s="67">
        <f>'Advanced Table'!E315</f>
        <v>-751.18198057637483</v>
      </c>
      <c r="E32" s="67">
        <f>'Advanced Table'!K315</f>
        <v>-2622.054407072922</v>
      </c>
      <c r="F32" s="67">
        <f>'Advanced Table'!O315</f>
        <v>5022.9549861252372</v>
      </c>
      <c r="G32" s="67">
        <f>'Advanced Table'!P315</f>
        <v>151650.51345193703</v>
      </c>
      <c r="H32" s="67">
        <f>'Advanced Table'!Q315</f>
        <v>1951138.9403094053</v>
      </c>
      <c r="I32" s="67">
        <f>'Advanced Table'!R315</f>
        <v>2656.8098587787749</v>
      </c>
      <c r="J32" s="67">
        <f>'Advanced Table'!S315</f>
        <v>7859.7991084753257</v>
      </c>
      <c r="K32" s="67">
        <f>'Advanced Table'!T315</f>
        <v>851863.76962673257</v>
      </c>
      <c r="L32" s="67">
        <f>'Advanced Table'!U315</f>
        <v>2803002.7099361378</v>
      </c>
      <c r="M32" s="67">
        <f>'Advanced Table'!V315</f>
        <v>221432.51287625125</v>
      </c>
      <c r="N32" s="200">
        <f>'Advanced Table'!W315</f>
        <v>0.13836026833322965</v>
      </c>
      <c r="O32" s="169">
        <f>'Advanced Table'!X315</f>
        <v>8.5774352806070348E-2</v>
      </c>
      <c r="P32" s="208">
        <f>'Advanced Table'!Y315</f>
        <v>35726.359583978752</v>
      </c>
      <c r="Q32" s="208">
        <f>'Advanced Table'!Z315</f>
        <v>5022.9549861252372</v>
      </c>
      <c r="R32" s="59">
        <f>'Advanced Table'!AA315</f>
        <v>288</v>
      </c>
      <c r="S32" s="64">
        <f>'Advanced Table'!AB315</f>
        <v>-958.2147071988195</v>
      </c>
      <c r="T32" s="64">
        <f>'Advanced Table'!AC315</f>
        <v>-12166.721271607707</v>
      </c>
      <c r="U32" s="65">
        <f>'Advanced Table'!AD315</f>
        <v>26133.154797245283</v>
      </c>
      <c r="V32" s="66">
        <f>'Advanced Table'!AE315</f>
        <v>73701.872561220371</v>
      </c>
      <c r="X32" s="60"/>
      <c r="Y32" s="60"/>
      <c r="Z32" s="60"/>
      <c r="AC32" s="59"/>
      <c r="AD32" s="59"/>
      <c r="AE32" s="59"/>
    </row>
    <row r="33" spans="1:31" ht="13.5" customHeight="1" x14ac:dyDescent="0.25">
      <c r="A33" s="72">
        <f>'Advanced Table'!B327</f>
        <v>25</v>
      </c>
      <c r="B33" s="67">
        <f>'Advanced Table'!C327</f>
        <v>2232484.906081086</v>
      </c>
      <c r="C33" s="67">
        <f>'Advanced Table'!D327</f>
        <v>6356.7865084052564</v>
      </c>
      <c r="D33" s="67">
        <f>'Advanced Table'!E327</f>
        <v>-777.47334989654792</v>
      </c>
      <c r="E33" s="67">
        <f>'Advanced Table'!K327</f>
        <v>-2622.054407072922</v>
      </c>
      <c r="F33" s="67">
        <f>'Advanced Table'!O327</f>
        <v>5198.7584106396198</v>
      </c>
      <c r="G33" s="67">
        <f>'Advanced Table'!P327</f>
        <v>130854.43325498555</v>
      </c>
      <c r="H33" s="67">
        <f>'Advanced Table'!Q327</f>
        <v>2101630.4728261004</v>
      </c>
      <c r="I33" s="67">
        <f>'Advanced Table'!R327</f>
        <v>2841.5701080835834</v>
      </c>
      <c r="J33" s="67">
        <f>'Advanced Table'!S327</f>
        <v>7599.6156350701249</v>
      </c>
      <c r="K33" s="67">
        <f>'Advanced Table'!T327</f>
        <v>937937.58117904724</v>
      </c>
      <c r="L33" s="67">
        <f>'Advanced Table'!U327</f>
        <v>3039568.0540051479</v>
      </c>
      <c r="M33" s="67">
        <f>'Advanced Table'!V327</f>
        <v>236565.34406901011</v>
      </c>
      <c r="N33" s="200">
        <f>'Advanced Table'!W327</f>
        <v>0.13615105042172071</v>
      </c>
      <c r="O33" s="169">
        <f>'Advanced Table'!X327</f>
        <v>8.4397115718236285E-2</v>
      </c>
      <c r="P33" s="208">
        <f>'Advanced Table'!Y327</f>
        <v>34543.707432136929</v>
      </c>
      <c r="Q33" s="208">
        <f>'Advanced Table'!Z327</f>
        <v>5198.7584106396198</v>
      </c>
      <c r="R33" s="59">
        <f>'Advanced Table'!AA327</f>
        <v>300</v>
      </c>
      <c r="S33" s="64">
        <f>'Advanced Table'!AB327</f>
        <v>-829.04650721775442</v>
      </c>
      <c r="T33" s="64">
        <f>'Advanced Table'!AC327</f>
        <v>-10668.572687923805</v>
      </c>
      <c r="U33" s="65">
        <f>'Advanced Table'!AD327</f>
        <v>27189.616484159138</v>
      </c>
      <c r="V33" s="66">
        <f>'Advanced Table'!AE327</f>
        <v>76281.438100863073</v>
      </c>
      <c r="X33" s="60"/>
      <c r="Y33" s="60"/>
      <c r="Z33" s="60"/>
      <c r="AC33" s="59"/>
      <c r="AD33" s="59"/>
      <c r="AE33" s="59"/>
    </row>
    <row r="34" spans="1:31" ht="13.5" customHeight="1" x14ac:dyDescent="0.25">
      <c r="A34" s="73">
        <f>'Advanced Table'!B339</f>
        <v>26</v>
      </c>
      <c r="B34" s="63">
        <f>'Advanced Table'!C339</f>
        <v>2370179.6901086876</v>
      </c>
      <c r="C34" s="63">
        <f>'Advanced Table'!D339</f>
        <v>6579.2740361994402</v>
      </c>
      <c r="D34" s="63">
        <f>'Advanced Table'!E339</f>
        <v>-804.68491714292702</v>
      </c>
      <c r="E34" s="63">
        <f>'Advanced Table'!K339</f>
        <v>-2622.054407072922</v>
      </c>
      <c r="F34" s="63">
        <f>'Advanced Table'!O339</f>
        <v>5380.7149550120066</v>
      </c>
      <c r="G34" s="63">
        <f>'Advanced Table'!P339</f>
        <v>108443.89930632623</v>
      </c>
      <c r="H34" s="63">
        <f>'Advanced Table'!Q339</f>
        <v>2261735.7908023614</v>
      </c>
      <c r="I34" s="63">
        <f>'Advanced Table'!R339</f>
        <v>3032.7969661140619</v>
      </c>
      <c r="J34" s="63">
        <f>'Advanced Table'!S339</f>
        <v>7316.2743472248549</v>
      </c>
      <c r="K34" s="63">
        <f>'Advanced Table'!T339</f>
        <v>1030479.7979563205</v>
      </c>
      <c r="L34" s="63">
        <f>'Advanced Table'!U339</f>
        <v>3292215.5887586819</v>
      </c>
      <c r="M34" s="63">
        <f>'Advanced Table'!V339</f>
        <v>252647.53475353401</v>
      </c>
      <c r="N34" s="201">
        <f>'Advanced Table'!W339</f>
        <v>0.1340641588721212</v>
      </c>
      <c r="O34" s="170">
        <f>'Advanced Table'!X339</f>
        <v>8.3119551944437597E-2</v>
      </c>
      <c r="P34" s="209">
        <f>'Advanced Table'!Y339</f>
        <v>33255.792487385705</v>
      </c>
      <c r="Q34" s="209">
        <f>'Advanced Table'!Z339</f>
        <v>5380.7149550120066</v>
      </c>
      <c r="R34" s="211">
        <f>'Advanced Table'!AA339</f>
        <v>312</v>
      </c>
      <c r="S34" s="212">
        <f>'Advanced Table'!AB339</f>
        <v>-689.85064418260345</v>
      </c>
      <c r="T34" s="212">
        <f>'Advanced Table'!AC339</f>
        <v>-9054.1189362160385</v>
      </c>
      <c r="U34" s="213">
        <f>'Advanced Table'!AD339</f>
        <v>28306.121412419714</v>
      </c>
      <c r="V34" s="63">
        <f>'Advanced Table'!AE339</f>
        <v>78951.288434393282</v>
      </c>
      <c r="X34" s="60"/>
      <c r="Y34" s="60"/>
      <c r="Z34" s="60"/>
      <c r="AC34" s="59"/>
      <c r="AD34" s="59"/>
      <c r="AE34" s="59"/>
    </row>
    <row r="35" spans="1:31" ht="13.5" customHeight="1" x14ac:dyDescent="0.25">
      <c r="A35" s="73">
        <f>'Advanced Table'!B351</f>
        <v>27</v>
      </c>
      <c r="B35" s="63">
        <f>'Advanced Table'!C351</f>
        <v>2516367.1871202658</v>
      </c>
      <c r="C35" s="63">
        <f>'Advanced Table'!D351</f>
        <v>6809.5486274664199</v>
      </c>
      <c r="D35" s="63">
        <f>'Advanced Table'!E351</f>
        <v>-832.84888924292943</v>
      </c>
      <c r="E35" s="63">
        <f>'Advanced Table'!K351</f>
        <v>-2622.054407072922</v>
      </c>
      <c r="F35" s="63">
        <f>'Advanced Table'!O351</f>
        <v>5569.0399784374258</v>
      </c>
      <c r="G35" s="63">
        <f>'Advanced Table'!P351</f>
        <v>84293.577365481091</v>
      </c>
      <c r="H35" s="63">
        <f>'Advanced Table'!Q351</f>
        <v>2432073.6097547845</v>
      </c>
      <c r="I35" s="63">
        <f>'Advanced Table'!R351</f>
        <v>3230.7167641756055</v>
      </c>
      <c r="J35" s="63">
        <f>'Advanced Table'!S351</f>
        <v>7007.8738752880054</v>
      </c>
      <c r="K35" s="63">
        <f>'Advanced Table'!T351</f>
        <v>1129878.4783054916</v>
      </c>
      <c r="L35" s="63">
        <f>'Advanced Table'!U351</f>
        <v>3561952.0880602761</v>
      </c>
      <c r="M35" s="63">
        <f>'Advanced Table'!V351</f>
        <v>269736.49930159422</v>
      </c>
      <c r="N35" s="201">
        <f>'Advanced Table'!W351</f>
        <v>0.13208925633189122</v>
      </c>
      <c r="O35" s="170">
        <f>'Advanced Table'!X351</f>
        <v>8.193160260300493E-2</v>
      </c>
      <c r="P35" s="209">
        <f>'Advanced Table'!Y351</f>
        <v>31853.972160400022</v>
      </c>
      <c r="Q35" s="209">
        <f>'Advanced Table'!Z351</f>
        <v>5569.0399784374258</v>
      </c>
      <c r="R35" s="211">
        <f>'Advanced Table'!AA351</f>
        <v>324</v>
      </c>
      <c r="S35" s="212">
        <f>'Advanced Table'!AB351</f>
        <v>-539.84864455002514</v>
      </c>
      <c r="T35" s="212">
        <f>'Advanced Table'!AC351</f>
        <v>-7314.3309440303219</v>
      </c>
      <c r="U35" s="213">
        <f>'Advanced Table'!AD351</f>
        <v>29485.844801417552</v>
      </c>
      <c r="V35" s="63">
        <f>'Advanced Table'!AE351</f>
        <v>81714.583529597032</v>
      </c>
      <c r="X35" s="60"/>
      <c r="Y35" s="60"/>
      <c r="Z35" s="60"/>
      <c r="AC35" s="59"/>
      <c r="AD35" s="59"/>
      <c r="AE35" s="59"/>
    </row>
    <row r="36" spans="1:31" ht="13.5" customHeight="1" x14ac:dyDescent="0.25">
      <c r="A36" s="73">
        <f>'Advanced Table'!B363</f>
        <v>28</v>
      </c>
      <c r="B36" s="63">
        <f>'Advanced Table'!C363</f>
        <v>2671571.2090694667</v>
      </c>
      <c r="C36" s="63">
        <f>'Advanced Table'!D363</f>
        <v>7047.8828294277437</v>
      </c>
      <c r="D36" s="63">
        <f>'Advanced Table'!E363</f>
        <v>-861.9986003664319</v>
      </c>
      <c r="E36" s="63">
        <f>'Advanced Table'!K363</f>
        <v>-2622.054407072922</v>
      </c>
      <c r="F36" s="63">
        <f>'Advanced Table'!O363</f>
        <v>5763.9563776827354</v>
      </c>
      <c r="G36" s="63">
        <f>'Advanced Table'!P363</f>
        <v>58268.40316915838</v>
      </c>
      <c r="H36" s="63">
        <f>'Advanced Table'!Q363</f>
        <v>2613302.8059003083</v>
      </c>
      <c r="I36" s="63">
        <f>'Advanced Table'!R363</f>
        <v>3435.5637551693026</v>
      </c>
      <c r="J36" s="63">
        <f>'Advanced Table'!S363</f>
        <v>6672.3616164489767</v>
      </c>
      <c r="K36" s="63">
        <f>'Advanced Table'!T363</f>
        <v>1236542.3581297311</v>
      </c>
      <c r="L36" s="63">
        <f>'Advanced Table'!U363</f>
        <v>3849845.1640300397</v>
      </c>
      <c r="M36" s="63">
        <f>'Advanced Table'!V363</f>
        <v>287893.07596976357</v>
      </c>
      <c r="N36" s="201">
        <f>'Advanced Table'!W363</f>
        <v>0.13021717279511855</v>
      </c>
      <c r="O36" s="170">
        <f>'Advanced Table'!X363</f>
        <v>8.0824522299102794E-2</v>
      </c>
      <c r="P36" s="209">
        <f>'Advanced Table'!Y363</f>
        <v>30328.916438404438</v>
      </c>
      <c r="Q36" s="209">
        <f>'Advanced Table'!Z363</f>
        <v>5763.9563776827354</v>
      </c>
      <c r="R36" s="211">
        <f>'Advanced Table'!AA363</f>
        <v>336</v>
      </c>
      <c r="S36" s="212">
        <f>'Advanced Table'!AB363</f>
        <v>-378.20159985236853</v>
      </c>
      <c r="T36" s="212">
        <f>'Advanced Table'!AC363</f>
        <v>-5439.478688552711</v>
      </c>
      <c r="U36" s="213">
        <f>'Advanced Table'!AD363</f>
        <v>30732.116783948615</v>
      </c>
      <c r="V36" s="63">
        <f>'Advanced Table'!AE363</f>
        <v>84574.59395313292</v>
      </c>
      <c r="X36" s="60"/>
      <c r="Y36" s="60"/>
      <c r="Z36" s="60"/>
      <c r="AC36" s="59"/>
      <c r="AD36" s="59"/>
      <c r="AE36" s="59"/>
    </row>
    <row r="37" spans="1:31" ht="13.5" customHeight="1" x14ac:dyDescent="0.25">
      <c r="A37" s="73">
        <f>'Advanced Table'!B375</f>
        <v>29</v>
      </c>
      <c r="B37" s="63">
        <f>'Advanced Table'!C375</f>
        <v>2836347.875485064</v>
      </c>
      <c r="C37" s="63">
        <f>'Advanced Table'!D375</f>
        <v>7294.5587284577141</v>
      </c>
      <c r="D37" s="63">
        <f>'Advanced Table'!E375</f>
        <v>-892.168551379257</v>
      </c>
      <c r="E37" s="63">
        <f>'Advanced Table'!K375</f>
        <v>-2622.054407072922</v>
      </c>
      <c r="F37" s="63">
        <f>'Advanced Table'!O375</f>
        <v>5965.6948509016302</v>
      </c>
      <c r="G37" s="63">
        <f>'Advanced Table'!P375</f>
        <v>30222.827064294208</v>
      </c>
      <c r="H37" s="63">
        <f>'Advanced Table'!Q375</f>
        <v>2806125.0484207696</v>
      </c>
      <c r="I37" s="63">
        <f>'Advanced Table'!R375</f>
        <v>3647.5803908477801</v>
      </c>
      <c r="J37" s="63">
        <f>'Advanced Table'!S375</f>
        <v>6307.5218672437204</v>
      </c>
      <c r="K37" s="63">
        <f>'Advanced Table'!T375</f>
        <v>1350901.8463633175</v>
      </c>
      <c r="L37" s="63">
        <f>'Advanced Table'!U375</f>
        <v>4157026.8947840873</v>
      </c>
      <c r="M37" s="63">
        <f>'Advanced Table'!V375</f>
        <v>307181.73075404763</v>
      </c>
      <c r="N37" s="201">
        <f>'Advanced Table'!W375</f>
        <v>0.1284397424599944</v>
      </c>
      <c r="O37" s="170">
        <f>'Advanced Table'!X375</f>
        <v>7.9790671485730102E-2</v>
      </c>
      <c r="P37" s="209">
        <f>'Advanced Table'!Y375</f>
        <v>28670.553942016912</v>
      </c>
      <c r="Q37" s="209">
        <f>'Advanced Table'!Z375</f>
        <v>5965.6948509016302</v>
      </c>
      <c r="R37" s="211">
        <f>'Advanced Table'!AA375</f>
        <v>348</v>
      </c>
      <c r="S37" s="212">
        <f>'Advanced Table'!AB375</f>
        <v>-204.0054749774358</v>
      </c>
      <c r="T37" s="212">
        <f>'Advanced Table'!AC375</f>
        <v>-3419.0767800112853</v>
      </c>
      <c r="U37" s="213">
        <f>'Advanced Table'!AD375</f>
        <v>32048.429024192505</v>
      </c>
      <c r="V37" s="63">
        <f>'Advanced Table'!AE375</f>
        <v>87534.704741492576</v>
      </c>
      <c r="X37" s="60"/>
      <c r="Y37" s="60"/>
      <c r="Z37" s="60"/>
      <c r="AC37" s="59"/>
      <c r="AD37" s="59"/>
      <c r="AE37" s="59"/>
    </row>
    <row r="38" spans="1:31" ht="13.5" customHeight="1" x14ac:dyDescent="0.25">
      <c r="A38" s="74">
        <f>'Advanced Table'!B387</f>
        <v>30</v>
      </c>
      <c r="B38" s="68">
        <f>'Advanced Table'!C387</f>
        <v>3011287.606131501</v>
      </c>
      <c r="C38" s="68">
        <f>'Advanced Table'!D387</f>
        <v>7549.8682839537332</v>
      </c>
      <c r="D38" s="68">
        <f>'Advanced Table'!E387</f>
        <v>-923.39445067753093</v>
      </c>
      <c r="E38" s="68">
        <f>'Advanced Table'!K387</f>
        <v>-2605.7683548499635</v>
      </c>
      <c r="F38" s="68">
        <f>'Advanced Table'!O387</f>
        <v>6174.4941706831869</v>
      </c>
      <c r="G38" s="68">
        <f>'Advanced Table'!P387</f>
        <v>16.286052217775705</v>
      </c>
      <c r="H38" s="68">
        <f>'Advanced Table'!Q387</f>
        <v>3011271.3200792833</v>
      </c>
      <c r="I38" s="68">
        <f>'Advanced Table'!R387</f>
        <v>3883.3036609979627</v>
      </c>
      <c r="J38" s="68">
        <f>'Advanced Table'!S387</f>
        <v>5907.3800988275052</v>
      </c>
      <c r="K38" s="68">
        <f>'Advanced Table'!T387</f>
        <v>1473422.7652279355</v>
      </c>
      <c r="L38" s="68">
        <f>'Advanced Table'!U387</f>
        <v>4484694.0853072191</v>
      </c>
      <c r="M38" s="68">
        <f>'Advanced Table'!V387</f>
        <v>327667.19052313175</v>
      </c>
      <c r="N38" s="202">
        <f>'Advanced Table'!W387</f>
        <v>0.12674963751712756</v>
      </c>
      <c r="O38" s="171">
        <f>'Advanced Table'!X387</f>
        <v>7.882248511171841E-2</v>
      </c>
      <c r="P38" s="209">
        <f>'Advanced Table'!Y387</f>
        <v>26851.727721943204</v>
      </c>
      <c r="Q38" s="209">
        <f>'Advanced Table'!Z387</f>
        <v>6174.4941706831869</v>
      </c>
      <c r="R38" s="211">
        <f>'Advanced Table'!AA387</f>
        <v>360</v>
      </c>
      <c r="S38" s="212">
        <f>'Advanced Table'!AB387</f>
        <v>0</v>
      </c>
      <c r="T38" s="212">
        <f>'Advanced Table'!AC387</f>
        <v>-1225.5397683582894</v>
      </c>
      <c r="U38" s="213">
        <f>'Advanced Table'!AD387</f>
        <v>33434.858604989015</v>
      </c>
      <c r="V38" s="63">
        <f>'Advanced Table'!AE387</f>
        <v>90598.419407444802</v>
      </c>
      <c r="X38" s="60"/>
      <c r="Y38" s="60"/>
      <c r="Z38" s="60"/>
      <c r="AC38" s="59"/>
      <c r="AD38" s="59"/>
      <c r="AE38" s="59"/>
    </row>
    <row r="39" spans="1:31" ht="13.5" customHeight="1" x14ac:dyDescent="0.25">
      <c r="T39" s="59"/>
      <c r="V39" s="66"/>
      <c r="X39" s="60"/>
      <c r="Y39" s="60"/>
      <c r="Z39" s="60"/>
      <c r="AC39" s="59"/>
      <c r="AD39" s="59"/>
      <c r="AE39" s="59"/>
    </row>
    <row r="40" spans="1:31" ht="15" customHeight="1" x14ac:dyDescent="0.25">
      <c r="T40" s="59"/>
      <c r="V40" s="66"/>
      <c r="X40" s="60"/>
      <c r="Y40" s="60"/>
      <c r="Z40" s="60"/>
      <c r="AC40" s="59"/>
      <c r="AD40" s="59"/>
      <c r="AE40" s="59"/>
    </row>
    <row r="41" spans="1:31" ht="15" customHeight="1" x14ac:dyDescent="0.25">
      <c r="AB41" s="60"/>
      <c r="AE41" s="59"/>
    </row>
    <row r="42" spans="1:31" ht="15" customHeight="1" x14ac:dyDescent="0.25">
      <c r="AB42" s="60"/>
      <c r="AE42" s="59"/>
    </row>
    <row r="43" spans="1:31" ht="15" customHeight="1" x14ac:dyDescent="0.25">
      <c r="AB43" s="60"/>
      <c r="AE43" s="59"/>
    </row>
  </sheetData>
  <sheetProtection selectLockedCells="1" selectUnlockedCells="1"/>
  <printOptions horizontalCentered="1"/>
  <pageMargins left="0.25" right="0.25" top="0.25" bottom="0.2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EDAA-2739-42D4-AD06-AD9AC1C1FEC2}">
  <sheetPr codeName="Sheet12">
    <tabColor rgb="FF970A1A"/>
  </sheetPr>
  <dimension ref="B9:D23"/>
  <sheetViews>
    <sheetView showGridLines="0" showRowColHeaders="0" zoomScale="145" zoomScaleNormal="145" workbookViewId="0">
      <selection activeCell="D9" sqref="D9"/>
    </sheetView>
  </sheetViews>
  <sheetFormatPr defaultColWidth="9" defaultRowHeight="15.75" x14ac:dyDescent="0.25"/>
  <cols>
    <col min="1" max="1" width="4" style="151" customWidth="1"/>
    <col min="2" max="11" width="15.5703125" style="151" customWidth="1"/>
    <col min="12" max="16384" width="9" style="151"/>
  </cols>
  <sheetData>
    <row r="9" spans="2:4" x14ac:dyDescent="0.25">
      <c r="B9" s="306" t="s">
        <v>140</v>
      </c>
      <c r="C9" s="306"/>
      <c r="D9" s="158">
        <v>0.06</v>
      </c>
    </row>
    <row r="11" spans="2:4" x14ac:dyDescent="0.25">
      <c r="B11" s="307" t="s">
        <v>157</v>
      </c>
      <c r="C11" s="308"/>
      <c r="D11" s="166">
        <v>0.05</v>
      </c>
    </row>
    <row r="13" spans="2:4" x14ac:dyDescent="0.25">
      <c r="B13" s="303" t="s">
        <v>92</v>
      </c>
      <c r="C13" s="304"/>
      <c r="D13" s="305"/>
    </row>
    <row r="14" spans="2:4" x14ac:dyDescent="0.25">
      <c r="B14" s="297" t="s">
        <v>158</v>
      </c>
      <c r="C14" s="298"/>
      <c r="D14" s="167">
        <v>0.09</v>
      </c>
    </row>
    <row r="15" spans="2:4" x14ac:dyDescent="0.25">
      <c r="B15" s="297" t="s">
        <v>90</v>
      </c>
      <c r="C15" s="298"/>
      <c r="D15" s="168">
        <v>0</v>
      </c>
    </row>
    <row r="16" spans="2:4" x14ac:dyDescent="0.25">
      <c r="B16" s="297" t="s">
        <v>88</v>
      </c>
      <c r="C16" s="298"/>
      <c r="D16" s="160">
        <v>0.5</v>
      </c>
    </row>
    <row r="17" spans="2:4" x14ac:dyDescent="0.25">
      <c r="B17" s="297" t="s">
        <v>89</v>
      </c>
      <c r="C17" s="298"/>
      <c r="D17" s="168">
        <v>0</v>
      </c>
    </row>
    <row r="18" spans="2:4" x14ac:dyDescent="0.25">
      <c r="B18" s="299" t="s">
        <v>91</v>
      </c>
      <c r="C18" s="300"/>
      <c r="D18" s="161">
        <v>36</v>
      </c>
    </row>
    <row r="20" spans="2:4" x14ac:dyDescent="0.25">
      <c r="B20" s="303" t="s">
        <v>171</v>
      </c>
      <c r="C20" s="304"/>
      <c r="D20" s="305"/>
    </row>
    <row r="21" spans="2:4" x14ac:dyDescent="0.25">
      <c r="B21" s="301" t="str">
        <f>'Advanced Table'!Q20</f>
        <v>Net Operating Inc. (NOI)</v>
      </c>
      <c r="C21" s="302"/>
      <c r="D21" s="196">
        <f>NOI</f>
        <v>27322</v>
      </c>
    </row>
    <row r="22" spans="2:4" x14ac:dyDescent="0.25">
      <c r="B22" s="297" t="str">
        <f>'Advanced Table'!Q22</f>
        <v>Cash on Cash (CoC)</v>
      </c>
      <c r="C22" s="298"/>
      <c r="D22" s="197">
        <f>Cash_on_Cash_Return</f>
        <v>-2.2005223079000512E-2</v>
      </c>
    </row>
    <row r="23" spans="2:4" x14ac:dyDescent="0.25">
      <c r="B23" s="299" t="str">
        <f>'Advanced Table'!Q21</f>
        <v>Cap Rate</v>
      </c>
      <c r="C23" s="300"/>
      <c r="D23" s="198">
        <f>Cap_Rate</f>
        <v>5.4643999999999998E-2</v>
      </c>
    </row>
  </sheetData>
  <sheetProtection algorithmName="SHA-512" hashValue="/lLh/NxCMtc6qfMV0eyRnSDlElViO55wonNE9VbvmjsMjAKrHc+ULwRTXw/m28zjbIqMiQrmqUuU/eleBoAeCQ==" saltValue="qWURCvJKNKhjBzBmA/BiWg==" spinCount="100000" sheet="1" selectLockedCells="1"/>
  <mergeCells count="12">
    <mergeCell ref="B22:C22"/>
    <mergeCell ref="B23:C23"/>
    <mergeCell ref="B21:C21"/>
    <mergeCell ref="B20:D20"/>
    <mergeCell ref="B9:C9"/>
    <mergeCell ref="B11:C11"/>
    <mergeCell ref="B18:C18"/>
    <mergeCell ref="B17:C17"/>
    <mergeCell ref="B16:C16"/>
    <mergeCell ref="B15:C15"/>
    <mergeCell ref="B14:C14"/>
    <mergeCell ref="B13:D1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88113-510A-4EEE-A28D-1FF1DB7C8209}">
  <sheetPr codeName="Sheet1">
    <tabColor rgb="FF970A1A"/>
    <pageSetUpPr fitToPage="1"/>
  </sheetPr>
  <dimension ref="A1:AP508"/>
  <sheetViews>
    <sheetView topLeftCell="A4" zoomScale="85" zoomScaleNormal="85" workbookViewId="0">
      <selection activeCell="S22" sqref="S22"/>
    </sheetView>
  </sheetViews>
  <sheetFormatPr defaultColWidth="9" defaultRowHeight="15" customHeight="1" outlineLevelRow="1" outlineLevelCol="1" x14ac:dyDescent="0.25"/>
  <cols>
    <col min="1" max="1" width="4" style="8" customWidth="1"/>
    <col min="2" max="11" width="15.5703125" style="8" customWidth="1"/>
    <col min="12" max="12" width="20.42578125" style="8" customWidth="1"/>
    <col min="13" max="20" width="15.5703125" style="8" customWidth="1"/>
    <col min="21" max="22" width="15.5703125" style="11" customWidth="1"/>
    <col min="23" max="23" width="15.5703125" style="8" customWidth="1"/>
    <col min="24" max="32" width="15.5703125" style="8" hidden="1" customWidth="1" outlineLevel="1"/>
    <col min="33" max="33" width="15.5703125" style="11" customWidth="1" collapsed="1"/>
    <col min="34" max="35" width="15.5703125" style="11" customWidth="1"/>
    <col min="36" max="38" width="10.5703125" style="8" customWidth="1"/>
    <col min="39" max="39" width="6.7109375" style="8" customWidth="1"/>
    <col min="40" max="40" width="13.7109375" style="8" customWidth="1"/>
    <col min="41" max="16384" width="9" style="8"/>
  </cols>
  <sheetData>
    <row r="1" spans="1:37" ht="15" customHeight="1" x14ac:dyDescent="0.25">
      <c r="U1" s="8"/>
      <c r="V1" s="8"/>
      <c r="X1" s="114"/>
      <c r="Y1" s="114"/>
      <c r="Z1" s="114"/>
      <c r="AA1" s="86"/>
      <c r="AB1" s="114"/>
      <c r="AC1" s="114"/>
      <c r="AD1" s="114"/>
      <c r="AE1" s="114"/>
      <c r="AF1" s="114"/>
      <c r="AG1" s="8"/>
      <c r="AH1" s="8"/>
      <c r="AI1" s="9"/>
      <c r="AJ1" s="9"/>
      <c r="AK1" s="9"/>
    </row>
    <row r="2" spans="1:37" ht="15" customHeight="1" x14ac:dyDescent="0.25">
      <c r="U2" s="8"/>
      <c r="V2" s="8"/>
      <c r="X2" s="114"/>
      <c r="Y2" s="114"/>
      <c r="Z2" s="114"/>
      <c r="AA2" s="86"/>
      <c r="AB2" s="114"/>
      <c r="AC2" s="114"/>
      <c r="AD2" s="114"/>
      <c r="AE2" s="114"/>
      <c r="AF2" s="114"/>
      <c r="AG2" s="8"/>
      <c r="AH2" s="8"/>
      <c r="AI2" s="9"/>
      <c r="AJ2" s="9"/>
      <c r="AK2" s="9"/>
    </row>
    <row r="3" spans="1:37" ht="15" customHeight="1" x14ac:dyDescent="0.25">
      <c r="U3" s="8"/>
      <c r="V3" s="8"/>
      <c r="X3" s="114"/>
      <c r="Y3" s="114"/>
      <c r="Z3" s="114"/>
      <c r="AA3" s="86"/>
      <c r="AB3" s="114"/>
      <c r="AC3" s="114"/>
      <c r="AD3" s="114"/>
      <c r="AE3" s="114"/>
      <c r="AF3" s="114"/>
      <c r="AG3" s="8"/>
      <c r="AH3" s="8"/>
      <c r="AI3" s="9"/>
      <c r="AJ3" s="9"/>
      <c r="AK3" s="9"/>
    </row>
    <row r="4" spans="1:37" ht="15" customHeight="1" x14ac:dyDescent="0.25">
      <c r="U4" s="8"/>
      <c r="V4" s="8"/>
      <c r="X4" s="114"/>
      <c r="Y4" s="114"/>
      <c r="Z4" s="114"/>
      <c r="AA4" s="86"/>
      <c r="AB4" s="114"/>
      <c r="AC4" s="114"/>
      <c r="AD4" s="114"/>
      <c r="AE4" s="114"/>
      <c r="AF4" s="114"/>
      <c r="AG4" s="8"/>
      <c r="AH4" s="8"/>
      <c r="AI4" s="9"/>
      <c r="AJ4" s="9"/>
      <c r="AK4" s="9"/>
    </row>
    <row r="5" spans="1:37" ht="15" customHeight="1" x14ac:dyDescent="0.25">
      <c r="U5" s="8"/>
      <c r="V5" s="8"/>
      <c r="X5" s="114"/>
      <c r="Y5" s="114"/>
      <c r="Z5" s="114"/>
      <c r="AA5" s="86"/>
      <c r="AB5" s="114"/>
      <c r="AC5" s="114"/>
      <c r="AD5" s="114"/>
      <c r="AE5" s="114"/>
      <c r="AF5" s="114"/>
      <c r="AG5" s="8"/>
      <c r="AH5" s="8"/>
      <c r="AI5" s="9"/>
      <c r="AJ5" s="9"/>
      <c r="AK5" s="9"/>
    </row>
    <row r="6" spans="1:37" ht="15" customHeight="1" x14ac:dyDescent="0.25">
      <c r="U6" s="8"/>
      <c r="V6" s="8"/>
      <c r="X6" s="114"/>
      <c r="Y6" s="114"/>
      <c r="Z6" s="114"/>
      <c r="AA6" s="86"/>
      <c r="AB6" s="114"/>
      <c r="AC6" s="114"/>
      <c r="AD6" s="114"/>
      <c r="AE6" s="114"/>
      <c r="AF6" s="114"/>
      <c r="AG6" s="8"/>
      <c r="AH6" s="8"/>
      <c r="AI6" s="9"/>
      <c r="AJ6" s="9"/>
      <c r="AK6" s="9"/>
    </row>
    <row r="7" spans="1:37" ht="15" customHeight="1" x14ac:dyDescent="0.25">
      <c r="U7" s="8"/>
      <c r="V7" s="8"/>
      <c r="X7" s="114"/>
      <c r="Y7" s="114"/>
      <c r="Z7" s="114"/>
      <c r="AA7" s="86"/>
      <c r="AB7" s="114"/>
      <c r="AC7" s="114"/>
      <c r="AD7" s="114"/>
      <c r="AE7" s="114"/>
      <c r="AF7" s="114"/>
      <c r="AG7" s="8"/>
      <c r="AH7" s="8"/>
      <c r="AI7" s="9"/>
      <c r="AJ7" s="9"/>
      <c r="AK7" s="9"/>
    </row>
    <row r="8" spans="1:37" ht="15" customHeight="1" x14ac:dyDescent="0.25">
      <c r="A8" s="346" t="s">
        <v>57</v>
      </c>
      <c r="B8" s="347"/>
      <c r="C8" s="347"/>
      <c r="D8" s="347"/>
      <c r="E8" s="347"/>
      <c r="F8" s="347"/>
      <c r="G8" s="347"/>
      <c r="H8" s="347"/>
      <c r="I8" s="347"/>
      <c r="J8" s="347"/>
      <c r="K8" s="347"/>
      <c r="L8" s="347"/>
      <c r="M8" s="347"/>
      <c r="N8" s="347"/>
      <c r="O8" s="347"/>
      <c r="P8" s="347"/>
      <c r="Q8" s="347"/>
      <c r="R8" s="347"/>
      <c r="S8" s="347"/>
      <c r="T8" s="347"/>
      <c r="U8" s="149"/>
      <c r="V8" s="149"/>
      <c r="W8" s="149"/>
      <c r="X8" s="115"/>
      <c r="Y8" s="115"/>
      <c r="Z8" s="115"/>
      <c r="AA8" s="115"/>
      <c r="AB8" s="115"/>
      <c r="AC8" s="115"/>
      <c r="AD8" s="115"/>
      <c r="AE8" s="115"/>
      <c r="AF8" s="115"/>
      <c r="AG8" s="8"/>
      <c r="AH8" s="8"/>
      <c r="AI8" s="9"/>
      <c r="AJ8" s="9"/>
      <c r="AK8" s="9"/>
    </row>
    <row r="9" spans="1:37" ht="15" customHeight="1" x14ac:dyDescent="0.25">
      <c r="A9" s="346"/>
      <c r="B9" s="347"/>
      <c r="C9" s="347"/>
      <c r="D9" s="347"/>
      <c r="E9" s="347"/>
      <c r="F9" s="347"/>
      <c r="G9" s="347"/>
      <c r="H9" s="347"/>
      <c r="I9" s="347"/>
      <c r="J9" s="347"/>
      <c r="K9" s="347"/>
      <c r="L9" s="347"/>
      <c r="M9" s="347"/>
      <c r="N9" s="347"/>
      <c r="O9" s="347"/>
      <c r="P9" s="347"/>
      <c r="Q9" s="347"/>
      <c r="R9" s="347"/>
      <c r="S9" s="347"/>
      <c r="T9" s="347"/>
      <c r="U9" s="149"/>
      <c r="V9" s="149"/>
      <c r="W9" s="149"/>
      <c r="X9" s="115"/>
      <c r="Y9" s="115"/>
      <c r="Z9" s="115"/>
      <c r="AA9" s="115"/>
      <c r="AB9" s="115"/>
      <c r="AC9" s="115"/>
      <c r="AD9" s="115"/>
      <c r="AE9" s="115"/>
      <c r="AF9" s="115"/>
      <c r="AG9" s="8"/>
      <c r="AH9" s="8"/>
      <c r="AI9" s="9"/>
      <c r="AJ9" s="9"/>
      <c r="AK9" s="9"/>
    </row>
    <row r="10" spans="1:37" ht="15" customHeight="1" x14ac:dyDescent="0.25">
      <c r="U10" s="8"/>
      <c r="V10" s="8"/>
      <c r="X10" s="114"/>
      <c r="Y10" s="114"/>
      <c r="Z10" s="114"/>
      <c r="AA10" s="86"/>
      <c r="AB10" s="114"/>
      <c r="AC10" s="114"/>
      <c r="AD10" s="114"/>
      <c r="AE10" s="114"/>
      <c r="AF10" s="114"/>
      <c r="AG10" s="8"/>
      <c r="AH10" s="8"/>
      <c r="AI10" s="9"/>
      <c r="AJ10" s="9"/>
      <c r="AK10" s="9"/>
    </row>
    <row r="11" spans="1:37" ht="15" customHeight="1" x14ac:dyDescent="0.25">
      <c r="B11" s="348" t="s">
        <v>22</v>
      </c>
      <c r="C11" s="349"/>
      <c r="D11" s="350"/>
      <c r="E11" s="10"/>
      <c r="F11" s="348" t="s">
        <v>56</v>
      </c>
      <c r="G11" s="349"/>
      <c r="H11" s="350"/>
      <c r="J11" s="334" t="s">
        <v>23</v>
      </c>
      <c r="K11" s="335"/>
      <c r="L11" s="335"/>
      <c r="M11" s="335"/>
      <c r="N11" s="335"/>
      <c r="O11" s="339"/>
      <c r="Q11" s="342" t="s">
        <v>92</v>
      </c>
      <c r="R11" s="342"/>
      <c r="S11" s="342"/>
      <c r="U11" s="8"/>
      <c r="V11" s="8"/>
      <c r="X11" s="114"/>
      <c r="Y11" s="114"/>
      <c r="Z11" s="114"/>
      <c r="AA11" s="86"/>
      <c r="AB11" s="114"/>
      <c r="AC11" s="114"/>
      <c r="AD11" s="86"/>
      <c r="AE11" s="86"/>
      <c r="AF11" s="86"/>
      <c r="AG11" s="8"/>
      <c r="AH11" s="8"/>
      <c r="AI11" s="9"/>
      <c r="AJ11" s="9"/>
      <c r="AK11" s="9"/>
    </row>
    <row r="12" spans="1:37" ht="15" customHeight="1" x14ac:dyDescent="0.25">
      <c r="B12" s="334" t="s">
        <v>27</v>
      </c>
      <c r="C12" s="335"/>
      <c r="D12" s="78">
        <f>Sale_Price</f>
        <v>500000</v>
      </c>
      <c r="F12" s="332" t="s">
        <v>35</v>
      </c>
      <c r="G12" s="333"/>
      <c r="H12" s="78">
        <f>Monthly_Rent</f>
        <v>2900</v>
      </c>
      <c r="J12" s="337" t="s">
        <v>4</v>
      </c>
      <c r="K12" s="338"/>
      <c r="L12" s="81">
        <f>Loan_Rate</f>
        <v>7.4999999999999997E-2</v>
      </c>
      <c r="M12" s="338" t="s">
        <v>29</v>
      </c>
      <c r="N12" s="338"/>
      <c r="O12" s="116">
        <f>-PMT(Loan_Rate/12,Loan_Term*12,Initial_Loan_Amount,0,0)</f>
        <v>2622.054407072922</v>
      </c>
      <c r="Q12" s="315" t="s">
        <v>87</v>
      </c>
      <c r="R12" s="316"/>
      <c r="S12" s="77">
        <f>Monthly_Management_Fee_Percentage</f>
        <v>0.09</v>
      </c>
      <c r="U12" s="8"/>
      <c r="V12" s="8"/>
      <c r="X12" s="114"/>
      <c r="Y12" s="114"/>
      <c r="Z12" s="336" t="s">
        <v>80</v>
      </c>
      <c r="AA12" s="336"/>
      <c r="AB12" s="86">
        <f>PMT(Loan_Rate/12,Loan_Term*12,-(Initial_Loan_Amount+Closing_Costs_Total),0)</f>
        <v>2622.054407072922</v>
      </c>
      <c r="AC12" s="114"/>
      <c r="AD12" s="86" t="s">
        <v>30</v>
      </c>
      <c r="AE12" s="86"/>
      <c r="AF12" s="86"/>
      <c r="AG12" s="8"/>
      <c r="AH12" s="8"/>
      <c r="AI12" s="9"/>
      <c r="AJ12" s="9"/>
      <c r="AK12" s="9"/>
    </row>
    <row r="13" spans="1:37" ht="15" customHeight="1" x14ac:dyDescent="0.25">
      <c r="B13" s="351" t="str">
        <f>'Client Dashboard'!B11</f>
        <v>Improvement Costs</v>
      </c>
      <c r="C13" s="352"/>
      <c r="D13" s="78">
        <f>Improvement_Costs</f>
        <v>0</v>
      </c>
      <c r="F13" s="315" t="s">
        <v>128</v>
      </c>
      <c r="G13" s="356"/>
      <c r="H13" s="77">
        <v>0.05</v>
      </c>
      <c r="J13" s="317" t="s">
        <v>79</v>
      </c>
      <c r="K13" s="318"/>
      <c r="L13" s="91">
        <f>IF(Initial_Loan_Amount&gt;0,RATE(Loan_Term*12,Hypothetical_Payment,-Initial_Loan_Amount,0)*12,"N/A")</f>
        <v>7.4999999999999886E-2</v>
      </c>
      <c r="M13" s="318" t="s">
        <v>94</v>
      </c>
      <c r="N13" s="318"/>
      <c r="O13" s="116">
        <f>IF(Management_Fee_Y_or_N="Yes",(Monthly_Management_Fee_Percentage*Monthly_Rent*Rent_Occupancy)+((Lease_Up_Fee_Percentage*Monthly_Rent)/Average_Tenant_Turnover_Months)+Monthly_Management_Fee_Dollars+(Lease_Up_Fee_Dollars/Average_Tenant_Turnover_Months),0)</f>
        <v>0</v>
      </c>
      <c r="Q13" s="311" t="s">
        <v>90</v>
      </c>
      <c r="R13" s="314"/>
      <c r="S13" s="78">
        <f>Monthly_Management_Fee_Dollars</f>
        <v>0</v>
      </c>
      <c r="U13" s="8"/>
      <c r="V13" s="8"/>
      <c r="X13" s="114"/>
      <c r="Y13" s="114"/>
      <c r="Z13" s="114"/>
      <c r="AA13" s="86"/>
      <c r="AB13" s="114"/>
      <c r="AC13" s="114"/>
      <c r="AD13" s="114" t="s">
        <v>31</v>
      </c>
      <c r="AE13" s="114"/>
      <c r="AF13" s="114"/>
      <c r="AG13" s="8"/>
      <c r="AH13" s="8"/>
      <c r="AI13" s="9"/>
      <c r="AJ13" s="9"/>
      <c r="AK13" s="9"/>
    </row>
    <row r="14" spans="1:37" ht="15" customHeight="1" x14ac:dyDescent="0.25">
      <c r="B14" s="317" t="s">
        <v>59</v>
      </c>
      <c r="C14" s="318"/>
      <c r="D14" s="78">
        <f>Additional_Equity</f>
        <v>0</v>
      </c>
      <c r="F14" s="326" t="s">
        <v>36</v>
      </c>
      <c r="G14" s="341"/>
      <c r="H14" s="79">
        <f>Rent_Occupancy</f>
        <v>0.96</v>
      </c>
      <c r="J14" s="317" t="s">
        <v>28</v>
      </c>
      <c r="K14" s="318"/>
      <c r="L14" s="82">
        <f>Loan_Term</f>
        <v>30</v>
      </c>
      <c r="M14" s="318" t="s">
        <v>50</v>
      </c>
      <c r="N14" s="318"/>
      <c r="O14" s="116">
        <f>Monthly_HOA+Total_Monthly_Mgmt_Fee+Monthly_Utilities+(Annual_Property_Tax/12)+(Annual_Insurance/12)</f>
        <v>340.5</v>
      </c>
      <c r="Q14" s="311" t="s">
        <v>88</v>
      </c>
      <c r="R14" s="314"/>
      <c r="S14" s="77">
        <f>Lease_Up_Fee_Percentage</f>
        <v>0.5</v>
      </c>
      <c r="U14" s="8"/>
      <c r="V14" s="8"/>
      <c r="X14" s="114"/>
      <c r="Y14" s="117" t="s">
        <v>147</v>
      </c>
      <c r="Z14" s="117" t="s">
        <v>151</v>
      </c>
      <c r="AA14" s="110" t="s">
        <v>152</v>
      </c>
      <c r="AB14" s="117" t="s">
        <v>153</v>
      </c>
      <c r="AC14" s="114"/>
      <c r="AD14" s="86"/>
      <c r="AE14" s="86"/>
      <c r="AF14" s="86"/>
      <c r="AG14" s="8"/>
      <c r="AH14" s="8"/>
      <c r="AI14" s="9"/>
      <c r="AJ14" s="9"/>
      <c r="AK14" s="9"/>
    </row>
    <row r="15" spans="1:37" ht="15" customHeight="1" x14ac:dyDescent="0.25">
      <c r="B15" s="351" t="s">
        <v>83</v>
      </c>
      <c r="C15" s="352"/>
      <c r="D15" s="90">
        <f>Additional_Acquisition_Costs</f>
        <v>0</v>
      </c>
      <c r="F15" s="317" t="s">
        <v>39</v>
      </c>
      <c r="G15" s="318"/>
      <c r="H15" s="77">
        <f>Annual_Rent_Increase_Percentage</f>
        <v>3.5000000000000003E-2</v>
      </c>
      <c r="J15" s="317" t="s">
        <v>70</v>
      </c>
      <c r="K15" s="318"/>
      <c r="L15" s="78">
        <f>Monthly_Utilities</f>
        <v>0</v>
      </c>
      <c r="M15" s="318" t="s">
        <v>7</v>
      </c>
      <c r="N15" s="318"/>
      <c r="O15" s="118">
        <f>Monthly_HOA</f>
        <v>0</v>
      </c>
      <c r="Q15" s="311" t="s">
        <v>89</v>
      </c>
      <c r="R15" s="314"/>
      <c r="S15" s="78">
        <f>Lease_Up_Fee_Dollars</f>
        <v>0</v>
      </c>
      <c r="U15" s="8"/>
      <c r="V15" s="8"/>
      <c r="X15" s="114"/>
      <c r="Y15" s="111" t="s">
        <v>148</v>
      </c>
      <c r="Z15" s="117">
        <v>3</v>
      </c>
      <c r="AA15" s="112">
        <v>0.03</v>
      </c>
      <c r="AB15" s="113">
        <f>PI_Payment-(-PMT(((Loan_Rate-AA15)/12),(Loan_Term*12),Initial_Loan_Amount,0))</f>
        <v>721.98449522586952</v>
      </c>
      <c r="AC15" s="114"/>
      <c r="AD15" s="114"/>
      <c r="AE15" s="114"/>
      <c r="AF15" s="114"/>
      <c r="AG15" s="8"/>
      <c r="AH15" s="8"/>
      <c r="AI15" s="9"/>
      <c r="AJ15" s="9"/>
      <c r="AK15" s="9"/>
    </row>
    <row r="16" spans="1:37" ht="15" customHeight="1" x14ac:dyDescent="0.25">
      <c r="B16" s="324" t="s">
        <v>19</v>
      </c>
      <c r="C16" s="325"/>
      <c r="D16" s="77">
        <f>Down_Payment_Percentage</f>
        <v>0.25</v>
      </c>
      <c r="F16" s="326" t="str">
        <f>'Client Dashboard'!B35</f>
        <v>Professional Management?</v>
      </c>
      <c r="G16" s="327"/>
      <c r="H16" s="80" t="str">
        <f>Management_Fee_Y_or_N</f>
        <v>No</v>
      </c>
      <c r="J16" s="317" t="s">
        <v>84</v>
      </c>
      <c r="K16" s="318"/>
      <c r="L16" s="78">
        <f>Other_Fixed_Monthly_Cost</f>
        <v>0</v>
      </c>
      <c r="M16" s="341" t="s">
        <v>164</v>
      </c>
      <c r="N16" s="341"/>
      <c r="O16" s="154">
        <f>Annual_Maintenance_Reserves_Budget_Percentage</f>
        <v>4.0000000000000001E-3</v>
      </c>
      <c r="Q16" s="309" t="s">
        <v>91</v>
      </c>
      <c r="R16" s="313"/>
      <c r="S16" s="122">
        <f>Average_Tenant_Turnover_Months</f>
        <v>36</v>
      </c>
      <c r="U16" s="8"/>
      <c r="V16" s="8"/>
      <c r="X16" s="114"/>
      <c r="Y16" s="119" t="s">
        <v>149</v>
      </c>
      <c r="Z16" s="117">
        <v>2</v>
      </c>
      <c r="AA16" s="112">
        <v>0.02</v>
      </c>
      <c r="AB16" s="113">
        <f>PI_Payment-(-PMT(((Loan_Rate-AA16)/12),(Loan_Term*12),Initial_Loan_Amount,0))</f>
        <v>492.84565202166141</v>
      </c>
      <c r="AC16" s="114"/>
      <c r="AD16" s="86"/>
      <c r="AE16" s="86"/>
      <c r="AF16" s="86"/>
      <c r="AG16" s="8"/>
      <c r="AH16" s="8"/>
      <c r="AI16" s="9"/>
      <c r="AJ16" s="9"/>
      <c r="AK16" s="9"/>
    </row>
    <row r="17" spans="2:37" ht="15" customHeight="1" x14ac:dyDescent="0.25">
      <c r="B17" s="351" t="s">
        <v>69</v>
      </c>
      <c r="C17" s="352"/>
      <c r="D17" s="75">
        <f>Down_Payment_Dollars</f>
        <v>125000</v>
      </c>
      <c r="F17" s="330" t="s">
        <v>32</v>
      </c>
      <c r="G17" s="331"/>
      <c r="H17" s="120" t="str">
        <f>Net_Income_Toward_Loan</f>
        <v>No</v>
      </c>
      <c r="J17" s="311" t="s">
        <v>85</v>
      </c>
      <c r="K17" s="314"/>
      <c r="L17" s="82">
        <v>20</v>
      </c>
      <c r="M17" s="341" t="s">
        <v>165</v>
      </c>
      <c r="N17" s="341"/>
      <c r="O17" s="152">
        <f>Annual_Maintenance_Reserves_Budget_Percentage*Sale_Price</f>
        <v>2000</v>
      </c>
      <c r="U17" s="8"/>
      <c r="V17" s="8"/>
      <c r="X17" s="114"/>
      <c r="Y17" s="119" t="s">
        <v>150</v>
      </c>
      <c r="Z17" s="117">
        <v>1</v>
      </c>
      <c r="AA17" s="112">
        <v>0.01</v>
      </c>
      <c r="AB17" s="113">
        <f>PI_Payment-(-PMT(((Loan_Rate-AA17)/12),(Loan_Term*12),Initial_Loan_Amount,0))</f>
        <v>251.79931897430788</v>
      </c>
      <c r="AC17" s="114"/>
      <c r="AD17" s="86"/>
      <c r="AE17" s="86"/>
      <c r="AF17" s="86"/>
      <c r="AG17" s="8"/>
      <c r="AH17" s="8"/>
      <c r="AI17" s="9"/>
      <c r="AJ17" s="9"/>
      <c r="AK17" s="9"/>
    </row>
    <row r="18" spans="2:37" ht="15" customHeight="1" x14ac:dyDescent="0.25">
      <c r="B18" s="328" t="s">
        <v>33</v>
      </c>
      <c r="C18" s="329"/>
      <c r="D18" s="76">
        <f>Total_Initial_Investment</f>
        <v>125000</v>
      </c>
      <c r="J18" s="317" t="s">
        <v>37</v>
      </c>
      <c r="K18" s="319"/>
      <c r="L18" s="77">
        <f>Annual_Inflation_Percentage</f>
        <v>3.5000000000000003E-2</v>
      </c>
      <c r="M18" s="341" t="s">
        <v>52</v>
      </c>
      <c r="N18" s="341"/>
      <c r="O18" s="78">
        <f>Annual_Property_Tax</f>
        <v>2886</v>
      </c>
      <c r="U18" s="8"/>
      <c r="V18" s="8"/>
      <c r="X18" s="114"/>
      <c r="Y18" s="117" t="s">
        <v>24</v>
      </c>
      <c r="Z18" s="117">
        <v>0</v>
      </c>
      <c r="AA18" s="112">
        <v>0</v>
      </c>
      <c r="AB18" s="113">
        <f>PI_Payment-(-PMT(((Loan_Rate-AA18)/12),(Loan_Term*12),Initial_Loan_Amount,0))</f>
        <v>0</v>
      </c>
      <c r="AC18" s="114"/>
      <c r="AD18" s="86"/>
      <c r="AE18" s="86"/>
      <c r="AF18" s="86"/>
      <c r="AG18" s="8"/>
      <c r="AH18" s="8"/>
      <c r="AI18" s="9"/>
      <c r="AJ18" s="9"/>
      <c r="AK18" s="9"/>
    </row>
    <row r="19" spans="2:37" ht="15" customHeight="1" x14ac:dyDescent="0.25">
      <c r="B19" s="317" t="s">
        <v>99</v>
      </c>
      <c r="C19" s="318"/>
      <c r="D19" s="116">
        <f>Sale_Price-Down_Payment_Dollars</f>
        <v>375000</v>
      </c>
      <c r="F19" s="353" t="s">
        <v>34</v>
      </c>
      <c r="G19" s="354"/>
      <c r="H19" s="355"/>
      <c r="J19" s="320" t="s">
        <v>140</v>
      </c>
      <c r="K19" s="320"/>
      <c r="L19" s="77">
        <f>Cost_of_Sale_Percentage</f>
        <v>0.06</v>
      </c>
      <c r="M19" s="340" t="s">
        <v>51</v>
      </c>
      <c r="N19" s="340"/>
      <c r="O19" s="78">
        <f>Annual_Insurance</f>
        <v>1200</v>
      </c>
      <c r="Q19" s="343" t="s">
        <v>97</v>
      </c>
      <c r="R19" s="344"/>
      <c r="S19" s="345"/>
      <c r="U19" s="8"/>
      <c r="V19" s="8"/>
      <c r="X19" s="114"/>
      <c r="Y19" s="114"/>
      <c r="Z19" s="114"/>
      <c r="AA19" s="86"/>
      <c r="AB19" s="114"/>
      <c r="AC19" s="114"/>
      <c r="AD19" s="86"/>
      <c r="AE19" s="86"/>
      <c r="AF19" s="86"/>
      <c r="AG19" s="8"/>
      <c r="AH19" s="8"/>
      <c r="AI19" s="9"/>
      <c r="AJ19" s="9"/>
      <c r="AK19" s="9"/>
    </row>
    <row r="20" spans="2:37" ht="15" customHeight="1" x14ac:dyDescent="0.25">
      <c r="B20" s="317" t="s">
        <v>20</v>
      </c>
      <c r="C20" s="318"/>
      <c r="D20" s="116">
        <f>Sale_Price+Additional_Equity-Initial_Loan_Amount</f>
        <v>125000</v>
      </c>
      <c r="F20" s="315" t="s">
        <v>120</v>
      </c>
      <c r="G20" s="316"/>
      <c r="H20" s="121">
        <f>Closing_Costs_Fees</f>
        <v>0</v>
      </c>
      <c r="Q20" s="311" t="s">
        <v>172</v>
      </c>
      <c r="R20" s="312"/>
      <c r="S20" s="153">
        <f>(D27+E27+F27)*12</f>
        <v>27322</v>
      </c>
      <c r="U20" s="8"/>
      <c r="V20" s="8"/>
      <c r="X20" s="114"/>
      <c r="Y20" s="114"/>
      <c r="Z20" s="114"/>
      <c r="AA20" s="86"/>
      <c r="AB20" s="114"/>
      <c r="AC20" s="114"/>
      <c r="AD20" s="114"/>
      <c r="AE20" s="114"/>
      <c r="AF20" s="114"/>
      <c r="AG20" s="8"/>
      <c r="AH20" s="8"/>
      <c r="AI20" s="9"/>
      <c r="AJ20" s="9"/>
      <c r="AK20" s="9"/>
    </row>
    <row r="21" spans="2:37" ht="15" customHeight="1" x14ac:dyDescent="0.25">
      <c r="B21" s="322" t="s">
        <v>38</v>
      </c>
      <c r="C21" s="323"/>
      <c r="D21" s="77">
        <f>Annual_Appreciation_Percentage</f>
        <v>0.06</v>
      </c>
      <c r="F21" s="311" t="s">
        <v>121</v>
      </c>
      <c r="G21" s="314"/>
      <c r="H21" s="98">
        <f>Closing_Costs_Points</f>
        <v>0</v>
      </c>
      <c r="Q21" s="311" t="s">
        <v>81</v>
      </c>
      <c r="R21" s="312"/>
      <c r="S21" s="83">
        <f>NOI/(Sale_Price+Improvement_Costs+Closing_Costs_Total+Additional_Acquisition_Costs)</f>
        <v>5.4643999999999998E-2</v>
      </c>
      <c r="U21" s="8"/>
      <c r="V21" s="8"/>
      <c r="X21" s="114"/>
      <c r="Y21" s="114"/>
      <c r="Z21" s="114"/>
      <c r="AA21" s="86"/>
      <c r="AB21" s="114"/>
      <c r="AC21" s="114"/>
      <c r="AD21" s="114"/>
      <c r="AE21" s="114"/>
      <c r="AF21" s="114"/>
      <c r="AG21" s="8"/>
      <c r="AH21" s="8"/>
      <c r="AI21" s="9"/>
      <c r="AJ21" s="9"/>
      <c r="AK21" s="9"/>
    </row>
    <row r="22" spans="2:37" ht="15" customHeight="1" x14ac:dyDescent="0.25">
      <c r="B22" s="321" t="s">
        <v>71</v>
      </c>
      <c r="C22" s="321"/>
      <c r="D22" s="80">
        <f>Comparison_Rate_of_Return</f>
        <v>0.1</v>
      </c>
      <c r="F22" s="309" t="s">
        <v>122</v>
      </c>
      <c r="G22" s="313"/>
      <c r="H22" s="121" cm="1">
        <f t="array" ref="H22">Closing_Costs_Fees+(Closing_Costs_Points*Initial_Loan_Amount)</f>
        <v>0</v>
      </c>
      <c r="Q22" s="309" t="s">
        <v>175</v>
      </c>
      <c r="R22" s="310"/>
      <c r="S22" s="83">
        <f>(R27*12)/(Total_Initial_Investment)</f>
        <v>-2.2005223079000512E-2</v>
      </c>
      <c r="U22" s="8"/>
      <c r="V22" s="8"/>
      <c r="X22" s="114"/>
      <c r="Y22" s="114"/>
      <c r="Z22" s="114"/>
      <c r="AA22" s="86"/>
      <c r="AB22" s="114"/>
      <c r="AC22" s="114"/>
      <c r="AD22" s="114"/>
      <c r="AE22" s="114"/>
      <c r="AF22" s="114"/>
      <c r="AG22" s="8"/>
      <c r="AH22" s="8"/>
      <c r="AI22" s="9"/>
      <c r="AJ22" s="9"/>
      <c r="AK22" s="9"/>
    </row>
    <row r="23" spans="2:37" s="123" customFormat="1" ht="15" customHeight="1" x14ac:dyDescent="0.25">
      <c r="B23" s="320" t="s">
        <v>147</v>
      </c>
      <c r="C23" s="320"/>
      <c r="D23" s="122" t="str">
        <f>Loan_Type</f>
        <v>N/A</v>
      </c>
      <c r="X23" s="114"/>
      <c r="Y23" s="124"/>
      <c r="Z23" s="124"/>
      <c r="AA23" s="42"/>
      <c r="AB23" s="124"/>
      <c r="AC23" s="124"/>
      <c r="AD23" s="124"/>
      <c r="AE23" s="124"/>
      <c r="AF23" s="124"/>
    </row>
    <row r="24" spans="2:37" s="123" customFormat="1" ht="15" customHeight="1" x14ac:dyDescent="0.25">
      <c r="B24" s="125"/>
      <c r="C24" s="125"/>
      <c r="D24" s="126"/>
      <c r="I24" s="127"/>
      <c r="X24" s="114"/>
      <c r="Y24" s="124"/>
      <c r="Z24" s="124"/>
      <c r="AA24" s="42"/>
      <c r="AB24" s="124"/>
      <c r="AC24" s="124"/>
      <c r="AD24" s="124"/>
      <c r="AE24" s="124"/>
      <c r="AF24" s="124"/>
    </row>
    <row r="25" spans="2:37" s="123" customFormat="1" ht="15" customHeight="1" x14ac:dyDescent="0.25">
      <c r="B25" s="87"/>
      <c r="C25" s="87"/>
      <c r="D25" s="88"/>
      <c r="G25" s="85"/>
      <c r="H25" s="85"/>
      <c r="I25" s="127"/>
      <c r="O25" s="8"/>
      <c r="P25" s="89"/>
      <c r="X25" s="114"/>
      <c r="Y25" s="124"/>
      <c r="Z25" s="124"/>
      <c r="AA25" s="42"/>
      <c r="AB25" s="124"/>
      <c r="AC25" s="124"/>
      <c r="AD25" s="124"/>
      <c r="AE25" s="124"/>
      <c r="AF25" s="124"/>
    </row>
    <row r="26" spans="2:37" s="133" customFormat="1" ht="45" customHeight="1" x14ac:dyDescent="0.25">
      <c r="B26" s="128" t="s">
        <v>168</v>
      </c>
      <c r="C26" s="128" t="s">
        <v>1</v>
      </c>
      <c r="D26" s="128" t="s">
        <v>58</v>
      </c>
      <c r="E26" s="128" t="s">
        <v>44</v>
      </c>
      <c r="F26" s="128" t="s">
        <v>104</v>
      </c>
      <c r="G26" s="128" t="s">
        <v>86</v>
      </c>
      <c r="H26" s="129" t="s">
        <v>144</v>
      </c>
      <c r="I26" s="128" t="s">
        <v>145</v>
      </c>
      <c r="J26" s="128" t="s">
        <v>146</v>
      </c>
      <c r="K26" s="130" t="s">
        <v>5</v>
      </c>
      <c r="L26" s="130" t="s">
        <v>178</v>
      </c>
      <c r="M26" s="130" t="s">
        <v>177</v>
      </c>
      <c r="N26" s="130" t="s">
        <v>161</v>
      </c>
      <c r="O26" s="128" t="s">
        <v>98</v>
      </c>
      <c r="P26" s="12" t="s">
        <v>2</v>
      </c>
      <c r="Q26" s="13" t="s">
        <v>3</v>
      </c>
      <c r="R26" s="128" t="s">
        <v>26</v>
      </c>
      <c r="S26" s="128" t="s">
        <v>169</v>
      </c>
      <c r="T26" s="128" t="s">
        <v>167</v>
      </c>
      <c r="U26" s="128" t="s">
        <v>18</v>
      </c>
      <c r="V26" s="128" t="s">
        <v>25</v>
      </c>
      <c r="W26" s="128" t="s">
        <v>48</v>
      </c>
      <c r="X26" s="128" t="s">
        <v>174</v>
      </c>
      <c r="Y26" s="128" t="s">
        <v>43</v>
      </c>
      <c r="Z26" s="131" t="s">
        <v>13</v>
      </c>
      <c r="AA26" s="132" t="s">
        <v>16</v>
      </c>
      <c r="AB26" s="131" t="s">
        <v>40</v>
      </c>
      <c r="AC26" s="131" t="s">
        <v>41</v>
      </c>
      <c r="AD26" s="132" t="s">
        <v>17</v>
      </c>
      <c r="AE26" s="43" t="s">
        <v>42</v>
      </c>
      <c r="AF26" s="131" t="s">
        <v>126</v>
      </c>
      <c r="AG26" s="131" t="s">
        <v>127</v>
      </c>
      <c r="AH26" s="131" t="s">
        <v>139</v>
      </c>
      <c r="AI26" s="13" t="s">
        <v>72</v>
      </c>
    </row>
    <row r="27" spans="2:37" ht="15" customHeight="1" x14ac:dyDescent="0.25">
      <c r="B27" s="134">
        <v>0</v>
      </c>
      <c r="C27" s="14">
        <f>Sale_Price+Additional_Equity</f>
        <v>500000</v>
      </c>
      <c r="D27" s="14">
        <f>Monthly_Rent*Rent_Occupancy</f>
        <v>2784</v>
      </c>
      <c r="E27" s="14">
        <f>-Monthly_Expenses_Excluding_Principal_and_Interest</f>
        <v>-340.5</v>
      </c>
      <c r="F27" s="14">
        <f>-(Annual_Maintenance_Reserves_Budget/12)</f>
        <v>-166.66666666666666</v>
      </c>
      <c r="G27" s="14">
        <f>IF(Other_Monthly_Cost_Months&gt;AA27,-Other_Fixed_Monthly_Cost,0)</f>
        <v>0</v>
      </c>
      <c r="H27" s="14">
        <f t="shared" ref="H27:H39" si="0">IF(Loan_Type="3-2-1",$AB$15,0)</f>
        <v>0</v>
      </c>
      <c r="I27" s="14">
        <f t="shared" ref="I27:I39" si="1">IF(Loan_Type="2-1",$AB$16,0)</f>
        <v>0</v>
      </c>
      <c r="J27" s="14">
        <f t="shared" ref="J27:J39" si="2">IF(Loan_Type="1-0",$AB$17,0)</f>
        <v>0</v>
      </c>
      <c r="K27" s="14">
        <f>IF(P27&gt;PI_Payment,-PI_Payment,P27)</f>
        <v>-2622.054407072922</v>
      </c>
      <c r="L27" s="14">
        <f>-E27-F27-G27</f>
        <v>507.16666666666663</v>
      </c>
      <c r="M27" s="14">
        <f t="shared" ref="M27:M90" si="3">-E27-F27-G27-H27-I27-J27-K27</f>
        <v>3129.2210737395885</v>
      </c>
      <c r="N27" s="14">
        <f t="shared" ref="N27:N90" si="4">(D27/Rent_Occupancy)+E27+G27+(H27+I27+J27)+K27</f>
        <v>-62.554407072922004</v>
      </c>
      <c r="O27" s="14">
        <f t="shared" ref="O27:O90" si="5">D27+E27+F27+G27+(H27+I27+J27)</f>
        <v>2276.8333333333335</v>
      </c>
      <c r="P27" s="14">
        <f>Initial_Loan_Amount</f>
        <v>375000</v>
      </c>
      <c r="Q27" s="14">
        <f t="shared" ref="Q27:Q90" si="6">C27-P27</f>
        <v>125000</v>
      </c>
      <c r="R27" s="14">
        <f t="shared" ref="R27:R90" si="7">IF(Net_Income_Toward_Loan="No",N27+F27,IF((N27+F27)&lt;0,(N27+F27),IF((N27+F27)+PI_Payment&gt;P27,D27+E27-P27,0)))</f>
        <v>-229.22107373958866</v>
      </c>
      <c r="S27" s="14">
        <v>0</v>
      </c>
      <c r="T27" s="14">
        <v>0</v>
      </c>
      <c r="U27" s="14">
        <f t="shared" ref="U27:U90" si="8">Q27+T27</f>
        <v>125000</v>
      </c>
      <c r="V27" s="14" t="s">
        <v>24</v>
      </c>
      <c r="W27" s="14" t="s">
        <v>24</v>
      </c>
      <c r="X27" s="14" t="s">
        <v>24</v>
      </c>
      <c r="Y27" s="14" t="s">
        <v>24</v>
      </c>
      <c r="Z27" s="135">
        <f t="shared" ref="Z27:Z90" si="9">IF(D27+E27+F27+G27+H27+I27+J27&gt;-K27,D27+E27+F27+G27+H27+I27+J27,-K27)</f>
        <v>2622.054407072922</v>
      </c>
      <c r="AA27" s="136">
        <v>0</v>
      </c>
      <c r="AB27" s="51">
        <f>IPMT(Loan_Rate/12,1,Loan_Term*12,Initial_Loan_Amount,0)</f>
        <v>-2343.75</v>
      </c>
      <c r="AC27" s="44" t="s">
        <v>24</v>
      </c>
      <c r="AD27" s="44" t="s">
        <v>24</v>
      </c>
      <c r="AE27" s="45" t="s">
        <v>24</v>
      </c>
      <c r="AF27" s="137">
        <f>-Total_Initial_Investment</f>
        <v>-125000</v>
      </c>
      <c r="AG27" s="137">
        <f>-Total_Initial_Investment</f>
        <v>-125000</v>
      </c>
      <c r="AH27" s="137">
        <f t="shared" ref="AH27:AH90" si="10">U27-(C27*Cost_of_Sale_Percentage)</f>
        <v>95000</v>
      </c>
      <c r="AI27" s="14">
        <f>Total_Initial_Investment</f>
        <v>125000</v>
      </c>
      <c r="AJ27" s="9"/>
      <c r="AK27" s="9"/>
    </row>
    <row r="28" spans="2:37" s="123" customFormat="1" ht="12" hidden="1" customHeight="1" outlineLevel="1" x14ac:dyDescent="0.25">
      <c r="B28" s="8" t="str">
        <f t="shared" ref="B28:B91" si="11">IF(MOD(AA28,12)=0,AA28/12,"")</f>
        <v/>
      </c>
      <c r="C28" s="9">
        <f t="shared" ref="C28:C91" si="12">C27*(1+(Annual_Appreciation_Percentage/12))</f>
        <v>502499.99999999994</v>
      </c>
      <c r="D28" s="9">
        <f>Monthly_Rent*Rent_Occupancy</f>
        <v>2784</v>
      </c>
      <c r="E28" s="9">
        <f>-Monthly_Expenses_Excluding_Principal_and_Interest</f>
        <v>-340.5</v>
      </c>
      <c r="F28" s="9">
        <f>-(Annual_Maintenance_Reserves_Budget/12)</f>
        <v>-166.66666666666666</v>
      </c>
      <c r="G28" s="9">
        <f t="shared" ref="G28:G91" si="13">IF(Other_Monthly_Cost_Months&gt;=AA28,-Other_Fixed_Monthly_Cost,0)</f>
        <v>0</v>
      </c>
      <c r="H28" s="9">
        <f t="shared" si="0"/>
        <v>0</v>
      </c>
      <c r="I28" s="9">
        <f t="shared" si="1"/>
        <v>0</v>
      </c>
      <c r="J28" s="9">
        <f t="shared" si="2"/>
        <v>0</v>
      </c>
      <c r="K28" s="9">
        <f t="shared" ref="K28:K91" si="14">IF(P27&gt;PI_Payment,-PI_Payment,-P27)</f>
        <v>-2622.054407072922</v>
      </c>
      <c r="L28" s="9">
        <f t="shared" ref="L28:L91" si="15">-E28-F28-G28</f>
        <v>507.16666666666663</v>
      </c>
      <c r="M28" s="9">
        <f t="shared" si="3"/>
        <v>3129.2210737395885</v>
      </c>
      <c r="N28" s="9">
        <f t="shared" si="4"/>
        <v>-62.554407072922004</v>
      </c>
      <c r="O28" s="9">
        <f t="shared" si="5"/>
        <v>2276.8333333333335</v>
      </c>
      <c r="P28" s="9">
        <f t="shared" ref="P28:P91" si="16">IF(Net_Income_Toward_Loan="No",-IF(FV(Loan_Rate/12,1,(K28),P27,0)&lt;0,FV(Loan_Rate/12,1,(K28),P27,0),0),-IF(FV(Loan_Rate/12,1,(-Z28),P27,0)&lt;0,FV(Loan_Rate/12,1,(-Z28),P27,0),0))</f>
        <v>374721.69559292711</v>
      </c>
      <c r="Q28" s="9">
        <f t="shared" si="6"/>
        <v>127778.30440707284</v>
      </c>
      <c r="R28" s="11">
        <f t="shared" si="7"/>
        <v>-229.22107373958866</v>
      </c>
      <c r="S28" s="11" cm="1">
        <f t="array" ref="S28">Y28*tax_rate</f>
        <v>0</v>
      </c>
      <c r="T28" s="9">
        <f t="shared" ref="T28:T91" si="17">T27*(1+Time_Value_of_Money_Percentage/12)+R28+S28</f>
        <v>-229.22107373958866</v>
      </c>
      <c r="U28" s="9">
        <f t="shared" si="8"/>
        <v>127549.08333333324</v>
      </c>
      <c r="V28" s="11"/>
      <c r="W28" s="138">
        <f t="shared" ref="W28:W91" si="18">RATE(AA28/12,0,-Total_Initial_Investment,U28,0)</f>
        <v>0.27411299514882415</v>
      </c>
      <c r="X28" s="138" t="str">
        <f t="shared" ref="X28:X37" si="19">IF(V28=0,"",V28/S16)</f>
        <v/>
      </c>
      <c r="Y28" s="9"/>
      <c r="Z28" s="139">
        <f t="shared" si="9"/>
        <v>2622.054407072922</v>
      </c>
      <c r="AA28" s="114">
        <v>1</v>
      </c>
      <c r="AB28" s="46">
        <f t="shared" ref="AB28:AB91" si="20">IF(AA28&lt;Loan_Term*12,IPMT(Loan_Rate/12,1,(Loan_Term*12)-AA27,P27,0),0)</f>
        <v>-2343.75</v>
      </c>
      <c r="AC28" s="46"/>
      <c r="AD28" s="47">
        <f>U28-Total_Initial_Investment</f>
        <v>2549.0833333332412</v>
      </c>
      <c r="AE28" s="86"/>
      <c r="AF28" s="140"/>
      <c r="AG28" s="140"/>
      <c r="AH28" s="140">
        <f t="shared" si="10"/>
        <v>97399.083333333241</v>
      </c>
    </row>
    <row r="29" spans="2:37" ht="12" hidden="1" customHeight="1" outlineLevel="1" x14ac:dyDescent="0.25">
      <c r="B29" s="8" t="str">
        <f t="shared" si="11"/>
        <v/>
      </c>
      <c r="C29" s="9">
        <f t="shared" si="12"/>
        <v>505012.49999999988</v>
      </c>
      <c r="D29" s="9">
        <f t="shared" ref="D29:D92" si="21">IF(MOD(AA29-1,12)&gt;0,D28,D28*(1+Annual_Rent_Increase_Percentage))</f>
        <v>2784</v>
      </c>
      <c r="E29" s="9">
        <f t="shared" ref="E29:E92" si="22">IF(MOD($AA29-1,12)&gt;0,E28,E28*(1+Annual_Inflation_Percentage))</f>
        <v>-340.5</v>
      </c>
      <c r="F29" s="9">
        <f t="shared" ref="F29:F92" si="23">IF(MOD($AA29-1,12)&gt;0,F28,F28*(1+Annual_Inflation_Percentage))</f>
        <v>-166.66666666666666</v>
      </c>
      <c r="G29" s="9">
        <f t="shared" si="13"/>
        <v>0</v>
      </c>
      <c r="H29" s="9">
        <f t="shared" si="0"/>
        <v>0</v>
      </c>
      <c r="I29" s="9">
        <f t="shared" si="1"/>
        <v>0</v>
      </c>
      <c r="J29" s="9">
        <f t="shared" si="2"/>
        <v>0</v>
      </c>
      <c r="K29" s="9">
        <f t="shared" si="14"/>
        <v>-2622.054407072922</v>
      </c>
      <c r="L29" s="9">
        <f t="shared" si="15"/>
        <v>507.16666666666663</v>
      </c>
      <c r="M29" s="9">
        <f t="shared" si="3"/>
        <v>3129.2210737395885</v>
      </c>
      <c r="N29" s="9">
        <f t="shared" si="4"/>
        <v>-62.554407072922004</v>
      </c>
      <c r="O29" s="9">
        <f t="shared" si="5"/>
        <v>2276.8333333333335</v>
      </c>
      <c r="P29" s="9">
        <f t="shared" si="16"/>
        <v>374441.65178330999</v>
      </c>
      <c r="Q29" s="9">
        <f t="shared" si="6"/>
        <v>130570.84821668989</v>
      </c>
      <c r="R29" s="11">
        <f t="shared" si="7"/>
        <v>-229.22107373958866</v>
      </c>
      <c r="S29" s="11" cm="1">
        <f t="array" ref="S29">Y29*tax_rate</f>
        <v>0</v>
      </c>
      <c r="T29" s="9">
        <f t="shared" si="17"/>
        <v>-459.3972352864256</v>
      </c>
      <c r="U29" s="9">
        <f t="shared" si="8"/>
        <v>130111.45098140347</v>
      </c>
      <c r="W29" s="138">
        <f t="shared" si="18"/>
        <v>0.27184164807368399</v>
      </c>
      <c r="X29" s="138" t="str">
        <f t="shared" si="19"/>
        <v/>
      </c>
      <c r="Y29" s="9"/>
      <c r="Z29" s="139">
        <f t="shared" si="9"/>
        <v>2622.054407072922</v>
      </c>
      <c r="AA29" s="114">
        <v>2</v>
      </c>
      <c r="AB29" s="46">
        <f t="shared" si="20"/>
        <v>-2342.0105974557941</v>
      </c>
      <c r="AC29" s="46"/>
      <c r="AD29" s="47">
        <f t="shared" ref="AD29:AD92" si="24">U29-U28</f>
        <v>2562.367648070227</v>
      </c>
      <c r="AE29" s="86"/>
      <c r="AF29" s="140"/>
      <c r="AG29" s="140"/>
      <c r="AH29" s="140">
        <f t="shared" si="10"/>
        <v>99810.700981403468</v>
      </c>
      <c r="AI29" s="9"/>
      <c r="AJ29" s="9"/>
      <c r="AK29" s="9"/>
    </row>
    <row r="30" spans="2:37" ht="12" hidden="1" customHeight="1" outlineLevel="1" x14ac:dyDescent="0.25">
      <c r="B30" s="8" t="str">
        <f t="shared" si="11"/>
        <v/>
      </c>
      <c r="C30" s="9">
        <f t="shared" si="12"/>
        <v>507537.56249999983</v>
      </c>
      <c r="D30" s="9">
        <f t="shared" si="21"/>
        <v>2784</v>
      </c>
      <c r="E30" s="9">
        <f t="shared" si="22"/>
        <v>-340.5</v>
      </c>
      <c r="F30" s="9">
        <f t="shared" si="23"/>
        <v>-166.66666666666666</v>
      </c>
      <c r="G30" s="9">
        <f t="shared" si="13"/>
        <v>0</v>
      </c>
      <c r="H30" s="9">
        <f t="shared" si="0"/>
        <v>0</v>
      </c>
      <c r="I30" s="9">
        <f t="shared" si="1"/>
        <v>0</v>
      </c>
      <c r="J30" s="9">
        <f t="shared" si="2"/>
        <v>0</v>
      </c>
      <c r="K30" s="9">
        <f t="shared" si="14"/>
        <v>-2622.054407072922</v>
      </c>
      <c r="L30" s="9">
        <f t="shared" si="15"/>
        <v>507.16666666666663</v>
      </c>
      <c r="M30" s="9">
        <f t="shared" si="3"/>
        <v>3129.2210737395885</v>
      </c>
      <c r="N30" s="9">
        <f t="shared" si="4"/>
        <v>-62.554407072922004</v>
      </c>
      <c r="O30" s="9">
        <f t="shared" si="5"/>
        <v>2276.8333333333335</v>
      </c>
      <c r="P30" s="9">
        <f t="shared" si="16"/>
        <v>374159.85769988276</v>
      </c>
      <c r="Q30" s="9">
        <f t="shared" si="6"/>
        <v>133377.70480011706</v>
      </c>
      <c r="R30" s="11">
        <f t="shared" si="7"/>
        <v>-229.22107373958866</v>
      </c>
      <c r="S30" s="11" cm="1">
        <f t="array" ref="S30">Y30*tax_rate</f>
        <v>0</v>
      </c>
      <c r="T30" s="9">
        <f t="shared" si="17"/>
        <v>-690.53246417304103</v>
      </c>
      <c r="U30" s="9">
        <f t="shared" si="8"/>
        <v>132687.17233594402</v>
      </c>
      <c r="W30" s="138">
        <f t="shared" si="18"/>
        <v>0.26962569777067469</v>
      </c>
      <c r="X30" s="138" t="str">
        <f t="shared" si="19"/>
        <v/>
      </c>
      <c r="Y30" s="9"/>
      <c r="Z30" s="139">
        <f t="shared" si="9"/>
        <v>2622.054407072922</v>
      </c>
      <c r="AA30" s="114">
        <v>3</v>
      </c>
      <c r="AB30" s="46">
        <f t="shared" si="20"/>
        <v>-2340.2603236456871</v>
      </c>
      <c r="AC30" s="46"/>
      <c r="AD30" s="47">
        <f t="shared" si="24"/>
        <v>2575.7213545405539</v>
      </c>
      <c r="AE30" s="86"/>
      <c r="AF30" s="140"/>
      <c r="AG30" s="140"/>
      <c r="AH30" s="140">
        <f t="shared" si="10"/>
        <v>102234.91858594403</v>
      </c>
      <c r="AI30" s="9"/>
      <c r="AJ30" s="9"/>
      <c r="AK30" s="9"/>
    </row>
    <row r="31" spans="2:37" ht="12" hidden="1" customHeight="1" outlineLevel="1" x14ac:dyDescent="0.25">
      <c r="B31" s="8" t="str">
        <f t="shared" si="11"/>
        <v/>
      </c>
      <c r="C31" s="9">
        <f t="shared" si="12"/>
        <v>510075.25031249976</v>
      </c>
      <c r="D31" s="9">
        <f t="shared" si="21"/>
        <v>2784</v>
      </c>
      <c r="E31" s="9">
        <f t="shared" si="22"/>
        <v>-340.5</v>
      </c>
      <c r="F31" s="9">
        <f t="shared" si="23"/>
        <v>-166.66666666666666</v>
      </c>
      <c r="G31" s="9">
        <f t="shared" si="13"/>
        <v>0</v>
      </c>
      <c r="H31" s="9">
        <f t="shared" si="0"/>
        <v>0</v>
      </c>
      <c r="I31" s="9">
        <f t="shared" si="1"/>
        <v>0</v>
      </c>
      <c r="J31" s="9">
        <f t="shared" si="2"/>
        <v>0</v>
      </c>
      <c r="K31" s="9">
        <f t="shared" si="14"/>
        <v>-2622.054407072922</v>
      </c>
      <c r="L31" s="9">
        <f t="shared" si="15"/>
        <v>507.16666666666663</v>
      </c>
      <c r="M31" s="9">
        <f t="shared" si="3"/>
        <v>3129.2210737395885</v>
      </c>
      <c r="N31" s="9">
        <f t="shared" si="4"/>
        <v>-62.554407072922004</v>
      </c>
      <c r="O31" s="9">
        <f t="shared" si="5"/>
        <v>2276.8333333333335</v>
      </c>
      <c r="P31" s="9">
        <f t="shared" si="16"/>
        <v>373876.30240343412</v>
      </c>
      <c r="Q31" s="9">
        <f t="shared" si="6"/>
        <v>136198.94790906564</v>
      </c>
      <c r="R31" s="11">
        <f t="shared" si="7"/>
        <v>-229.22107373958866</v>
      </c>
      <c r="S31" s="11" cm="1">
        <f t="array" ref="S31">Y31*tax_rate</f>
        <v>0</v>
      </c>
      <c r="T31" s="9">
        <f t="shared" si="17"/>
        <v>-922.63075651335066</v>
      </c>
      <c r="U31" s="9">
        <f t="shared" si="8"/>
        <v>135276.31715255228</v>
      </c>
      <c r="W31" s="138">
        <f t="shared" si="18"/>
        <v>0.26746295482178351</v>
      </c>
      <c r="X31" s="138" t="str">
        <f t="shared" si="19"/>
        <v/>
      </c>
      <c r="Y31" s="9"/>
      <c r="Z31" s="139">
        <f t="shared" si="9"/>
        <v>2622.054407072922</v>
      </c>
      <c r="AA31" s="114">
        <v>4</v>
      </c>
      <c r="AB31" s="46">
        <f t="shared" si="20"/>
        <v>-2338.4991106242669</v>
      </c>
      <c r="AC31" s="46"/>
      <c r="AD31" s="47">
        <f t="shared" si="24"/>
        <v>2589.1448166082555</v>
      </c>
      <c r="AE31" s="86"/>
      <c r="AF31" s="140"/>
      <c r="AG31" s="140"/>
      <c r="AH31" s="140">
        <f t="shared" si="10"/>
        <v>104671.8021338023</v>
      </c>
      <c r="AI31" s="9"/>
      <c r="AJ31" s="9"/>
      <c r="AK31" s="9"/>
    </row>
    <row r="32" spans="2:37" ht="12" hidden="1" customHeight="1" outlineLevel="1" x14ac:dyDescent="0.25">
      <c r="B32" s="8" t="str">
        <f t="shared" si="11"/>
        <v/>
      </c>
      <c r="C32" s="9">
        <f t="shared" si="12"/>
        <v>512625.6265640622</v>
      </c>
      <c r="D32" s="9">
        <f t="shared" si="21"/>
        <v>2784</v>
      </c>
      <c r="E32" s="9">
        <f t="shared" si="22"/>
        <v>-340.5</v>
      </c>
      <c r="F32" s="9">
        <f t="shared" si="23"/>
        <v>-166.66666666666666</v>
      </c>
      <c r="G32" s="9">
        <f t="shared" si="13"/>
        <v>0</v>
      </c>
      <c r="H32" s="9">
        <f t="shared" si="0"/>
        <v>0</v>
      </c>
      <c r="I32" s="9">
        <f t="shared" si="1"/>
        <v>0</v>
      </c>
      <c r="J32" s="9">
        <f t="shared" si="2"/>
        <v>0</v>
      </c>
      <c r="K32" s="9">
        <f t="shared" si="14"/>
        <v>-2622.054407072922</v>
      </c>
      <c r="L32" s="9">
        <f t="shared" si="15"/>
        <v>507.16666666666663</v>
      </c>
      <c r="M32" s="9">
        <f t="shared" si="3"/>
        <v>3129.2210737395885</v>
      </c>
      <c r="N32" s="9">
        <f t="shared" si="4"/>
        <v>-62.554407072922004</v>
      </c>
      <c r="O32" s="9">
        <f t="shared" si="5"/>
        <v>2276.8333333333335</v>
      </c>
      <c r="P32" s="9">
        <f t="shared" si="16"/>
        <v>373590.97488638264</v>
      </c>
      <c r="Q32" s="9">
        <f t="shared" si="6"/>
        <v>139034.65167767956</v>
      </c>
      <c r="R32" s="11">
        <f t="shared" si="7"/>
        <v>-229.22107373958866</v>
      </c>
      <c r="S32" s="11" cm="1">
        <f t="array" ref="S32">Y32*tax_rate</f>
        <v>0</v>
      </c>
      <c r="T32" s="9">
        <f t="shared" si="17"/>
        <v>-1155.696125071745</v>
      </c>
      <c r="U32" s="9">
        <f t="shared" si="8"/>
        <v>137878.9555526078</v>
      </c>
      <c r="W32" s="138">
        <f t="shared" si="18"/>
        <v>0.26535134949469369</v>
      </c>
      <c r="X32" s="138" t="str">
        <f t="shared" si="19"/>
        <v/>
      </c>
      <c r="Y32" s="9"/>
      <c r="Z32" s="139">
        <f t="shared" si="9"/>
        <v>2622.054407072922</v>
      </c>
      <c r="AA32" s="114">
        <v>5</v>
      </c>
      <c r="AB32" s="46">
        <f t="shared" si="20"/>
        <v>-2336.7268900214631</v>
      </c>
      <c r="AC32" s="46"/>
      <c r="AD32" s="47">
        <f t="shared" si="24"/>
        <v>2602.6384000555263</v>
      </c>
      <c r="AE32" s="86"/>
      <c r="AF32" s="140"/>
      <c r="AG32" s="140"/>
      <c r="AH32" s="140">
        <f t="shared" si="10"/>
        <v>107121.41795876407</v>
      </c>
      <c r="AI32" s="9"/>
      <c r="AJ32" s="9"/>
      <c r="AK32" s="9"/>
    </row>
    <row r="33" spans="2:37" ht="12" hidden="1" customHeight="1" outlineLevel="1" x14ac:dyDescent="0.25">
      <c r="B33" s="8" t="str">
        <f t="shared" si="11"/>
        <v/>
      </c>
      <c r="C33" s="9">
        <f t="shared" si="12"/>
        <v>515188.75469688245</v>
      </c>
      <c r="D33" s="9">
        <f t="shared" si="21"/>
        <v>2784</v>
      </c>
      <c r="E33" s="9">
        <f t="shared" si="22"/>
        <v>-340.5</v>
      </c>
      <c r="F33" s="9">
        <f t="shared" si="23"/>
        <v>-166.66666666666666</v>
      </c>
      <c r="G33" s="9">
        <f t="shared" si="13"/>
        <v>0</v>
      </c>
      <c r="H33" s="9">
        <f t="shared" si="0"/>
        <v>0</v>
      </c>
      <c r="I33" s="9">
        <f t="shared" si="1"/>
        <v>0</v>
      </c>
      <c r="J33" s="9">
        <f t="shared" si="2"/>
        <v>0</v>
      </c>
      <c r="K33" s="9">
        <f t="shared" si="14"/>
        <v>-2622.054407072922</v>
      </c>
      <c r="L33" s="9">
        <f t="shared" si="15"/>
        <v>507.16666666666663</v>
      </c>
      <c r="M33" s="9">
        <f t="shared" si="3"/>
        <v>3129.2210737395885</v>
      </c>
      <c r="N33" s="9">
        <f t="shared" si="4"/>
        <v>-62.554407072922004</v>
      </c>
      <c r="O33" s="9">
        <f t="shared" si="5"/>
        <v>2276.8333333333335</v>
      </c>
      <c r="P33" s="9">
        <f t="shared" si="16"/>
        <v>373303.86407234962</v>
      </c>
      <c r="Q33" s="9">
        <f t="shared" si="6"/>
        <v>141884.89062453283</v>
      </c>
      <c r="R33" s="11">
        <f t="shared" si="7"/>
        <v>-229.22107373958866</v>
      </c>
      <c r="S33" s="11" cm="1">
        <f t="array" ref="S33">Y33*tax_rate</f>
        <v>0</v>
      </c>
      <c r="T33" s="9">
        <f t="shared" si="17"/>
        <v>-1389.732599332466</v>
      </c>
      <c r="U33" s="9">
        <f t="shared" si="8"/>
        <v>140495.15802520036</v>
      </c>
      <c r="W33" s="138">
        <f t="shared" si="18"/>
        <v>0.26328892342566501</v>
      </c>
      <c r="X33" s="138" t="str">
        <f t="shared" si="19"/>
        <v/>
      </c>
      <c r="Y33" s="9"/>
      <c r="Z33" s="139">
        <f t="shared" si="9"/>
        <v>2622.054407072922</v>
      </c>
      <c r="AA33" s="114">
        <v>6</v>
      </c>
      <c r="AB33" s="46">
        <f t="shared" si="20"/>
        <v>-2334.9435930398913</v>
      </c>
      <c r="AC33" s="46"/>
      <c r="AD33" s="47">
        <f t="shared" si="24"/>
        <v>2616.2024725925585</v>
      </c>
      <c r="AE33" s="86"/>
      <c r="AF33" s="140"/>
      <c r="AG33" s="140"/>
      <c r="AH33" s="140">
        <f t="shared" si="10"/>
        <v>109583.83274338742</v>
      </c>
      <c r="AI33" s="9"/>
      <c r="AJ33" s="9"/>
      <c r="AK33" s="9"/>
    </row>
    <row r="34" spans="2:37" ht="12" hidden="1" customHeight="1" outlineLevel="1" x14ac:dyDescent="0.25">
      <c r="B34" s="8" t="str">
        <f t="shared" si="11"/>
        <v/>
      </c>
      <c r="C34" s="9">
        <f t="shared" si="12"/>
        <v>517764.69847036683</v>
      </c>
      <c r="D34" s="9">
        <f t="shared" si="21"/>
        <v>2784</v>
      </c>
      <c r="E34" s="9">
        <f t="shared" si="22"/>
        <v>-340.5</v>
      </c>
      <c r="F34" s="9">
        <f t="shared" si="23"/>
        <v>-166.66666666666666</v>
      </c>
      <c r="G34" s="9">
        <f t="shared" si="13"/>
        <v>0</v>
      </c>
      <c r="H34" s="9">
        <f t="shared" si="0"/>
        <v>0</v>
      </c>
      <c r="I34" s="9">
        <f t="shared" si="1"/>
        <v>0</v>
      </c>
      <c r="J34" s="9">
        <f t="shared" si="2"/>
        <v>0</v>
      </c>
      <c r="K34" s="9">
        <f t="shared" si="14"/>
        <v>-2622.054407072922</v>
      </c>
      <c r="L34" s="9">
        <f t="shared" si="15"/>
        <v>507.16666666666663</v>
      </c>
      <c r="M34" s="9">
        <f t="shared" si="3"/>
        <v>3129.2210737395885</v>
      </c>
      <c r="N34" s="9">
        <f t="shared" si="4"/>
        <v>-62.554407072922004</v>
      </c>
      <c r="O34" s="9">
        <f t="shared" si="5"/>
        <v>2276.8333333333335</v>
      </c>
      <c r="P34" s="9">
        <f t="shared" si="16"/>
        <v>373014.9588157289</v>
      </c>
      <c r="Q34" s="9">
        <f t="shared" si="6"/>
        <v>144749.73965463793</v>
      </c>
      <c r="R34" s="11">
        <f t="shared" si="7"/>
        <v>-229.22107373958866</v>
      </c>
      <c r="S34" s="11" cm="1">
        <f t="array" ref="S34">Y34*tax_rate</f>
        <v>0</v>
      </c>
      <c r="T34" s="9">
        <f t="shared" si="17"/>
        <v>-1624.7442255692733</v>
      </c>
      <c r="U34" s="9">
        <f t="shared" si="8"/>
        <v>143124.99542906866</v>
      </c>
      <c r="W34" s="138">
        <f t="shared" si="18"/>
        <v>0.26127382200055926</v>
      </c>
      <c r="X34" s="138" t="str">
        <f t="shared" si="19"/>
        <v/>
      </c>
      <c r="Z34" s="139">
        <f t="shared" si="9"/>
        <v>2622.054407072922</v>
      </c>
      <c r="AA34" s="114">
        <v>7</v>
      </c>
      <c r="AB34" s="46">
        <f t="shared" si="20"/>
        <v>-2333.149150452185</v>
      </c>
      <c r="AC34" s="46"/>
      <c r="AD34" s="47">
        <f t="shared" si="24"/>
        <v>2629.837403868296</v>
      </c>
      <c r="AE34" s="86"/>
      <c r="AF34" s="140"/>
      <c r="AG34" s="140"/>
      <c r="AH34" s="140">
        <f t="shared" si="10"/>
        <v>112059.11352084664</v>
      </c>
      <c r="AI34" s="9"/>
      <c r="AJ34" s="9"/>
      <c r="AK34" s="9"/>
    </row>
    <row r="35" spans="2:37" ht="12" hidden="1" customHeight="1" outlineLevel="1" x14ac:dyDescent="0.25">
      <c r="B35" s="8" t="str">
        <f t="shared" si="11"/>
        <v/>
      </c>
      <c r="C35" s="9">
        <f t="shared" si="12"/>
        <v>520353.52196271863</v>
      </c>
      <c r="D35" s="9">
        <f t="shared" si="21"/>
        <v>2784</v>
      </c>
      <c r="E35" s="9">
        <f t="shared" si="22"/>
        <v>-340.5</v>
      </c>
      <c r="F35" s="9">
        <f t="shared" si="23"/>
        <v>-166.66666666666666</v>
      </c>
      <c r="G35" s="9">
        <f t="shared" si="13"/>
        <v>0</v>
      </c>
      <c r="H35" s="9">
        <f t="shared" si="0"/>
        <v>0</v>
      </c>
      <c r="I35" s="9">
        <f t="shared" si="1"/>
        <v>0</v>
      </c>
      <c r="J35" s="9">
        <f t="shared" si="2"/>
        <v>0</v>
      </c>
      <c r="K35" s="9">
        <f t="shared" si="14"/>
        <v>-2622.054407072922</v>
      </c>
      <c r="L35" s="9">
        <f t="shared" si="15"/>
        <v>507.16666666666663</v>
      </c>
      <c r="M35" s="9">
        <f t="shared" si="3"/>
        <v>3129.2210737395885</v>
      </c>
      <c r="N35" s="9">
        <f t="shared" si="4"/>
        <v>-62.554407072922004</v>
      </c>
      <c r="O35" s="9">
        <f t="shared" si="5"/>
        <v>2276.8333333333335</v>
      </c>
      <c r="P35" s="9">
        <f t="shared" si="16"/>
        <v>372724.24790125428</v>
      </c>
      <c r="Q35" s="9">
        <f t="shared" si="6"/>
        <v>147629.27406146436</v>
      </c>
      <c r="R35" s="11">
        <f t="shared" si="7"/>
        <v>-229.22107373958866</v>
      </c>
      <c r="S35" s="11" cm="1">
        <f t="array" ref="S35">Y35*tax_rate</f>
        <v>0</v>
      </c>
      <c r="T35" s="9">
        <f t="shared" si="17"/>
        <v>-1860.7350669154007</v>
      </c>
      <c r="U35" s="9">
        <f t="shared" si="8"/>
        <v>145768.53899454896</v>
      </c>
      <c r="W35" s="138">
        <f t="shared" si="18"/>
        <v>0.25930428736517636</v>
      </c>
      <c r="X35" s="138" t="str">
        <f t="shared" si="19"/>
        <v/>
      </c>
      <c r="Z35" s="139">
        <f t="shared" si="9"/>
        <v>2622.054407072922</v>
      </c>
      <c r="AA35" s="114">
        <v>8</v>
      </c>
      <c r="AB35" s="46">
        <f t="shared" si="20"/>
        <v>-2331.3434925983056</v>
      </c>
      <c r="AC35" s="46"/>
      <c r="AD35" s="47">
        <f t="shared" si="24"/>
        <v>2643.5435654803005</v>
      </c>
      <c r="AE35" s="86"/>
      <c r="AF35" s="140"/>
      <c r="AG35" s="140"/>
      <c r="AH35" s="140">
        <f t="shared" si="10"/>
        <v>114547.32767678585</v>
      </c>
      <c r="AI35" s="9"/>
      <c r="AJ35" s="9"/>
      <c r="AK35" s="9"/>
    </row>
    <row r="36" spans="2:37" ht="12" hidden="1" customHeight="1" outlineLevel="1" x14ac:dyDescent="0.25">
      <c r="B36" s="8" t="str">
        <f t="shared" si="11"/>
        <v/>
      </c>
      <c r="C36" s="9">
        <f t="shared" si="12"/>
        <v>522955.28957253217</v>
      </c>
      <c r="D36" s="9">
        <f t="shared" si="21"/>
        <v>2784</v>
      </c>
      <c r="E36" s="9">
        <f t="shared" si="22"/>
        <v>-340.5</v>
      </c>
      <c r="F36" s="9">
        <f t="shared" si="23"/>
        <v>-166.66666666666666</v>
      </c>
      <c r="G36" s="9">
        <f t="shared" si="13"/>
        <v>0</v>
      </c>
      <c r="H36" s="9">
        <f t="shared" si="0"/>
        <v>0</v>
      </c>
      <c r="I36" s="9">
        <f t="shared" si="1"/>
        <v>0</v>
      </c>
      <c r="J36" s="9">
        <f t="shared" si="2"/>
        <v>0</v>
      </c>
      <c r="K36" s="9">
        <f t="shared" si="14"/>
        <v>-2622.054407072922</v>
      </c>
      <c r="L36" s="9">
        <f t="shared" si="15"/>
        <v>507.16666666666663</v>
      </c>
      <c r="M36" s="9">
        <f t="shared" si="3"/>
        <v>3129.2210737395885</v>
      </c>
      <c r="N36" s="9">
        <f t="shared" si="4"/>
        <v>-62.554407072922004</v>
      </c>
      <c r="O36" s="9">
        <f t="shared" si="5"/>
        <v>2276.8333333333335</v>
      </c>
      <c r="P36" s="9">
        <f t="shared" si="16"/>
        <v>372431.72004356422</v>
      </c>
      <c r="Q36" s="9">
        <f t="shared" si="6"/>
        <v>150523.56952896796</v>
      </c>
      <c r="R36" s="11">
        <f t="shared" si="7"/>
        <v>-229.22107373958866</v>
      </c>
      <c r="S36" s="11" cm="1">
        <f t="array" ref="S36">Y36*tax_rate</f>
        <v>0</v>
      </c>
      <c r="T36" s="9">
        <f t="shared" si="17"/>
        <v>-2097.7092034338034</v>
      </c>
      <c r="U36" s="9">
        <f t="shared" si="8"/>
        <v>148425.86032553416</v>
      </c>
      <c r="W36" s="138">
        <f t="shared" si="18"/>
        <v>0.2573786520069537</v>
      </c>
      <c r="X36" s="138" t="str">
        <f t="shared" si="19"/>
        <v/>
      </c>
      <c r="Z36" s="139">
        <f t="shared" si="9"/>
        <v>2622.054407072922</v>
      </c>
      <c r="AA36" s="114">
        <v>9</v>
      </c>
      <c r="AB36" s="46">
        <f t="shared" si="20"/>
        <v>-2329.5265493828392</v>
      </c>
      <c r="AC36" s="46"/>
      <c r="AD36" s="47">
        <f t="shared" si="24"/>
        <v>2657.3213309851999</v>
      </c>
      <c r="AE36" s="86"/>
      <c r="AF36" s="140"/>
      <c r="AG36" s="140"/>
      <c r="AH36" s="140">
        <f t="shared" si="10"/>
        <v>117048.54295118223</v>
      </c>
      <c r="AI36" s="9"/>
      <c r="AJ36" s="9"/>
      <c r="AK36" s="9"/>
    </row>
    <row r="37" spans="2:37" ht="12" hidden="1" customHeight="1" outlineLevel="1" x14ac:dyDescent="0.25">
      <c r="B37" s="8" t="str">
        <f t="shared" si="11"/>
        <v/>
      </c>
      <c r="C37" s="9">
        <f t="shared" si="12"/>
        <v>525570.06602039479</v>
      </c>
      <c r="D37" s="9">
        <f t="shared" si="21"/>
        <v>2784</v>
      </c>
      <c r="E37" s="9">
        <f t="shared" si="22"/>
        <v>-340.5</v>
      </c>
      <c r="F37" s="9">
        <f t="shared" si="23"/>
        <v>-166.66666666666666</v>
      </c>
      <c r="G37" s="9">
        <f t="shared" si="13"/>
        <v>0</v>
      </c>
      <c r="H37" s="9">
        <f t="shared" si="0"/>
        <v>0</v>
      </c>
      <c r="I37" s="9">
        <f t="shared" si="1"/>
        <v>0</v>
      </c>
      <c r="J37" s="9">
        <f t="shared" si="2"/>
        <v>0</v>
      </c>
      <c r="K37" s="9">
        <f t="shared" si="14"/>
        <v>-2622.054407072922</v>
      </c>
      <c r="L37" s="9">
        <f t="shared" si="15"/>
        <v>507.16666666666663</v>
      </c>
      <c r="M37" s="9">
        <f t="shared" si="3"/>
        <v>3129.2210737395885</v>
      </c>
      <c r="N37" s="9">
        <f t="shared" si="4"/>
        <v>-62.554407072922004</v>
      </c>
      <c r="O37" s="9">
        <f t="shared" si="5"/>
        <v>2276.8333333333335</v>
      </c>
      <c r="P37" s="9">
        <f t="shared" si="16"/>
        <v>372137.36388676357</v>
      </c>
      <c r="Q37" s="9">
        <f t="shared" si="6"/>
        <v>153432.70213363122</v>
      </c>
      <c r="R37" s="11">
        <f t="shared" si="7"/>
        <v>-229.22107373958866</v>
      </c>
      <c r="S37" s="11" cm="1">
        <f t="array" ref="S37">Y37*tax_rate</f>
        <v>0</v>
      </c>
      <c r="T37" s="9">
        <f t="shared" si="17"/>
        <v>-2335.6707321876993</v>
      </c>
      <c r="U37" s="9">
        <f t="shared" si="8"/>
        <v>151097.03140144353</v>
      </c>
      <c r="W37" s="138">
        <f t="shared" si="18"/>
        <v>0.25549533284566961</v>
      </c>
      <c r="X37" s="138" t="str">
        <f t="shared" si="19"/>
        <v/>
      </c>
      <c r="Z37" s="139">
        <f t="shared" si="9"/>
        <v>2622.054407072922</v>
      </c>
      <c r="AA37" s="114">
        <v>10</v>
      </c>
      <c r="AB37" s="46">
        <f t="shared" si="20"/>
        <v>-2327.6982502722763</v>
      </c>
      <c r="AC37" s="46"/>
      <c r="AD37" s="47">
        <f t="shared" si="24"/>
        <v>2671.1710759093694</v>
      </c>
      <c r="AE37" s="86"/>
      <c r="AF37" s="140"/>
      <c r="AG37" s="140"/>
      <c r="AH37" s="140">
        <f t="shared" si="10"/>
        <v>119562.82744021984</v>
      </c>
      <c r="AI37" s="9"/>
      <c r="AJ37" s="9"/>
      <c r="AK37" s="9"/>
    </row>
    <row r="38" spans="2:37" ht="12" hidden="1" customHeight="1" outlineLevel="1" x14ac:dyDescent="0.25">
      <c r="B38" s="8" t="str">
        <f t="shared" si="11"/>
        <v/>
      </c>
      <c r="C38" s="9">
        <f t="shared" si="12"/>
        <v>528197.9163504967</v>
      </c>
      <c r="D38" s="9">
        <f t="shared" si="21"/>
        <v>2784</v>
      </c>
      <c r="E38" s="9">
        <f t="shared" si="22"/>
        <v>-340.5</v>
      </c>
      <c r="F38" s="9">
        <f t="shared" si="23"/>
        <v>-166.66666666666666</v>
      </c>
      <c r="G38" s="9">
        <f t="shared" si="13"/>
        <v>0</v>
      </c>
      <c r="H38" s="9">
        <f t="shared" si="0"/>
        <v>0</v>
      </c>
      <c r="I38" s="9">
        <f t="shared" si="1"/>
        <v>0</v>
      </c>
      <c r="J38" s="9">
        <f t="shared" si="2"/>
        <v>0</v>
      </c>
      <c r="K38" s="9">
        <f t="shared" si="14"/>
        <v>-2622.054407072922</v>
      </c>
      <c r="L38" s="9">
        <f t="shared" si="15"/>
        <v>507.16666666666663</v>
      </c>
      <c r="M38" s="9">
        <f t="shared" si="3"/>
        <v>3129.2210737395885</v>
      </c>
      <c r="N38" s="9">
        <f t="shared" si="4"/>
        <v>-62.554407072922004</v>
      </c>
      <c r="O38" s="9">
        <f t="shared" si="5"/>
        <v>2276.8333333333335</v>
      </c>
      <c r="P38" s="9">
        <f t="shared" si="16"/>
        <v>371841.16800398292</v>
      </c>
      <c r="Q38" s="9">
        <f t="shared" si="6"/>
        <v>156356.74834651378</v>
      </c>
      <c r="R38" s="11">
        <f t="shared" si="7"/>
        <v>-229.22107373958866</v>
      </c>
      <c r="S38" s="11" cm="1">
        <f t="array" ref="S38">Y38*tax_rate</f>
        <v>0</v>
      </c>
      <c r="T38" s="9">
        <f t="shared" si="17"/>
        <v>-2574.6237673114033</v>
      </c>
      <c r="U38" s="9">
        <f t="shared" si="8"/>
        <v>153782.12457920238</v>
      </c>
      <c r="W38" s="138">
        <f t="shared" si="18"/>
        <v>0.25365282579823567</v>
      </c>
      <c r="X38" s="138" t="str">
        <f t="shared" ref="X38" si="25">IF(V38=0,"",V38/U26)</f>
        <v/>
      </c>
      <c r="Z38" s="139">
        <f t="shared" si="9"/>
        <v>2622.054407072922</v>
      </c>
      <c r="AA38" s="114">
        <v>11</v>
      </c>
      <c r="AB38" s="46">
        <f t="shared" si="20"/>
        <v>-2325.8585242922723</v>
      </c>
      <c r="AC38" s="46"/>
      <c r="AD38" s="47">
        <f t="shared" si="24"/>
        <v>2685.0931777588557</v>
      </c>
      <c r="AE38" s="86"/>
      <c r="AF38" s="140"/>
      <c r="AG38" s="140"/>
      <c r="AH38" s="140">
        <f t="shared" si="10"/>
        <v>122090.24959817258</v>
      </c>
      <c r="AI38" s="9"/>
      <c r="AJ38" s="9"/>
      <c r="AK38" s="9"/>
    </row>
    <row r="39" spans="2:37" ht="15" customHeight="1" collapsed="1" x14ac:dyDescent="0.25">
      <c r="B39" s="8">
        <f t="shared" si="11"/>
        <v>1</v>
      </c>
      <c r="C39" s="11">
        <f t="shared" si="12"/>
        <v>530838.90593224915</v>
      </c>
      <c r="D39" s="11">
        <f t="shared" si="21"/>
        <v>2784</v>
      </c>
      <c r="E39" s="11">
        <f t="shared" si="22"/>
        <v>-340.5</v>
      </c>
      <c r="F39" s="11">
        <f t="shared" si="23"/>
        <v>-166.66666666666666</v>
      </c>
      <c r="G39" s="11">
        <f t="shared" si="13"/>
        <v>0</v>
      </c>
      <c r="H39" s="11">
        <f t="shared" si="0"/>
        <v>0</v>
      </c>
      <c r="I39" s="11">
        <f t="shared" si="1"/>
        <v>0</v>
      </c>
      <c r="J39" s="11">
        <f t="shared" si="2"/>
        <v>0</v>
      </c>
      <c r="K39" s="11">
        <f t="shared" si="14"/>
        <v>-2622.054407072922</v>
      </c>
      <c r="L39" s="11">
        <f t="shared" si="15"/>
        <v>507.16666666666663</v>
      </c>
      <c r="M39" s="11">
        <f t="shared" si="3"/>
        <v>3129.2210737395885</v>
      </c>
      <c r="N39" s="11">
        <f t="shared" si="4"/>
        <v>-62.554407072922004</v>
      </c>
      <c r="O39" s="11">
        <f t="shared" si="5"/>
        <v>2276.8333333333335</v>
      </c>
      <c r="P39" s="11">
        <f t="shared" si="16"/>
        <v>371543.12089693488</v>
      </c>
      <c r="Q39" s="11">
        <f t="shared" si="6"/>
        <v>159295.78503531427</v>
      </c>
      <c r="R39" s="11">
        <f t="shared" si="7"/>
        <v>-229.22107373958866</v>
      </c>
      <c r="S39" s="11" cm="1">
        <f t="array" ref="S39">Y39*tax_rate</f>
        <v>10260.630231998171</v>
      </c>
      <c r="T39" s="11">
        <f t="shared" si="17"/>
        <v>7446.0577919167154</v>
      </c>
      <c r="U39" s="11">
        <f t="shared" si="8"/>
        <v>166741.84282723098</v>
      </c>
      <c r="V39" s="11">
        <f>U39-Total_Initial_Investment</f>
        <v>41741.842827230983</v>
      </c>
      <c r="W39" s="138">
        <f t="shared" si="18"/>
        <v>0.33393474261784784</v>
      </c>
      <c r="X39" s="138">
        <f>IF(V39=0,"",V39/U27)</f>
        <v>0.33393474261784789</v>
      </c>
      <c r="Y39" s="141">
        <f>(((Sale_Price*0.8)+Improvement_Costs+Closing_Costs_Total)/27.5)+(-E39*12)+-AC39+Additional_Acquisition_Costs</f>
        <v>46639.228327264413</v>
      </c>
      <c r="Z39" s="139">
        <f t="shared" si="9"/>
        <v>2622.054407072922</v>
      </c>
      <c r="AA39" s="114">
        <v>12</v>
      </c>
      <c r="AB39" s="46">
        <f t="shared" si="20"/>
        <v>-2324.0073000248931</v>
      </c>
      <c r="AC39" s="46">
        <f>SUM(AB28:AB39)</f>
        <v>-28007.773781809872</v>
      </c>
      <c r="AD39" s="47">
        <f t="shared" si="24"/>
        <v>12959.718248028599</v>
      </c>
      <c r="AE39" s="86">
        <f>D39*12</f>
        <v>33408</v>
      </c>
      <c r="AF39" s="140">
        <f>R39*12</f>
        <v>-2750.652884875064</v>
      </c>
      <c r="AG39" s="140">
        <f>R39*12</f>
        <v>-2750.652884875064</v>
      </c>
      <c r="AH39" s="140">
        <f t="shared" si="10"/>
        <v>134891.50847129602</v>
      </c>
      <c r="AI39" s="9">
        <f>AI27*(1+Comparison_Rate_of_Return)</f>
        <v>137500</v>
      </c>
      <c r="AJ39" s="9"/>
      <c r="AK39" s="9"/>
    </row>
    <row r="40" spans="2:37" ht="12" hidden="1" customHeight="1" outlineLevel="1" x14ac:dyDescent="0.25">
      <c r="B40" s="8" t="str">
        <f t="shared" si="11"/>
        <v/>
      </c>
      <c r="C40" s="11">
        <f t="shared" si="12"/>
        <v>533493.10046191036</v>
      </c>
      <c r="D40" s="11">
        <f t="shared" si="21"/>
        <v>2881.4399999999996</v>
      </c>
      <c r="E40" s="11">
        <f t="shared" si="22"/>
        <v>-352.41749999999996</v>
      </c>
      <c r="F40" s="11">
        <f t="shared" si="23"/>
        <v>-172.49999999999997</v>
      </c>
      <c r="G40" s="11">
        <f t="shared" si="13"/>
        <v>0</v>
      </c>
      <c r="H40" s="11">
        <f t="shared" ref="H40:H51" si="26">IF(Loan_Type="3-2-1",$AB$16,0)</f>
        <v>0</v>
      </c>
      <c r="I40" s="11">
        <f t="shared" ref="I40:I51" si="27">IF(Loan_Type="2-1",$AB$17,0)</f>
        <v>0</v>
      </c>
      <c r="J40" s="11">
        <v>0</v>
      </c>
      <c r="K40" s="11">
        <f t="shared" si="14"/>
        <v>-2622.054407072922</v>
      </c>
      <c r="L40" s="11">
        <f t="shared" si="15"/>
        <v>524.9174999999999</v>
      </c>
      <c r="M40" s="11">
        <f t="shared" si="3"/>
        <v>3146.971907072922</v>
      </c>
      <c r="N40" s="11">
        <f t="shared" si="4"/>
        <v>27.028092927077523</v>
      </c>
      <c r="O40" s="11">
        <f t="shared" si="5"/>
        <v>2356.5224999999996</v>
      </c>
      <c r="P40" s="11">
        <f t="shared" si="16"/>
        <v>371243.21099546779</v>
      </c>
      <c r="Q40" s="11">
        <f t="shared" si="6"/>
        <v>162249.88946644258</v>
      </c>
      <c r="R40" s="11">
        <f t="shared" si="7"/>
        <v>-145.47190707292245</v>
      </c>
      <c r="S40" s="11" cm="1">
        <f t="array" ref="S40">Y40*tax_rate</f>
        <v>0</v>
      </c>
      <c r="T40" s="11">
        <f t="shared" si="17"/>
        <v>7331.611125643446</v>
      </c>
      <c r="U40" s="11">
        <f t="shared" si="8"/>
        <v>169581.50059208603</v>
      </c>
      <c r="W40" s="138">
        <f t="shared" si="18"/>
        <v>0.32519130999242318</v>
      </c>
      <c r="X40" s="138" t="str">
        <f t="shared" ref="X40:X103" si="28">IF(V40=0,"",V40/U28)</f>
        <v/>
      </c>
      <c r="Z40" s="139">
        <f t="shared" si="9"/>
        <v>2622.054407072922</v>
      </c>
      <c r="AA40" s="114">
        <v>13</v>
      </c>
      <c r="AB40" s="46">
        <f t="shared" si="20"/>
        <v>-2322.1445056058428</v>
      </c>
      <c r="AC40" s="47"/>
      <c r="AD40" s="47">
        <f t="shared" si="24"/>
        <v>2839.6577648550447</v>
      </c>
      <c r="AE40" s="86"/>
      <c r="AF40" s="140"/>
      <c r="AG40" s="140"/>
      <c r="AH40" s="140">
        <f t="shared" si="10"/>
        <v>137571.9145643714</v>
      </c>
      <c r="AI40" s="9"/>
      <c r="AJ40" s="9"/>
      <c r="AK40" s="9"/>
    </row>
    <row r="41" spans="2:37" ht="12" hidden="1" customHeight="1" outlineLevel="1" x14ac:dyDescent="0.25">
      <c r="B41" s="8" t="str">
        <f t="shared" si="11"/>
        <v/>
      </c>
      <c r="C41" s="11">
        <f t="shared" si="12"/>
        <v>536160.56596421986</v>
      </c>
      <c r="D41" s="11">
        <f t="shared" si="21"/>
        <v>2881.4399999999996</v>
      </c>
      <c r="E41" s="11">
        <f t="shared" si="22"/>
        <v>-352.41749999999996</v>
      </c>
      <c r="F41" s="11">
        <f t="shared" si="23"/>
        <v>-172.49999999999997</v>
      </c>
      <c r="G41" s="11">
        <f t="shared" si="13"/>
        <v>0</v>
      </c>
      <c r="H41" s="11">
        <f t="shared" si="26"/>
        <v>0</v>
      </c>
      <c r="I41" s="11">
        <f t="shared" si="27"/>
        <v>0</v>
      </c>
      <c r="J41" s="11">
        <v>0</v>
      </c>
      <c r="K41" s="11">
        <f t="shared" si="14"/>
        <v>-2622.054407072922</v>
      </c>
      <c r="L41" s="11">
        <f t="shared" si="15"/>
        <v>524.9174999999999</v>
      </c>
      <c r="M41" s="11">
        <f t="shared" si="3"/>
        <v>3146.971907072922</v>
      </c>
      <c r="N41" s="11">
        <f t="shared" si="4"/>
        <v>27.028092927077523</v>
      </c>
      <c r="O41" s="11">
        <f t="shared" si="5"/>
        <v>2356.5224999999996</v>
      </c>
      <c r="P41" s="11">
        <f t="shared" si="16"/>
        <v>370941.42665711656</v>
      </c>
      <c r="Q41" s="11">
        <f t="shared" si="6"/>
        <v>165219.13930710329</v>
      </c>
      <c r="R41" s="11">
        <f t="shared" si="7"/>
        <v>-145.47190707292245</v>
      </c>
      <c r="S41" s="11" cm="1">
        <f t="array" ref="S41">Y41*tax_rate</f>
        <v>0</v>
      </c>
      <c r="T41" s="11">
        <f t="shared" si="17"/>
        <v>7216.6875982607044</v>
      </c>
      <c r="U41" s="11">
        <f t="shared" si="8"/>
        <v>172435.826905364</v>
      </c>
      <c r="W41" s="138">
        <f t="shared" si="18"/>
        <v>0.31752192000326779</v>
      </c>
      <c r="X41" s="138" t="str">
        <f t="shared" si="28"/>
        <v/>
      </c>
      <c r="Z41" s="139">
        <f t="shared" si="9"/>
        <v>2622.054407072922</v>
      </c>
      <c r="AA41" s="114">
        <v>14</v>
      </c>
      <c r="AB41" s="46">
        <f t="shared" si="20"/>
        <v>-2320.2700687216734</v>
      </c>
      <c r="AC41" s="47"/>
      <c r="AD41" s="47">
        <f t="shared" si="24"/>
        <v>2854.3263132779684</v>
      </c>
      <c r="AE41" s="86"/>
      <c r="AF41" s="140"/>
      <c r="AG41" s="140"/>
      <c r="AH41" s="140">
        <f t="shared" si="10"/>
        <v>140266.1929475108</v>
      </c>
      <c r="AI41" s="9"/>
      <c r="AJ41" s="9"/>
      <c r="AK41" s="9"/>
    </row>
    <row r="42" spans="2:37" ht="12" hidden="1" customHeight="1" outlineLevel="1" x14ac:dyDescent="0.25">
      <c r="B42" s="8" t="str">
        <f t="shared" si="11"/>
        <v/>
      </c>
      <c r="C42" s="11">
        <f t="shared" si="12"/>
        <v>538841.36879404087</v>
      </c>
      <c r="D42" s="11">
        <f t="shared" si="21"/>
        <v>2881.4399999999996</v>
      </c>
      <c r="E42" s="11">
        <f t="shared" si="22"/>
        <v>-352.41749999999996</v>
      </c>
      <c r="F42" s="11">
        <f t="shared" si="23"/>
        <v>-172.49999999999997</v>
      </c>
      <c r="G42" s="11">
        <f t="shared" si="13"/>
        <v>0</v>
      </c>
      <c r="H42" s="11">
        <f t="shared" si="26"/>
        <v>0</v>
      </c>
      <c r="I42" s="11">
        <f t="shared" si="27"/>
        <v>0</v>
      </c>
      <c r="J42" s="11">
        <v>0</v>
      </c>
      <c r="K42" s="11">
        <f t="shared" si="14"/>
        <v>-2622.054407072922</v>
      </c>
      <c r="L42" s="11">
        <f t="shared" si="15"/>
        <v>524.9174999999999</v>
      </c>
      <c r="M42" s="11">
        <f t="shared" si="3"/>
        <v>3146.971907072922</v>
      </c>
      <c r="N42" s="11">
        <f t="shared" si="4"/>
        <v>27.028092927077523</v>
      </c>
      <c r="O42" s="11">
        <f t="shared" si="5"/>
        <v>2356.5224999999996</v>
      </c>
      <c r="P42" s="11">
        <f t="shared" si="16"/>
        <v>370637.75616665062</v>
      </c>
      <c r="Q42" s="11">
        <f t="shared" si="6"/>
        <v>168203.61262739025</v>
      </c>
      <c r="R42" s="11">
        <f t="shared" si="7"/>
        <v>-145.47190707292245</v>
      </c>
      <c r="S42" s="11" cm="1">
        <f t="array" ref="S42">Y42*tax_rate</f>
        <v>0</v>
      </c>
      <c r="T42" s="11">
        <f t="shared" si="17"/>
        <v>7101.2852228472011</v>
      </c>
      <c r="U42" s="11">
        <f t="shared" si="8"/>
        <v>175304.89785023744</v>
      </c>
      <c r="W42" s="138">
        <f t="shared" si="18"/>
        <v>0.31071186136401319</v>
      </c>
      <c r="X42" s="138" t="str">
        <f t="shared" si="28"/>
        <v/>
      </c>
      <c r="Z42" s="139">
        <f t="shared" si="9"/>
        <v>2622.054407072922</v>
      </c>
      <c r="AA42" s="114">
        <v>15</v>
      </c>
      <c r="AB42" s="46">
        <f t="shared" si="20"/>
        <v>-2318.3839166069783</v>
      </c>
      <c r="AC42" s="47"/>
      <c r="AD42" s="47">
        <f t="shared" si="24"/>
        <v>2869.0709448734415</v>
      </c>
      <c r="AE42" s="86"/>
      <c r="AF42" s="140"/>
      <c r="AG42" s="140"/>
      <c r="AH42" s="140">
        <f t="shared" si="10"/>
        <v>142974.41572259497</v>
      </c>
      <c r="AI42" s="9"/>
      <c r="AJ42" s="9"/>
      <c r="AK42" s="9"/>
    </row>
    <row r="43" spans="2:37" ht="12" hidden="1" customHeight="1" outlineLevel="1" x14ac:dyDescent="0.25">
      <c r="B43" s="8" t="str">
        <f t="shared" si="11"/>
        <v/>
      </c>
      <c r="C43" s="11">
        <f t="shared" si="12"/>
        <v>541535.57563801098</v>
      </c>
      <c r="D43" s="11">
        <f t="shared" si="21"/>
        <v>2881.4399999999996</v>
      </c>
      <c r="E43" s="11">
        <f t="shared" si="22"/>
        <v>-352.41749999999996</v>
      </c>
      <c r="F43" s="11">
        <f t="shared" si="23"/>
        <v>-172.49999999999997</v>
      </c>
      <c r="G43" s="11">
        <f t="shared" si="13"/>
        <v>0</v>
      </c>
      <c r="H43" s="11">
        <f t="shared" si="26"/>
        <v>0</v>
      </c>
      <c r="I43" s="11">
        <f t="shared" si="27"/>
        <v>0</v>
      </c>
      <c r="J43" s="11">
        <v>0</v>
      </c>
      <c r="K43" s="11">
        <f t="shared" si="14"/>
        <v>-2622.054407072922</v>
      </c>
      <c r="L43" s="11">
        <f t="shared" si="15"/>
        <v>524.9174999999999</v>
      </c>
      <c r="M43" s="11">
        <f t="shared" si="3"/>
        <v>3146.971907072922</v>
      </c>
      <c r="N43" s="11">
        <f t="shared" si="4"/>
        <v>27.028092927077523</v>
      </c>
      <c r="O43" s="11">
        <f t="shared" si="5"/>
        <v>2356.5224999999996</v>
      </c>
      <c r="P43" s="11">
        <f t="shared" si="16"/>
        <v>370332.18773561926</v>
      </c>
      <c r="Q43" s="11">
        <f t="shared" si="6"/>
        <v>171203.38790239173</v>
      </c>
      <c r="R43" s="11">
        <f t="shared" si="7"/>
        <v>-145.47190707292245</v>
      </c>
      <c r="S43" s="11" cm="1">
        <f t="array" ref="S43">Y43*tax_rate</f>
        <v>0</v>
      </c>
      <c r="T43" s="11">
        <f t="shared" si="17"/>
        <v>6985.4020042028087</v>
      </c>
      <c r="U43" s="11">
        <f t="shared" si="8"/>
        <v>178188.78990659452</v>
      </c>
      <c r="W43" s="138">
        <f t="shared" si="18"/>
        <v>0.30460120141854263</v>
      </c>
      <c r="X43" s="138" t="str">
        <f t="shared" si="28"/>
        <v/>
      </c>
      <c r="Z43" s="139">
        <f t="shared" si="9"/>
        <v>2622.054407072922</v>
      </c>
      <c r="AA43" s="114">
        <v>16</v>
      </c>
      <c r="AB43" s="46">
        <f t="shared" si="20"/>
        <v>-2316.4859760415661</v>
      </c>
      <c r="AC43" s="47"/>
      <c r="AD43" s="47">
        <f t="shared" si="24"/>
        <v>2883.8920563570864</v>
      </c>
      <c r="AE43" s="86"/>
      <c r="AF43" s="140"/>
      <c r="AG43" s="140"/>
      <c r="AH43" s="140">
        <f t="shared" si="10"/>
        <v>145696.65536831386</v>
      </c>
      <c r="AI43" s="9"/>
      <c r="AJ43" s="9"/>
      <c r="AK43" s="9"/>
    </row>
    <row r="44" spans="2:37" ht="12" hidden="1" customHeight="1" outlineLevel="1" x14ac:dyDescent="0.25">
      <c r="B44" s="8" t="str">
        <f t="shared" si="11"/>
        <v/>
      </c>
      <c r="C44" s="11">
        <f t="shared" si="12"/>
        <v>544243.25351620093</v>
      </c>
      <c r="D44" s="11">
        <f t="shared" si="21"/>
        <v>2881.4399999999996</v>
      </c>
      <c r="E44" s="11">
        <f t="shared" si="22"/>
        <v>-352.41749999999996</v>
      </c>
      <c r="F44" s="11">
        <f t="shared" si="23"/>
        <v>-172.49999999999997</v>
      </c>
      <c r="G44" s="11">
        <f t="shared" si="13"/>
        <v>0</v>
      </c>
      <c r="H44" s="11">
        <f t="shared" si="26"/>
        <v>0</v>
      </c>
      <c r="I44" s="11">
        <f t="shared" si="27"/>
        <v>0</v>
      </c>
      <c r="J44" s="11">
        <v>0</v>
      </c>
      <c r="K44" s="11">
        <f t="shared" si="14"/>
        <v>-2622.054407072922</v>
      </c>
      <c r="L44" s="11">
        <f t="shared" si="15"/>
        <v>524.9174999999999</v>
      </c>
      <c r="M44" s="11">
        <f t="shared" si="3"/>
        <v>3146.971907072922</v>
      </c>
      <c r="N44" s="11">
        <f t="shared" si="4"/>
        <v>27.028092927077523</v>
      </c>
      <c r="O44" s="11">
        <f t="shared" si="5"/>
        <v>2356.5224999999996</v>
      </c>
      <c r="P44" s="11">
        <f t="shared" si="16"/>
        <v>370024.70950189396</v>
      </c>
      <c r="Q44" s="11">
        <f t="shared" si="6"/>
        <v>174218.54401430697</v>
      </c>
      <c r="R44" s="11">
        <f t="shared" si="7"/>
        <v>-145.47190707292245</v>
      </c>
      <c r="S44" s="11" cm="1">
        <f t="array" ref="S44">Y44*tax_rate</f>
        <v>0</v>
      </c>
      <c r="T44" s="11">
        <f t="shared" si="17"/>
        <v>6869.0359388140641</v>
      </c>
      <c r="U44" s="11">
        <f t="shared" si="8"/>
        <v>181087.57995312102</v>
      </c>
      <c r="W44" s="138">
        <f t="shared" si="18"/>
        <v>0.29906831301819431</v>
      </c>
      <c r="X44" s="138" t="str">
        <f t="shared" si="28"/>
        <v/>
      </c>
      <c r="Z44" s="139">
        <f t="shared" si="9"/>
        <v>2622.054407072922</v>
      </c>
      <c r="AA44" s="114">
        <v>17</v>
      </c>
      <c r="AB44" s="46">
        <f t="shared" si="20"/>
        <v>-2314.5761733476202</v>
      </c>
      <c r="AC44" s="47"/>
      <c r="AD44" s="47">
        <f t="shared" si="24"/>
        <v>2898.7900465264975</v>
      </c>
      <c r="AE44" s="86"/>
      <c r="AF44" s="140"/>
      <c r="AG44" s="140"/>
      <c r="AH44" s="140">
        <f t="shared" si="10"/>
        <v>148432.98474214895</v>
      </c>
      <c r="AI44" s="9"/>
      <c r="AJ44" s="9"/>
      <c r="AK44" s="9"/>
    </row>
    <row r="45" spans="2:37" ht="12" hidden="1" customHeight="1" outlineLevel="1" x14ac:dyDescent="0.25">
      <c r="B45" s="8" t="str">
        <f t="shared" si="11"/>
        <v/>
      </c>
      <c r="C45" s="11">
        <f t="shared" si="12"/>
        <v>546964.46978378191</v>
      </c>
      <c r="D45" s="11">
        <f t="shared" si="21"/>
        <v>2881.4399999999996</v>
      </c>
      <c r="E45" s="11">
        <f t="shared" si="22"/>
        <v>-352.41749999999996</v>
      </c>
      <c r="F45" s="11">
        <f t="shared" si="23"/>
        <v>-172.49999999999997</v>
      </c>
      <c r="G45" s="11">
        <f t="shared" si="13"/>
        <v>0</v>
      </c>
      <c r="H45" s="11">
        <f t="shared" si="26"/>
        <v>0</v>
      </c>
      <c r="I45" s="11">
        <f t="shared" si="27"/>
        <v>0</v>
      </c>
      <c r="J45" s="11">
        <v>0</v>
      </c>
      <c r="K45" s="11">
        <f t="shared" si="14"/>
        <v>-2622.054407072922</v>
      </c>
      <c r="L45" s="11">
        <f t="shared" si="15"/>
        <v>524.9174999999999</v>
      </c>
      <c r="M45" s="11">
        <f t="shared" si="3"/>
        <v>3146.971907072922</v>
      </c>
      <c r="N45" s="11">
        <f t="shared" si="4"/>
        <v>27.028092927077523</v>
      </c>
      <c r="O45" s="11">
        <f t="shared" si="5"/>
        <v>2356.5224999999996</v>
      </c>
      <c r="P45" s="11">
        <f t="shared" si="16"/>
        <v>369715.30952920788</v>
      </c>
      <c r="Q45" s="11">
        <f t="shared" si="6"/>
        <v>177249.16025457403</v>
      </c>
      <c r="R45" s="11">
        <f t="shared" si="7"/>
        <v>-145.47190707292245</v>
      </c>
      <c r="S45" s="11" cm="1">
        <f t="array" ref="S45">Y45*tax_rate</f>
        <v>0</v>
      </c>
      <c r="T45" s="11">
        <f t="shared" si="17"/>
        <v>6752.1850148195335</v>
      </c>
      <c r="U45" s="11">
        <f t="shared" si="8"/>
        <v>184001.34526939355</v>
      </c>
      <c r="W45" s="138">
        <f t="shared" si="18"/>
        <v>0.29401901107746864</v>
      </c>
      <c r="X45" s="138" t="str">
        <f t="shared" si="28"/>
        <v/>
      </c>
      <c r="Z45" s="139">
        <f t="shared" si="9"/>
        <v>2622.054407072922</v>
      </c>
      <c r="AA45" s="114">
        <v>18</v>
      </c>
      <c r="AB45" s="46">
        <f t="shared" si="20"/>
        <v>-2312.6544343868372</v>
      </c>
      <c r="AC45" s="47"/>
      <c r="AD45" s="47">
        <f t="shared" si="24"/>
        <v>2913.7653162725328</v>
      </c>
      <c r="AE45" s="86"/>
      <c r="AF45" s="140"/>
      <c r="AG45" s="140"/>
      <c r="AH45" s="140">
        <f t="shared" si="10"/>
        <v>151183.47708236665</v>
      </c>
      <c r="AI45" s="9"/>
      <c r="AJ45" s="9"/>
      <c r="AK45" s="9"/>
    </row>
    <row r="46" spans="2:37" ht="12" hidden="1" customHeight="1" outlineLevel="1" x14ac:dyDescent="0.25">
      <c r="B46" s="8" t="str">
        <f t="shared" si="11"/>
        <v/>
      </c>
      <c r="C46" s="11">
        <f t="shared" si="12"/>
        <v>549699.29213270079</v>
      </c>
      <c r="D46" s="11">
        <f t="shared" si="21"/>
        <v>2881.4399999999996</v>
      </c>
      <c r="E46" s="11">
        <f t="shared" si="22"/>
        <v>-352.41749999999996</v>
      </c>
      <c r="F46" s="11">
        <f t="shared" si="23"/>
        <v>-172.49999999999997</v>
      </c>
      <c r="G46" s="11">
        <f t="shared" si="13"/>
        <v>0</v>
      </c>
      <c r="H46" s="11">
        <f t="shared" si="26"/>
        <v>0</v>
      </c>
      <c r="I46" s="11">
        <f t="shared" si="27"/>
        <v>0</v>
      </c>
      <c r="J46" s="11">
        <v>0</v>
      </c>
      <c r="K46" s="11">
        <f t="shared" si="14"/>
        <v>-2622.054407072922</v>
      </c>
      <c r="L46" s="11">
        <f t="shared" si="15"/>
        <v>524.9174999999999</v>
      </c>
      <c r="M46" s="11">
        <f t="shared" si="3"/>
        <v>3146.971907072922</v>
      </c>
      <c r="N46" s="11">
        <f t="shared" si="4"/>
        <v>27.028092927077523</v>
      </c>
      <c r="O46" s="11">
        <f t="shared" si="5"/>
        <v>2356.5224999999996</v>
      </c>
      <c r="P46" s="11">
        <f t="shared" si="16"/>
        <v>369403.9758066925</v>
      </c>
      <c r="Q46" s="11">
        <f t="shared" si="6"/>
        <v>180295.31632600829</v>
      </c>
      <c r="R46" s="11">
        <f t="shared" si="7"/>
        <v>-145.47190707292245</v>
      </c>
      <c r="S46" s="11" cm="1">
        <f t="array" ref="S46">Y46*tax_rate</f>
        <v>0</v>
      </c>
      <c r="T46" s="11">
        <f t="shared" si="17"/>
        <v>6634.8472119750259</v>
      </c>
      <c r="U46" s="11">
        <f t="shared" si="8"/>
        <v>186930.16353798332</v>
      </c>
      <c r="W46" s="138">
        <f t="shared" si="18"/>
        <v>0.28937918989061406</v>
      </c>
      <c r="X46" s="138" t="str">
        <f t="shared" si="28"/>
        <v/>
      </c>
      <c r="Z46" s="139">
        <f t="shared" si="9"/>
        <v>2622.054407072922</v>
      </c>
      <c r="AA46" s="114">
        <v>19</v>
      </c>
      <c r="AB46" s="46">
        <f t="shared" si="20"/>
        <v>-2310.7206845575492</v>
      </c>
      <c r="AC46" s="47"/>
      <c r="AD46" s="47">
        <f t="shared" si="24"/>
        <v>2928.8182685897627</v>
      </c>
      <c r="AE46" s="86"/>
      <c r="AF46" s="140"/>
      <c r="AG46" s="140"/>
      <c r="AH46" s="140">
        <f t="shared" si="10"/>
        <v>153948.20601002127</v>
      </c>
      <c r="AI46" s="8"/>
    </row>
    <row r="47" spans="2:37" ht="12" hidden="1" customHeight="1" outlineLevel="1" x14ac:dyDescent="0.25">
      <c r="B47" s="8" t="str">
        <f t="shared" si="11"/>
        <v/>
      </c>
      <c r="C47" s="11">
        <f t="shared" si="12"/>
        <v>552447.78859336418</v>
      </c>
      <c r="D47" s="11">
        <f t="shared" si="21"/>
        <v>2881.4399999999996</v>
      </c>
      <c r="E47" s="11">
        <f t="shared" si="22"/>
        <v>-352.41749999999996</v>
      </c>
      <c r="F47" s="11">
        <f t="shared" si="23"/>
        <v>-172.49999999999997</v>
      </c>
      <c r="G47" s="11">
        <f t="shared" si="13"/>
        <v>0</v>
      </c>
      <c r="H47" s="11">
        <f t="shared" si="26"/>
        <v>0</v>
      </c>
      <c r="I47" s="11">
        <f t="shared" si="27"/>
        <v>0</v>
      </c>
      <c r="J47" s="11">
        <v>0</v>
      </c>
      <c r="K47" s="11">
        <f t="shared" si="14"/>
        <v>-2622.054407072922</v>
      </c>
      <c r="L47" s="11">
        <f t="shared" si="15"/>
        <v>524.9174999999999</v>
      </c>
      <c r="M47" s="11">
        <f t="shared" si="3"/>
        <v>3146.971907072922</v>
      </c>
      <c r="N47" s="11">
        <f t="shared" si="4"/>
        <v>27.028092927077523</v>
      </c>
      <c r="O47" s="11">
        <f t="shared" si="5"/>
        <v>2356.5224999999996</v>
      </c>
      <c r="P47" s="11">
        <f t="shared" si="16"/>
        <v>369090.69624841143</v>
      </c>
      <c r="Q47" s="11">
        <f t="shared" si="6"/>
        <v>183357.09234495275</v>
      </c>
      <c r="R47" s="11">
        <f t="shared" si="7"/>
        <v>-145.47190707292245</v>
      </c>
      <c r="S47" s="11" cm="1">
        <f t="array" ref="S47">Y47*tax_rate</f>
        <v>0</v>
      </c>
      <c r="T47" s="11">
        <f t="shared" si="17"/>
        <v>6517.0205016186655</v>
      </c>
      <c r="U47" s="11">
        <f t="shared" si="8"/>
        <v>189874.1128465714</v>
      </c>
      <c r="W47" s="138">
        <f t="shared" si="18"/>
        <v>0.28508971210784823</v>
      </c>
      <c r="X47" s="138" t="str">
        <f t="shared" si="28"/>
        <v/>
      </c>
      <c r="Z47" s="139">
        <f t="shared" si="9"/>
        <v>2622.054407072922</v>
      </c>
      <c r="AA47" s="114">
        <v>20</v>
      </c>
      <c r="AB47" s="46">
        <f t="shared" si="20"/>
        <v>-2308.7748487918279</v>
      </c>
      <c r="AC47" s="47"/>
      <c r="AD47" s="47">
        <f t="shared" si="24"/>
        <v>2943.9493085880822</v>
      </c>
      <c r="AE47" s="86"/>
      <c r="AF47" s="140"/>
      <c r="AG47" s="140"/>
      <c r="AH47" s="140">
        <f t="shared" si="10"/>
        <v>156727.24553096955</v>
      </c>
      <c r="AI47" s="8"/>
    </row>
    <row r="48" spans="2:37" ht="12" hidden="1" customHeight="1" outlineLevel="1" x14ac:dyDescent="0.25">
      <c r="B48" s="8" t="str">
        <f t="shared" si="11"/>
        <v/>
      </c>
      <c r="C48" s="11">
        <f t="shared" si="12"/>
        <v>555210.02753633098</v>
      </c>
      <c r="D48" s="11">
        <f t="shared" si="21"/>
        <v>2881.4399999999996</v>
      </c>
      <c r="E48" s="11">
        <f t="shared" si="22"/>
        <v>-352.41749999999996</v>
      </c>
      <c r="F48" s="11">
        <f t="shared" si="23"/>
        <v>-172.49999999999997</v>
      </c>
      <c r="G48" s="11">
        <f t="shared" si="13"/>
        <v>0</v>
      </c>
      <c r="H48" s="11">
        <f t="shared" si="26"/>
        <v>0</v>
      </c>
      <c r="I48" s="11">
        <f t="shared" si="27"/>
        <v>0</v>
      </c>
      <c r="J48" s="11">
        <v>0</v>
      </c>
      <c r="K48" s="11">
        <f t="shared" si="14"/>
        <v>-2622.054407072922</v>
      </c>
      <c r="L48" s="11">
        <f t="shared" si="15"/>
        <v>524.9174999999999</v>
      </c>
      <c r="M48" s="11">
        <f t="shared" si="3"/>
        <v>3146.971907072922</v>
      </c>
      <c r="N48" s="11">
        <f t="shared" si="4"/>
        <v>27.028092927077523</v>
      </c>
      <c r="O48" s="11">
        <f t="shared" si="5"/>
        <v>2356.5224999999996</v>
      </c>
      <c r="P48" s="11">
        <f t="shared" si="16"/>
        <v>368775.45869289106</v>
      </c>
      <c r="Q48" s="11">
        <f t="shared" si="6"/>
        <v>186434.56884343992</v>
      </c>
      <c r="R48" s="11">
        <f t="shared" si="7"/>
        <v>-145.47190707292245</v>
      </c>
      <c r="S48" s="11" cm="1">
        <f t="array" ref="S48">Y48*tax_rate</f>
        <v>0</v>
      </c>
      <c r="T48" s="11">
        <f t="shared" si="17"/>
        <v>6398.7028466358206</v>
      </c>
      <c r="U48" s="11">
        <f t="shared" si="8"/>
        <v>192833.27169007575</v>
      </c>
      <c r="W48" s="138">
        <f t="shared" si="18"/>
        <v>0.28110278489602369</v>
      </c>
      <c r="X48" s="138" t="str">
        <f t="shared" si="28"/>
        <v/>
      </c>
      <c r="Z48" s="139">
        <f t="shared" si="9"/>
        <v>2622.054407072922</v>
      </c>
      <c r="AA48" s="114">
        <v>21</v>
      </c>
      <c r="AB48" s="46">
        <f t="shared" si="20"/>
        <v>-2306.8168515525713</v>
      </c>
      <c r="AC48" s="47"/>
      <c r="AD48" s="47">
        <f t="shared" si="24"/>
        <v>2959.1588435043523</v>
      </c>
      <c r="AE48" s="86"/>
      <c r="AF48" s="140"/>
      <c r="AG48" s="140"/>
      <c r="AH48" s="140">
        <f t="shared" si="10"/>
        <v>159520.67003789591</v>
      </c>
      <c r="AI48" s="8"/>
    </row>
    <row r="49" spans="2:37" ht="12" hidden="1" customHeight="1" outlineLevel="1" x14ac:dyDescent="0.25">
      <c r="B49" s="8" t="str">
        <f t="shared" si="11"/>
        <v/>
      </c>
      <c r="C49" s="11">
        <f t="shared" si="12"/>
        <v>557986.07767401263</v>
      </c>
      <c r="D49" s="11">
        <f t="shared" si="21"/>
        <v>2881.4399999999996</v>
      </c>
      <c r="E49" s="11">
        <f t="shared" si="22"/>
        <v>-352.41749999999996</v>
      </c>
      <c r="F49" s="11">
        <f t="shared" si="23"/>
        <v>-172.49999999999997</v>
      </c>
      <c r="G49" s="11">
        <f t="shared" si="13"/>
        <v>0</v>
      </c>
      <c r="H49" s="11">
        <f t="shared" si="26"/>
        <v>0</v>
      </c>
      <c r="I49" s="11">
        <f t="shared" si="27"/>
        <v>0</v>
      </c>
      <c r="J49" s="11">
        <v>0</v>
      </c>
      <c r="K49" s="11">
        <f t="shared" si="14"/>
        <v>-2622.054407072922</v>
      </c>
      <c r="L49" s="11">
        <f t="shared" si="15"/>
        <v>524.9174999999999</v>
      </c>
      <c r="M49" s="11">
        <f t="shared" si="3"/>
        <v>3146.971907072922</v>
      </c>
      <c r="N49" s="11">
        <f t="shared" si="4"/>
        <v>27.028092927077523</v>
      </c>
      <c r="O49" s="11">
        <f t="shared" si="5"/>
        <v>2356.5224999999996</v>
      </c>
      <c r="P49" s="11">
        <f t="shared" si="16"/>
        <v>368458.25090264872</v>
      </c>
      <c r="Q49" s="11">
        <f t="shared" si="6"/>
        <v>189527.82677136391</v>
      </c>
      <c r="R49" s="11">
        <f t="shared" si="7"/>
        <v>-145.47190707292245</v>
      </c>
      <c r="S49" s="11" cm="1">
        <f t="array" ref="S49">Y49*tax_rate</f>
        <v>0</v>
      </c>
      <c r="T49" s="11">
        <f t="shared" si="17"/>
        <v>6279.8922014238806</v>
      </c>
      <c r="U49" s="11">
        <f t="shared" si="8"/>
        <v>195807.71897278778</v>
      </c>
      <c r="W49" s="138">
        <f t="shared" si="18"/>
        <v>0.2773793417003495</v>
      </c>
      <c r="X49" s="138" t="str">
        <f t="shared" si="28"/>
        <v/>
      </c>
      <c r="Z49" s="139">
        <f t="shared" si="9"/>
        <v>2622.054407072922</v>
      </c>
      <c r="AA49" s="114">
        <v>22</v>
      </c>
      <c r="AB49" s="46">
        <f t="shared" si="20"/>
        <v>-2304.846616830569</v>
      </c>
      <c r="AC49" s="47"/>
      <c r="AD49" s="47">
        <f t="shared" si="24"/>
        <v>2974.4472827120335</v>
      </c>
      <c r="AE49" s="86"/>
      <c r="AF49" s="140"/>
      <c r="AG49" s="140"/>
      <c r="AH49" s="140">
        <f t="shared" si="10"/>
        <v>162328.55431234703</v>
      </c>
      <c r="AI49" s="8"/>
    </row>
    <row r="50" spans="2:37" ht="12" hidden="1" customHeight="1" outlineLevel="1" x14ac:dyDescent="0.25">
      <c r="B50" s="8" t="str">
        <f t="shared" si="11"/>
        <v/>
      </c>
      <c r="C50" s="11">
        <f t="shared" si="12"/>
        <v>560776.00806238258</v>
      </c>
      <c r="D50" s="11">
        <f t="shared" si="21"/>
        <v>2881.4399999999996</v>
      </c>
      <c r="E50" s="11">
        <f t="shared" si="22"/>
        <v>-352.41749999999996</v>
      </c>
      <c r="F50" s="11">
        <f t="shared" si="23"/>
        <v>-172.49999999999997</v>
      </c>
      <c r="G50" s="11">
        <f t="shared" si="13"/>
        <v>0</v>
      </c>
      <c r="H50" s="11">
        <f t="shared" si="26"/>
        <v>0</v>
      </c>
      <c r="I50" s="11">
        <f t="shared" si="27"/>
        <v>0</v>
      </c>
      <c r="J50" s="11">
        <v>0</v>
      </c>
      <c r="K50" s="11">
        <f t="shared" si="14"/>
        <v>-2622.054407072922</v>
      </c>
      <c r="L50" s="11">
        <f t="shared" si="15"/>
        <v>524.9174999999999</v>
      </c>
      <c r="M50" s="11">
        <f t="shared" si="3"/>
        <v>3146.971907072922</v>
      </c>
      <c r="N50" s="11">
        <f t="shared" si="4"/>
        <v>27.028092927077523</v>
      </c>
      <c r="O50" s="11">
        <f t="shared" si="5"/>
        <v>2356.5224999999996</v>
      </c>
      <c r="P50" s="11">
        <f t="shared" si="16"/>
        <v>368139.06056371739</v>
      </c>
      <c r="Q50" s="11">
        <f t="shared" si="6"/>
        <v>192636.94749866519</v>
      </c>
      <c r="R50" s="11">
        <f t="shared" si="7"/>
        <v>-145.47190707292245</v>
      </c>
      <c r="S50" s="11" cm="1">
        <f t="array" ref="S50">Y50*tax_rate</f>
        <v>0</v>
      </c>
      <c r="T50" s="11">
        <f t="shared" si="17"/>
        <v>6160.5865118568909</v>
      </c>
      <c r="U50" s="11">
        <f t="shared" si="8"/>
        <v>198797.53401052207</v>
      </c>
      <c r="W50" s="138">
        <f t="shared" si="18"/>
        <v>0.27388711836408969</v>
      </c>
      <c r="X50" s="138" t="str">
        <f t="shared" si="28"/>
        <v/>
      </c>
      <c r="Z50" s="139">
        <f t="shared" si="9"/>
        <v>2622.054407072922</v>
      </c>
      <c r="AA50" s="114">
        <v>23</v>
      </c>
      <c r="AB50" s="46">
        <f t="shared" si="20"/>
        <v>-2302.8640681415545</v>
      </c>
      <c r="AC50" s="47"/>
      <c r="AD50" s="47">
        <f t="shared" si="24"/>
        <v>2989.8150377342827</v>
      </c>
      <c r="AE50" s="86"/>
      <c r="AF50" s="140"/>
      <c r="AG50" s="140"/>
      <c r="AH50" s="140">
        <f t="shared" si="10"/>
        <v>165150.9735267791</v>
      </c>
      <c r="AI50" s="8"/>
    </row>
    <row r="51" spans="2:37" ht="15" customHeight="1" collapsed="1" x14ac:dyDescent="0.25">
      <c r="B51" s="8">
        <f t="shared" si="11"/>
        <v>2</v>
      </c>
      <c r="C51" s="11">
        <f t="shared" si="12"/>
        <v>563579.88810269441</v>
      </c>
      <c r="D51" s="11">
        <f t="shared" si="21"/>
        <v>2881.4399999999996</v>
      </c>
      <c r="E51" s="11">
        <f t="shared" si="22"/>
        <v>-352.41749999999996</v>
      </c>
      <c r="F51" s="11">
        <f t="shared" si="23"/>
        <v>-172.49999999999997</v>
      </c>
      <c r="G51" s="11">
        <f t="shared" si="13"/>
        <v>0</v>
      </c>
      <c r="H51" s="11">
        <f t="shared" si="26"/>
        <v>0</v>
      </c>
      <c r="I51" s="11">
        <f t="shared" si="27"/>
        <v>0</v>
      </c>
      <c r="J51" s="11">
        <v>0</v>
      </c>
      <c r="K51" s="11">
        <f t="shared" si="14"/>
        <v>-2622.054407072922</v>
      </c>
      <c r="L51" s="11">
        <f t="shared" si="15"/>
        <v>524.9174999999999</v>
      </c>
      <c r="M51" s="11">
        <f t="shared" si="3"/>
        <v>3146.971907072922</v>
      </c>
      <c r="N51" s="11">
        <f t="shared" si="4"/>
        <v>27.028092927077523</v>
      </c>
      <c r="O51" s="11">
        <f t="shared" si="5"/>
        <v>2356.5224999999996</v>
      </c>
      <c r="P51" s="11">
        <f t="shared" si="16"/>
        <v>367817.87528516771</v>
      </c>
      <c r="Q51" s="11">
        <f t="shared" si="6"/>
        <v>195762.0128175267</v>
      </c>
      <c r="R51" s="11">
        <f t="shared" si="7"/>
        <v>-145.47190707292245</v>
      </c>
      <c r="S51" s="11" cm="1">
        <f t="array" ref="S51">Y51*tax_rate</f>
        <v>10233.051800083722</v>
      </c>
      <c r="T51" s="11">
        <f t="shared" si="17"/>
        <v>16273.835515333762</v>
      </c>
      <c r="U51" s="11">
        <f t="shared" si="8"/>
        <v>212035.84833286045</v>
      </c>
      <c r="V51" s="11">
        <f>U51-U39</f>
        <v>45294.005505629466</v>
      </c>
      <c r="W51" s="138">
        <f t="shared" si="18"/>
        <v>0.30241575031278201</v>
      </c>
      <c r="X51" s="138">
        <f t="shared" si="28"/>
        <v>0.27164150724039138</v>
      </c>
      <c r="Y51" s="141">
        <f>(((Sale_Price*0.8)+Improvement_Costs+Closing_Costs_Total)/27.5)+(-E51*12)+-AC51</f>
        <v>46513.871818562373</v>
      </c>
      <c r="Z51" s="139">
        <f t="shared" si="9"/>
        <v>2622.054407072922</v>
      </c>
      <c r="AA51" s="114">
        <v>24</v>
      </c>
      <c r="AB51" s="46">
        <f t="shared" si="20"/>
        <v>-2300.8691285232335</v>
      </c>
      <c r="AC51" s="46">
        <f>SUM(AB40:AB51)</f>
        <v>-27739.407273107827</v>
      </c>
      <c r="AD51" s="47">
        <f t="shared" si="24"/>
        <v>13238.314322338381</v>
      </c>
      <c r="AE51" s="86">
        <f>D51*12</f>
        <v>34577.279999999999</v>
      </c>
      <c r="AF51" s="140">
        <f>R51*12</f>
        <v>-1745.6628848750693</v>
      </c>
      <c r="AG51" s="140">
        <f>R51*12</f>
        <v>-1745.6628848750693</v>
      </c>
      <c r="AH51" s="140">
        <f t="shared" si="10"/>
        <v>178221.05504669878</v>
      </c>
      <c r="AI51" s="9">
        <f>AI39*(1+Comparison_Rate_of_Return)</f>
        <v>151250</v>
      </c>
    </row>
    <row r="52" spans="2:37" ht="12" hidden="1" customHeight="1" outlineLevel="1" x14ac:dyDescent="0.25">
      <c r="B52" s="8" t="str">
        <f t="shared" si="11"/>
        <v/>
      </c>
      <c r="C52" s="11">
        <f t="shared" si="12"/>
        <v>566397.78754320787</v>
      </c>
      <c r="D52" s="11">
        <f t="shared" si="21"/>
        <v>2982.2903999999994</v>
      </c>
      <c r="E52" s="11">
        <f t="shared" si="22"/>
        <v>-364.75211249999995</v>
      </c>
      <c r="F52" s="11">
        <f t="shared" si="23"/>
        <v>-178.53749999999997</v>
      </c>
      <c r="G52" s="11">
        <f t="shared" si="13"/>
        <v>0</v>
      </c>
      <c r="H52" s="11">
        <f t="shared" ref="H52:H63" si="29">IF(Loan_Type="3-2-1",$AB$17,0)</f>
        <v>0</v>
      </c>
      <c r="I52" s="11">
        <v>0</v>
      </c>
      <c r="J52" s="11">
        <v>0</v>
      </c>
      <c r="K52" s="11">
        <f t="shared" si="14"/>
        <v>-2622.054407072922</v>
      </c>
      <c r="L52" s="11">
        <f t="shared" si="15"/>
        <v>543.28961249999998</v>
      </c>
      <c r="M52" s="11">
        <f t="shared" si="3"/>
        <v>3165.3440195729218</v>
      </c>
      <c r="N52" s="11">
        <f t="shared" si="4"/>
        <v>119.74598042707748</v>
      </c>
      <c r="O52" s="11">
        <f t="shared" si="5"/>
        <v>2439.0007874999997</v>
      </c>
      <c r="P52" s="11">
        <f t="shared" si="16"/>
        <v>367494.68259862711</v>
      </c>
      <c r="Q52" s="11">
        <f t="shared" si="6"/>
        <v>198903.10494458076</v>
      </c>
      <c r="R52" s="11">
        <f t="shared" si="7"/>
        <v>-58.791519572922482</v>
      </c>
      <c r="S52" s="11" cm="1">
        <f t="array" ref="S52">Y52*tax_rate</f>
        <v>0</v>
      </c>
      <c r="T52" s="11">
        <f t="shared" si="17"/>
        <v>16282.851643741396</v>
      </c>
      <c r="U52" s="11">
        <f t="shared" si="8"/>
        <v>215185.95658832215</v>
      </c>
      <c r="W52" s="138">
        <f t="shared" si="18"/>
        <v>0.29787802069662989</v>
      </c>
      <c r="X52" s="138" t="str">
        <f t="shared" si="28"/>
        <v/>
      </c>
      <c r="Z52" s="139">
        <f t="shared" si="9"/>
        <v>2622.054407072922</v>
      </c>
      <c r="AA52" s="114">
        <v>25</v>
      </c>
      <c r="AB52" s="46">
        <f t="shared" si="20"/>
        <v>-2298.861720532298</v>
      </c>
      <c r="AC52" s="47"/>
      <c r="AD52" s="47">
        <f t="shared" si="24"/>
        <v>3150.1082554617024</v>
      </c>
      <c r="AE52" s="86"/>
      <c r="AF52" s="140"/>
      <c r="AG52" s="140"/>
      <c r="AH52" s="140">
        <f t="shared" si="10"/>
        <v>181202.08933572969</v>
      </c>
      <c r="AI52" s="8"/>
    </row>
    <row r="53" spans="2:37" ht="12" hidden="1" customHeight="1" outlineLevel="1" x14ac:dyDescent="0.25">
      <c r="B53" s="8" t="str">
        <f t="shared" si="11"/>
        <v/>
      </c>
      <c r="C53" s="11">
        <f t="shared" si="12"/>
        <v>569229.77648092387</v>
      </c>
      <c r="D53" s="11">
        <f t="shared" si="21"/>
        <v>2982.2903999999994</v>
      </c>
      <c r="E53" s="11">
        <f t="shared" si="22"/>
        <v>-364.75211249999995</v>
      </c>
      <c r="F53" s="11">
        <f t="shared" si="23"/>
        <v>-178.53749999999997</v>
      </c>
      <c r="G53" s="11">
        <f t="shared" si="13"/>
        <v>0</v>
      </c>
      <c r="H53" s="11">
        <f t="shared" si="29"/>
        <v>0</v>
      </c>
      <c r="I53" s="11">
        <v>0</v>
      </c>
      <c r="J53" s="11">
        <v>0</v>
      </c>
      <c r="K53" s="11">
        <f t="shared" si="14"/>
        <v>-2622.054407072922</v>
      </c>
      <c r="L53" s="11">
        <f t="shared" si="15"/>
        <v>543.28961249999998</v>
      </c>
      <c r="M53" s="11">
        <f t="shared" si="3"/>
        <v>3165.3440195729218</v>
      </c>
      <c r="N53" s="11">
        <f t="shared" si="4"/>
        <v>119.74598042707748</v>
      </c>
      <c r="O53" s="11">
        <f t="shared" si="5"/>
        <v>2439.0007874999997</v>
      </c>
      <c r="P53" s="11">
        <f t="shared" si="16"/>
        <v>367169.46995779563</v>
      </c>
      <c r="Q53" s="11">
        <f t="shared" si="6"/>
        <v>202060.30652312824</v>
      </c>
      <c r="R53" s="11">
        <f t="shared" si="7"/>
        <v>-58.791519572922482</v>
      </c>
      <c r="S53" s="11" cm="1">
        <f t="array" ref="S53">Y53*tax_rate</f>
        <v>0</v>
      </c>
      <c r="T53" s="11">
        <f t="shared" si="17"/>
        <v>16291.905339350729</v>
      </c>
      <c r="U53" s="11">
        <f t="shared" si="8"/>
        <v>218352.21186247896</v>
      </c>
      <c r="W53" s="138">
        <f t="shared" si="18"/>
        <v>0.29361956875205714</v>
      </c>
      <c r="X53" s="138" t="str">
        <f t="shared" si="28"/>
        <v/>
      </c>
      <c r="Z53" s="139">
        <f t="shared" si="9"/>
        <v>2622.054407072922</v>
      </c>
      <c r="AA53" s="114">
        <v>26</v>
      </c>
      <c r="AB53" s="46">
        <f t="shared" si="20"/>
        <v>-2296.8417662414195</v>
      </c>
      <c r="AC53" s="47"/>
      <c r="AD53" s="47">
        <f t="shared" si="24"/>
        <v>3166.255274156807</v>
      </c>
      <c r="AE53" s="86"/>
      <c r="AF53" s="140"/>
      <c r="AG53" s="140"/>
      <c r="AH53" s="140">
        <f t="shared" si="10"/>
        <v>184198.42527362352</v>
      </c>
      <c r="AI53" s="9"/>
      <c r="AJ53" s="9"/>
      <c r="AK53" s="9"/>
    </row>
    <row r="54" spans="2:37" ht="12" hidden="1" customHeight="1" outlineLevel="1" x14ac:dyDescent="0.25">
      <c r="B54" s="8" t="str">
        <f t="shared" si="11"/>
        <v/>
      </c>
      <c r="C54" s="11">
        <f t="shared" si="12"/>
        <v>572075.92536332842</v>
      </c>
      <c r="D54" s="11">
        <f t="shared" si="21"/>
        <v>2982.2903999999994</v>
      </c>
      <c r="E54" s="11">
        <f t="shared" si="22"/>
        <v>-364.75211249999995</v>
      </c>
      <c r="F54" s="11">
        <f t="shared" si="23"/>
        <v>-178.53749999999997</v>
      </c>
      <c r="G54" s="11">
        <f t="shared" si="13"/>
        <v>0</v>
      </c>
      <c r="H54" s="11">
        <f t="shared" si="29"/>
        <v>0</v>
      </c>
      <c r="I54" s="11">
        <v>0</v>
      </c>
      <c r="J54" s="11">
        <v>0</v>
      </c>
      <c r="K54" s="11">
        <f t="shared" si="14"/>
        <v>-2622.054407072922</v>
      </c>
      <c r="L54" s="11">
        <f t="shared" si="15"/>
        <v>543.28961249999998</v>
      </c>
      <c r="M54" s="11">
        <f t="shared" si="3"/>
        <v>3165.3440195729218</v>
      </c>
      <c r="N54" s="11">
        <f t="shared" si="4"/>
        <v>119.74598042707748</v>
      </c>
      <c r="O54" s="11">
        <f t="shared" si="5"/>
        <v>2439.0007874999997</v>
      </c>
      <c r="P54" s="11">
        <f t="shared" si="16"/>
        <v>366842.22473795892</v>
      </c>
      <c r="Q54" s="11">
        <f t="shared" si="6"/>
        <v>205233.7006253695</v>
      </c>
      <c r="R54" s="11">
        <f t="shared" si="7"/>
        <v>-58.791519572922482</v>
      </c>
      <c r="S54" s="11" cm="1">
        <f t="array" ref="S54">Y54*tax_rate</f>
        <v>0</v>
      </c>
      <c r="T54" s="11">
        <f t="shared" si="17"/>
        <v>16300.996758691768</v>
      </c>
      <c r="U54" s="11">
        <f t="shared" si="8"/>
        <v>221534.69738406126</v>
      </c>
      <c r="W54" s="138">
        <f t="shared" si="18"/>
        <v>0.28961047647423233</v>
      </c>
      <c r="X54" s="138" t="str">
        <f t="shared" si="28"/>
        <v/>
      </c>
      <c r="Z54" s="139">
        <f t="shared" si="9"/>
        <v>2622.054407072922</v>
      </c>
      <c r="AA54" s="114">
        <v>27</v>
      </c>
      <c r="AB54" s="46">
        <f t="shared" si="20"/>
        <v>-2294.8091872362224</v>
      </c>
      <c r="AC54" s="47"/>
      <c r="AD54" s="47">
        <f t="shared" si="24"/>
        <v>3182.4855215823045</v>
      </c>
      <c r="AE54" s="86"/>
      <c r="AF54" s="140"/>
      <c r="AG54" s="140"/>
      <c r="AH54" s="140">
        <f t="shared" si="10"/>
        <v>187210.14186226157</v>
      </c>
      <c r="AI54" s="9"/>
      <c r="AJ54" s="9"/>
      <c r="AK54" s="9"/>
    </row>
    <row r="55" spans="2:37" ht="12" hidden="1" customHeight="1" outlineLevel="1" x14ac:dyDescent="0.25">
      <c r="B55" s="8" t="str">
        <f t="shared" si="11"/>
        <v/>
      </c>
      <c r="C55" s="11">
        <f t="shared" si="12"/>
        <v>574936.30499014503</v>
      </c>
      <c r="D55" s="11">
        <f t="shared" si="21"/>
        <v>2982.2903999999994</v>
      </c>
      <c r="E55" s="11">
        <f t="shared" si="22"/>
        <v>-364.75211249999995</v>
      </c>
      <c r="F55" s="11">
        <f t="shared" si="23"/>
        <v>-178.53749999999997</v>
      </c>
      <c r="G55" s="11">
        <f t="shared" si="13"/>
        <v>0</v>
      </c>
      <c r="H55" s="11">
        <f t="shared" si="29"/>
        <v>0</v>
      </c>
      <c r="I55" s="11">
        <v>0</v>
      </c>
      <c r="J55" s="11">
        <v>0</v>
      </c>
      <c r="K55" s="11">
        <f t="shared" si="14"/>
        <v>-2622.054407072922</v>
      </c>
      <c r="L55" s="11">
        <f t="shared" si="15"/>
        <v>543.28961249999998</v>
      </c>
      <c r="M55" s="11">
        <f t="shared" si="3"/>
        <v>3165.3440195729218</v>
      </c>
      <c r="N55" s="11">
        <f t="shared" si="4"/>
        <v>119.74598042707748</v>
      </c>
      <c r="O55" s="11">
        <f t="shared" si="5"/>
        <v>2439.0007874999997</v>
      </c>
      <c r="P55" s="11">
        <f t="shared" si="16"/>
        <v>366512.93423549825</v>
      </c>
      <c r="Q55" s="11">
        <f t="shared" si="6"/>
        <v>208423.37075464678</v>
      </c>
      <c r="R55" s="11">
        <f t="shared" si="7"/>
        <v>-58.791519572922482</v>
      </c>
      <c r="S55" s="11" cm="1">
        <f t="array" ref="S55">Y55*tax_rate</f>
        <v>0</v>
      </c>
      <c r="T55" s="11">
        <f t="shared" si="17"/>
        <v>16310.126058946729</v>
      </c>
      <c r="U55" s="11">
        <f t="shared" si="8"/>
        <v>224733.49681359352</v>
      </c>
      <c r="W55" s="138">
        <f t="shared" si="18"/>
        <v>0.28582514015831917</v>
      </c>
      <c r="X55" s="138" t="str">
        <f t="shared" si="28"/>
        <v/>
      </c>
      <c r="Z55" s="139">
        <f t="shared" si="9"/>
        <v>2622.054407072922</v>
      </c>
      <c r="AA55" s="114">
        <v>28</v>
      </c>
      <c r="AB55" s="46">
        <f t="shared" si="20"/>
        <v>-2292.7639046122431</v>
      </c>
      <c r="AC55" s="47"/>
      <c r="AD55" s="47">
        <f t="shared" si="24"/>
        <v>3198.7994295322569</v>
      </c>
      <c r="AE55" s="86"/>
      <c r="AF55" s="140"/>
      <c r="AG55" s="140"/>
      <c r="AH55" s="140">
        <f t="shared" si="10"/>
        <v>190237.31851418482</v>
      </c>
      <c r="AI55" s="9"/>
      <c r="AJ55" s="9"/>
      <c r="AK55" s="9"/>
    </row>
    <row r="56" spans="2:37" ht="12" hidden="1" customHeight="1" outlineLevel="1" x14ac:dyDescent="0.25">
      <c r="B56" s="8" t="str">
        <f t="shared" si="11"/>
        <v/>
      </c>
      <c r="C56" s="11">
        <f t="shared" si="12"/>
        <v>577810.98651509569</v>
      </c>
      <c r="D56" s="11">
        <f t="shared" si="21"/>
        <v>2982.2903999999994</v>
      </c>
      <c r="E56" s="11">
        <f t="shared" si="22"/>
        <v>-364.75211249999995</v>
      </c>
      <c r="F56" s="11">
        <f t="shared" si="23"/>
        <v>-178.53749999999997</v>
      </c>
      <c r="G56" s="11">
        <f t="shared" si="13"/>
        <v>0</v>
      </c>
      <c r="H56" s="11">
        <f t="shared" si="29"/>
        <v>0</v>
      </c>
      <c r="I56" s="11">
        <v>0</v>
      </c>
      <c r="J56" s="11">
        <v>0</v>
      </c>
      <c r="K56" s="11">
        <f t="shared" si="14"/>
        <v>-2622.054407072922</v>
      </c>
      <c r="L56" s="11">
        <f t="shared" si="15"/>
        <v>543.28961249999998</v>
      </c>
      <c r="M56" s="11">
        <f t="shared" si="3"/>
        <v>3165.3440195729218</v>
      </c>
      <c r="N56" s="11">
        <f t="shared" si="4"/>
        <v>119.74598042707748</v>
      </c>
      <c r="O56" s="11">
        <f t="shared" si="5"/>
        <v>2439.0007874999997</v>
      </c>
      <c r="P56" s="11">
        <f t="shared" si="16"/>
        <v>366181.58566739719</v>
      </c>
      <c r="Q56" s="11">
        <f t="shared" si="6"/>
        <v>211629.4008476985</v>
      </c>
      <c r="R56" s="11">
        <f t="shared" si="7"/>
        <v>-58.791519572922482</v>
      </c>
      <c r="S56" s="11" cm="1">
        <f t="array" ref="S56">Y56*tax_rate</f>
        <v>0</v>
      </c>
      <c r="T56" s="11">
        <f t="shared" si="17"/>
        <v>16319.293397952752</v>
      </c>
      <c r="U56" s="11">
        <f t="shared" si="8"/>
        <v>227948.69424565125</v>
      </c>
      <c r="W56" s="138">
        <f t="shared" si="18"/>
        <v>0.28224151161142408</v>
      </c>
      <c r="X56" s="138" t="str">
        <f t="shared" si="28"/>
        <v/>
      </c>
      <c r="Z56" s="139">
        <f t="shared" si="9"/>
        <v>2622.054407072922</v>
      </c>
      <c r="AA56" s="114">
        <v>29</v>
      </c>
      <c r="AB56" s="46">
        <f t="shared" si="20"/>
        <v>-2290.7058389718641</v>
      </c>
      <c r="AC56" s="47"/>
      <c r="AD56" s="47">
        <f t="shared" si="24"/>
        <v>3215.1974320577283</v>
      </c>
      <c r="AE56" s="86"/>
      <c r="AF56" s="140"/>
      <c r="AG56" s="140"/>
      <c r="AH56" s="140">
        <f t="shared" si="10"/>
        <v>193280.0350547455</v>
      </c>
      <c r="AI56" s="9"/>
      <c r="AJ56" s="9"/>
      <c r="AK56" s="9"/>
    </row>
    <row r="57" spans="2:37" ht="12" hidden="1" customHeight="1" outlineLevel="1" x14ac:dyDescent="0.25">
      <c r="B57" s="8" t="str">
        <f t="shared" si="11"/>
        <v/>
      </c>
      <c r="C57" s="11">
        <f t="shared" si="12"/>
        <v>580700.04144767113</v>
      </c>
      <c r="D57" s="11">
        <f t="shared" si="21"/>
        <v>2982.2903999999994</v>
      </c>
      <c r="E57" s="11">
        <f t="shared" si="22"/>
        <v>-364.75211249999995</v>
      </c>
      <c r="F57" s="11">
        <f t="shared" si="23"/>
        <v>-178.53749999999997</v>
      </c>
      <c r="G57" s="11">
        <f t="shared" si="13"/>
        <v>0</v>
      </c>
      <c r="H57" s="11">
        <f t="shared" si="29"/>
        <v>0</v>
      </c>
      <c r="I57" s="11">
        <v>0</v>
      </c>
      <c r="J57" s="11">
        <v>0</v>
      </c>
      <c r="K57" s="11">
        <f t="shared" si="14"/>
        <v>-2622.054407072922</v>
      </c>
      <c r="L57" s="11">
        <f t="shared" si="15"/>
        <v>543.28961249999998</v>
      </c>
      <c r="M57" s="11">
        <f t="shared" si="3"/>
        <v>3165.3440195729218</v>
      </c>
      <c r="N57" s="11">
        <f t="shared" si="4"/>
        <v>119.74598042707748</v>
      </c>
      <c r="O57" s="11">
        <f t="shared" si="5"/>
        <v>2439.0007874999997</v>
      </c>
      <c r="P57" s="11">
        <f t="shared" si="16"/>
        <v>365848.16617074551</v>
      </c>
      <c r="Q57" s="11">
        <f t="shared" si="6"/>
        <v>214851.87527692562</v>
      </c>
      <c r="R57" s="11">
        <f t="shared" si="7"/>
        <v>-58.791519572922482</v>
      </c>
      <c r="S57" s="11" cm="1">
        <f t="array" ref="S57">Y57*tax_rate</f>
        <v>0</v>
      </c>
      <c r="T57" s="11">
        <f t="shared" si="17"/>
        <v>16328.498934204632</v>
      </c>
      <c r="U57" s="11">
        <f t="shared" si="8"/>
        <v>231180.37421113026</v>
      </c>
      <c r="W57" s="138">
        <f t="shared" si="18"/>
        <v>0.27884049448453813</v>
      </c>
      <c r="X57" s="138" t="str">
        <f t="shared" si="28"/>
        <v/>
      </c>
      <c r="Z57" s="139">
        <f t="shared" si="9"/>
        <v>2622.054407072922</v>
      </c>
      <c r="AA57" s="114">
        <v>30</v>
      </c>
      <c r="AB57" s="46">
        <f t="shared" si="20"/>
        <v>-2288.6349104212322</v>
      </c>
      <c r="AC57" s="47"/>
      <c r="AD57" s="47">
        <f t="shared" si="24"/>
        <v>3231.6799654790084</v>
      </c>
      <c r="AE57" s="86"/>
      <c r="AF57" s="140"/>
      <c r="AG57" s="140"/>
      <c r="AH57" s="140">
        <f t="shared" si="10"/>
        <v>196338.37172426999</v>
      </c>
      <c r="AI57" s="9"/>
      <c r="AJ57" s="9"/>
      <c r="AK57" s="9"/>
    </row>
    <row r="58" spans="2:37" ht="12" hidden="1" customHeight="1" outlineLevel="1" x14ac:dyDescent="0.25">
      <c r="B58" s="8" t="str">
        <f t="shared" si="11"/>
        <v/>
      </c>
      <c r="C58" s="11">
        <f t="shared" si="12"/>
        <v>583603.54165490938</v>
      </c>
      <c r="D58" s="11">
        <f t="shared" si="21"/>
        <v>2982.2903999999994</v>
      </c>
      <c r="E58" s="11">
        <f t="shared" si="22"/>
        <v>-364.75211249999995</v>
      </c>
      <c r="F58" s="11">
        <f t="shared" si="23"/>
        <v>-178.53749999999997</v>
      </c>
      <c r="G58" s="11">
        <f t="shared" si="13"/>
        <v>0</v>
      </c>
      <c r="H58" s="11">
        <f t="shared" si="29"/>
        <v>0</v>
      </c>
      <c r="I58" s="11">
        <v>0</v>
      </c>
      <c r="J58" s="11">
        <v>0</v>
      </c>
      <c r="K58" s="11">
        <f t="shared" si="14"/>
        <v>-2622.054407072922</v>
      </c>
      <c r="L58" s="11">
        <f t="shared" si="15"/>
        <v>543.28961249999998</v>
      </c>
      <c r="M58" s="11">
        <f t="shared" si="3"/>
        <v>3165.3440195729218</v>
      </c>
      <c r="N58" s="11">
        <f t="shared" si="4"/>
        <v>119.74598042707748</v>
      </c>
      <c r="O58" s="11">
        <f t="shared" si="5"/>
        <v>2439.0007874999997</v>
      </c>
      <c r="P58" s="11">
        <f t="shared" si="16"/>
        <v>365512.66280223976</v>
      </c>
      <c r="Q58" s="11">
        <f t="shared" si="6"/>
        <v>218090.87885266962</v>
      </c>
      <c r="R58" s="11">
        <f t="shared" si="7"/>
        <v>-58.791519572922482</v>
      </c>
      <c r="S58" s="11" cm="1">
        <f t="array" ref="S58">Y58*tax_rate</f>
        <v>0</v>
      </c>
      <c r="T58" s="11">
        <f t="shared" si="17"/>
        <v>16337.742826857564</v>
      </c>
      <c r="U58" s="11">
        <f t="shared" si="8"/>
        <v>234428.62167952719</v>
      </c>
      <c r="W58" s="138">
        <f t="shared" si="18"/>
        <v>0.27560545992054597</v>
      </c>
      <c r="X58" s="138" t="str">
        <f t="shared" si="28"/>
        <v/>
      </c>
      <c r="Z58" s="139">
        <f t="shared" si="9"/>
        <v>2622.054407072922</v>
      </c>
      <c r="AA58" s="114">
        <v>31</v>
      </c>
      <c r="AB58" s="46">
        <f t="shared" si="20"/>
        <v>-2286.5510385671591</v>
      </c>
      <c r="AC58" s="47"/>
      <c r="AD58" s="47">
        <f t="shared" si="24"/>
        <v>3248.247468396934</v>
      </c>
      <c r="AE58" s="86"/>
      <c r="AF58" s="140"/>
      <c r="AG58" s="140"/>
      <c r="AH58" s="140">
        <f t="shared" si="10"/>
        <v>199412.40918023261</v>
      </c>
      <c r="AI58" s="9"/>
      <c r="AJ58" s="9"/>
      <c r="AK58" s="9"/>
    </row>
    <row r="59" spans="2:37" ht="12" hidden="1" customHeight="1" outlineLevel="1" x14ac:dyDescent="0.25">
      <c r="B59" s="8" t="str">
        <f t="shared" si="11"/>
        <v/>
      </c>
      <c r="C59" s="11">
        <f t="shared" si="12"/>
        <v>586521.55936318391</v>
      </c>
      <c r="D59" s="11">
        <f t="shared" si="21"/>
        <v>2982.2903999999994</v>
      </c>
      <c r="E59" s="11">
        <f t="shared" si="22"/>
        <v>-364.75211249999995</v>
      </c>
      <c r="F59" s="11">
        <f t="shared" si="23"/>
        <v>-178.53749999999997</v>
      </c>
      <c r="G59" s="11">
        <f t="shared" si="13"/>
        <v>0</v>
      </c>
      <c r="H59" s="11">
        <f t="shared" si="29"/>
        <v>0</v>
      </c>
      <c r="I59" s="11">
        <v>0</v>
      </c>
      <c r="J59" s="11">
        <v>0</v>
      </c>
      <c r="K59" s="11">
        <f t="shared" si="14"/>
        <v>-2622.054407072922</v>
      </c>
      <c r="L59" s="11">
        <f t="shared" si="15"/>
        <v>543.28961249999998</v>
      </c>
      <c r="M59" s="11">
        <f t="shared" si="3"/>
        <v>3165.3440195729218</v>
      </c>
      <c r="N59" s="11">
        <f t="shared" si="4"/>
        <v>119.74598042707748</v>
      </c>
      <c r="O59" s="11">
        <f t="shared" si="5"/>
        <v>2439.0007874999997</v>
      </c>
      <c r="P59" s="11">
        <f t="shared" si="16"/>
        <v>365175.06253768085</v>
      </c>
      <c r="Q59" s="11">
        <f t="shared" si="6"/>
        <v>221346.49682550307</v>
      </c>
      <c r="R59" s="11">
        <f t="shared" si="7"/>
        <v>-58.791519572922482</v>
      </c>
      <c r="S59" s="11" cm="1">
        <f t="array" ref="S59">Y59*tax_rate</f>
        <v>0</v>
      </c>
      <c r="T59" s="11">
        <f t="shared" si="17"/>
        <v>16347.025235729881</v>
      </c>
      <c r="U59" s="11">
        <f t="shared" si="8"/>
        <v>237693.52206123294</v>
      </c>
      <c r="W59" s="138">
        <f t="shared" si="18"/>
        <v>0.27252185486471309</v>
      </c>
      <c r="X59" s="138" t="str">
        <f t="shared" si="28"/>
        <v/>
      </c>
      <c r="Y59" s="11"/>
      <c r="Z59" s="139">
        <f t="shared" si="9"/>
        <v>2622.054407072922</v>
      </c>
      <c r="AA59" s="114">
        <v>32</v>
      </c>
      <c r="AB59" s="46">
        <f t="shared" si="20"/>
        <v>-2284.4541425139982</v>
      </c>
      <c r="AC59" s="47"/>
      <c r="AD59" s="47">
        <f t="shared" si="24"/>
        <v>3264.9003817057528</v>
      </c>
      <c r="AE59" s="86"/>
      <c r="AF59" s="140"/>
      <c r="AG59" s="140"/>
      <c r="AH59" s="140">
        <f t="shared" si="10"/>
        <v>202502.2284994419</v>
      </c>
      <c r="AI59" s="9"/>
      <c r="AJ59" s="9"/>
      <c r="AK59" s="9"/>
    </row>
    <row r="60" spans="2:37" ht="12" hidden="1" customHeight="1" outlineLevel="1" x14ac:dyDescent="0.25">
      <c r="B60" s="8" t="str">
        <f t="shared" si="11"/>
        <v/>
      </c>
      <c r="C60" s="11">
        <f t="shared" si="12"/>
        <v>589454.16715999972</v>
      </c>
      <c r="D60" s="11">
        <f t="shared" si="21"/>
        <v>2982.2903999999994</v>
      </c>
      <c r="E60" s="11">
        <f t="shared" si="22"/>
        <v>-364.75211249999995</v>
      </c>
      <c r="F60" s="11">
        <f t="shared" si="23"/>
        <v>-178.53749999999997</v>
      </c>
      <c r="G60" s="11">
        <f t="shared" si="13"/>
        <v>0</v>
      </c>
      <c r="H60" s="11">
        <f t="shared" si="29"/>
        <v>0</v>
      </c>
      <c r="I60" s="11">
        <v>0</v>
      </c>
      <c r="J60" s="11">
        <v>0</v>
      </c>
      <c r="K60" s="11">
        <f t="shared" si="14"/>
        <v>-2622.054407072922</v>
      </c>
      <c r="L60" s="11">
        <f t="shared" si="15"/>
        <v>543.28961249999998</v>
      </c>
      <c r="M60" s="11">
        <f t="shared" si="3"/>
        <v>3165.3440195729218</v>
      </c>
      <c r="N60" s="11">
        <f t="shared" si="4"/>
        <v>119.74598042707748</v>
      </c>
      <c r="O60" s="11">
        <f t="shared" si="5"/>
        <v>2439.0007874999997</v>
      </c>
      <c r="P60" s="11">
        <f t="shared" si="16"/>
        <v>364835.35227146844</v>
      </c>
      <c r="Q60" s="11">
        <f t="shared" si="6"/>
        <v>224618.81488853128</v>
      </c>
      <c r="R60" s="11">
        <f t="shared" si="7"/>
        <v>-58.791519572922482</v>
      </c>
      <c r="S60" s="11" cm="1">
        <f t="array" ref="S60">Y60*tax_rate</f>
        <v>0</v>
      </c>
      <c r="T60" s="11">
        <f t="shared" si="17"/>
        <v>16356.346321305835</v>
      </c>
      <c r="U60" s="11">
        <f t="shared" si="8"/>
        <v>240975.16120983713</v>
      </c>
      <c r="W60" s="138">
        <f t="shared" si="18"/>
        <v>0.26957688297573512</v>
      </c>
      <c r="X60" s="138" t="str">
        <f t="shared" si="28"/>
        <v/>
      </c>
      <c r="Y60" s="11"/>
      <c r="Z60" s="139">
        <f t="shared" si="9"/>
        <v>2622.054407072922</v>
      </c>
      <c r="AA60" s="114">
        <v>33</v>
      </c>
      <c r="AB60" s="46">
        <f t="shared" si="20"/>
        <v>-2282.3441408605049</v>
      </c>
      <c r="AC60" s="47"/>
      <c r="AD60" s="47">
        <f t="shared" si="24"/>
        <v>3281.639148604183</v>
      </c>
      <c r="AE60" s="86"/>
      <c r="AF60" s="140"/>
      <c r="AG60" s="140"/>
      <c r="AH60" s="140">
        <f t="shared" si="10"/>
        <v>205607.91118023713</v>
      </c>
      <c r="AI60" s="9"/>
      <c r="AJ60" s="9"/>
      <c r="AK60" s="9"/>
    </row>
    <row r="61" spans="2:37" ht="12" hidden="1" customHeight="1" outlineLevel="1" x14ac:dyDescent="0.25">
      <c r="B61" s="8" t="str">
        <f t="shared" si="11"/>
        <v/>
      </c>
      <c r="C61" s="11">
        <f t="shared" si="12"/>
        <v>592401.4379957997</v>
      </c>
      <c r="D61" s="11">
        <f t="shared" si="21"/>
        <v>2982.2903999999994</v>
      </c>
      <c r="E61" s="11">
        <f t="shared" si="22"/>
        <v>-364.75211249999995</v>
      </c>
      <c r="F61" s="11">
        <f t="shared" si="23"/>
        <v>-178.53749999999997</v>
      </c>
      <c r="G61" s="11">
        <f t="shared" si="13"/>
        <v>0</v>
      </c>
      <c r="H61" s="11">
        <f t="shared" si="29"/>
        <v>0</v>
      </c>
      <c r="I61" s="11">
        <v>0</v>
      </c>
      <c r="J61" s="11">
        <v>0</v>
      </c>
      <c r="K61" s="11">
        <f t="shared" si="14"/>
        <v>-2622.054407072922</v>
      </c>
      <c r="L61" s="11">
        <f t="shared" si="15"/>
        <v>543.28961249999998</v>
      </c>
      <c r="M61" s="11">
        <f t="shared" si="3"/>
        <v>3165.3440195729218</v>
      </c>
      <c r="N61" s="11">
        <f t="shared" si="4"/>
        <v>119.74598042707748</v>
      </c>
      <c r="O61" s="11">
        <f t="shared" si="5"/>
        <v>2439.0007874999997</v>
      </c>
      <c r="P61" s="11">
        <f t="shared" si="16"/>
        <v>364493.51881609217</v>
      </c>
      <c r="Q61" s="11">
        <f t="shared" si="6"/>
        <v>227907.91917970753</v>
      </c>
      <c r="R61" s="11">
        <f t="shared" si="7"/>
        <v>-58.791519572922482</v>
      </c>
      <c r="S61" s="11" cm="1">
        <f t="array" ref="S61">Y61*tax_rate</f>
        <v>0</v>
      </c>
      <c r="T61" s="11">
        <f t="shared" si="17"/>
        <v>16365.706244738354</v>
      </c>
      <c r="U61" s="11">
        <f t="shared" si="8"/>
        <v>244273.6254244459</v>
      </c>
      <c r="W61" s="138">
        <f t="shared" si="18"/>
        <v>0.26675924289238079</v>
      </c>
      <c r="X61" s="138" t="str">
        <f t="shared" si="28"/>
        <v/>
      </c>
      <c r="Y61" s="11"/>
      <c r="Z61" s="139">
        <f t="shared" si="9"/>
        <v>2622.054407072922</v>
      </c>
      <c r="AA61" s="114">
        <v>34</v>
      </c>
      <c r="AB61" s="46">
        <f t="shared" si="20"/>
        <v>-2280.2209516966777</v>
      </c>
      <c r="AC61" s="47"/>
      <c r="AD61" s="47">
        <f t="shared" si="24"/>
        <v>3298.4642146087717</v>
      </c>
      <c r="AE61" s="86"/>
      <c r="AF61" s="140"/>
      <c r="AG61" s="140"/>
      <c r="AH61" s="140">
        <f t="shared" si="10"/>
        <v>208729.53914469792</v>
      </c>
      <c r="AI61" s="9"/>
      <c r="AJ61" s="9"/>
      <c r="AK61" s="9"/>
    </row>
    <row r="62" spans="2:37" ht="12" hidden="1" customHeight="1" outlineLevel="1" x14ac:dyDescent="0.25">
      <c r="B62" s="8" t="str">
        <f t="shared" si="11"/>
        <v/>
      </c>
      <c r="C62" s="11">
        <f t="shared" si="12"/>
        <v>595363.44518577866</v>
      </c>
      <c r="D62" s="11">
        <f t="shared" si="21"/>
        <v>2982.2903999999994</v>
      </c>
      <c r="E62" s="11">
        <f t="shared" si="22"/>
        <v>-364.75211249999995</v>
      </c>
      <c r="F62" s="11">
        <f t="shared" si="23"/>
        <v>-178.53749999999997</v>
      </c>
      <c r="G62" s="11">
        <f t="shared" si="13"/>
        <v>0</v>
      </c>
      <c r="H62" s="11">
        <f t="shared" si="29"/>
        <v>0</v>
      </c>
      <c r="I62" s="11">
        <v>0</v>
      </c>
      <c r="J62" s="11">
        <v>0</v>
      </c>
      <c r="K62" s="11">
        <f t="shared" si="14"/>
        <v>-2622.054407072922</v>
      </c>
      <c r="L62" s="11">
        <f t="shared" si="15"/>
        <v>543.28961249999998</v>
      </c>
      <c r="M62" s="11">
        <f t="shared" si="3"/>
        <v>3165.3440195729218</v>
      </c>
      <c r="N62" s="11">
        <f t="shared" si="4"/>
        <v>119.74598042707748</v>
      </c>
      <c r="O62" s="11">
        <f t="shared" si="5"/>
        <v>2439.0007874999997</v>
      </c>
      <c r="P62" s="11">
        <f t="shared" si="16"/>
        <v>364149.5489016198</v>
      </c>
      <c r="Q62" s="11">
        <f t="shared" si="6"/>
        <v>231213.89628415887</v>
      </c>
      <c r="R62" s="11">
        <f t="shared" si="7"/>
        <v>-58.791519572922482</v>
      </c>
      <c r="S62" s="11" cm="1">
        <f t="array" ref="S62">Y62*tax_rate</f>
        <v>0</v>
      </c>
      <c r="T62" s="11">
        <f t="shared" si="17"/>
        <v>16375.105167851842</v>
      </c>
      <c r="U62" s="11">
        <f t="shared" si="8"/>
        <v>247589.00145201071</v>
      </c>
      <c r="W62" s="138">
        <f t="shared" si="18"/>
        <v>0.26405891216344402</v>
      </c>
      <c r="X62" s="138" t="str">
        <f t="shared" si="28"/>
        <v/>
      </c>
      <c r="Y62" s="11"/>
      <c r="Z62" s="139">
        <f t="shared" si="9"/>
        <v>2622.054407072922</v>
      </c>
      <c r="AA62" s="114">
        <v>35</v>
      </c>
      <c r="AB62" s="46">
        <f t="shared" si="20"/>
        <v>-2278.0844926005757</v>
      </c>
      <c r="AC62" s="47"/>
      <c r="AD62" s="47">
        <f t="shared" si="24"/>
        <v>3315.3760275648092</v>
      </c>
      <c r="AE62" s="86"/>
      <c r="AF62" s="140"/>
      <c r="AG62" s="140"/>
      <c r="AH62" s="140">
        <f t="shared" si="10"/>
        <v>211867.19474086398</v>
      </c>
      <c r="AI62" s="9"/>
      <c r="AJ62" s="9"/>
      <c r="AK62" s="9"/>
    </row>
    <row r="63" spans="2:37" ht="15" customHeight="1" collapsed="1" x14ac:dyDescent="0.25">
      <c r="B63" s="8">
        <f t="shared" si="11"/>
        <v>3</v>
      </c>
      <c r="C63" s="11">
        <f t="shared" si="12"/>
        <v>598340.26241170755</v>
      </c>
      <c r="D63" s="11">
        <f t="shared" si="21"/>
        <v>2982.2903999999994</v>
      </c>
      <c r="E63" s="11">
        <f t="shared" si="22"/>
        <v>-364.75211249999995</v>
      </c>
      <c r="F63" s="11">
        <f t="shared" si="23"/>
        <v>-178.53749999999997</v>
      </c>
      <c r="G63" s="11">
        <f t="shared" si="13"/>
        <v>0</v>
      </c>
      <c r="H63" s="11">
        <f t="shared" si="29"/>
        <v>0</v>
      </c>
      <c r="I63" s="11">
        <v>0</v>
      </c>
      <c r="J63" s="11">
        <v>0</v>
      </c>
      <c r="K63" s="11">
        <f t="shared" si="14"/>
        <v>-2622.054407072922</v>
      </c>
      <c r="L63" s="11">
        <f t="shared" si="15"/>
        <v>543.28961249999998</v>
      </c>
      <c r="M63" s="11">
        <f t="shared" si="3"/>
        <v>3165.3440195729218</v>
      </c>
      <c r="N63" s="11">
        <f t="shared" si="4"/>
        <v>119.74598042707748</v>
      </c>
      <c r="O63" s="11">
        <f t="shared" si="5"/>
        <v>2439.0007874999997</v>
      </c>
      <c r="P63" s="11">
        <f t="shared" si="16"/>
        <v>363803.42917518201</v>
      </c>
      <c r="Q63" s="11">
        <f t="shared" si="6"/>
        <v>234536.83323652553</v>
      </c>
      <c r="R63" s="11">
        <f t="shared" si="7"/>
        <v>-58.791519572922482</v>
      </c>
      <c r="S63" s="11" cm="1">
        <f t="array" ref="S63">Y63*tax_rate</f>
        <v>10201.99106747565</v>
      </c>
      <c r="T63" s="11">
        <f t="shared" si="17"/>
        <v>26586.53432062062</v>
      </c>
      <c r="U63" s="11">
        <f t="shared" si="8"/>
        <v>261123.36755714615</v>
      </c>
      <c r="V63" s="11">
        <f>U63-U51</f>
        <v>49087.519224285701</v>
      </c>
      <c r="W63" s="138">
        <f t="shared" si="18"/>
        <v>0.27833665381925404</v>
      </c>
      <c r="X63" s="138">
        <f t="shared" si="28"/>
        <v>0.23150575532504575</v>
      </c>
      <c r="Y63" s="141">
        <f>(((Sale_Price*0.8)+Improvement_Costs+Closing_Costs_Total)/27.5)+(-E63*12)+-AC63</f>
        <v>46372.686670343865</v>
      </c>
      <c r="Z63" s="139">
        <f t="shared" si="9"/>
        <v>2622.054407072922</v>
      </c>
      <c r="AA63" s="114">
        <v>36</v>
      </c>
      <c r="AB63" s="46">
        <f t="shared" si="20"/>
        <v>-2275.9346806351236</v>
      </c>
      <c r="AC63" s="46">
        <f>SUM(AB52:AB63)</f>
        <v>-27450.206774889317</v>
      </c>
      <c r="AD63" s="47">
        <f t="shared" si="24"/>
        <v>13534.366105135443</v>
      </c>
      <c r="AE63" s="86">
        <f>D63*12</f>
        <v>35787.484799999991</v>
      </c>
      <c r="AF63" s="140">
        <f>R63*12</f>
        <v>-705.49823487506978</v>
      </c>
      <c r="AG63" s="140">
        <f>R63*12</f>
        <v>-705.49823487506978</v>
      </c>
      <c r="AH63" s="140">
        <f t="shared" si="10"/>
        <v>225222.9518124437</v>
      </c>
      <c r="AI63" s="9">
        <f>AI51*(1+Comparison_Rate_of_Return)</f>
        <v>166375</v>
      </c>
      <c r="AJ63" s="9"/>
      <c r="AK63" s="9"/>
    </row>
    <row r="64" spans="2:37" ht="12" hidden="1" customHeight="1" outlineLevel="1" x14ac:dyDescent="0.25">
      <c r="B64" s="8" t="str">
        <f t="shared" si="11"/>
        <v/>
      </c>
      <c r="C64" s="11">
        <f t="shared" si="12"/>
        <v>601331.96372376604</v>
      </c>
      <c r="D64" s="11">
        <f t="shared" si="21"/>
        <v>3086.6705639999991</v>
      </c>
      <c r="E64" s="11">
        <f t="shared" si="22"/>
        <v>-377.51843643749993</v>
      </c>
      <c r="F64" s="11">
        <f t="shared" si="23"/>
        <v>-184.78631249999995</v>
      </c>
      <c r="G64" s="11">
        <f t="shared" si="13"/>
        <v>0</v>
      </c>
      <c r="H64" s="11">
        <v>0</v>
      </c>
      <c r="I64" s="11">
        <v>0</v>
      </c>
      <c r="J64" s="11">
        <v>0</v>
      </c>
      <c r="K64" s="11">
        <f t="shared" si="14"/>
        <v>-2622.054407072922</v>
      </c>
      <c r="L64" s="11">
        <f t="shared" si="15"/>
        <v>562.30474893749988</v>
      </c>
      <c r="M64" s="11">
        <f t="shared" si="3"/>
        <v>3184.3591560104219</v>
      </c>
      <c r="N64" s="11">
        <f t="shared" si="4"/>
        <v>215.70899398957727</v>
      </c>
      <c r="O64" s="11">
        <f t="shared" si="5"/>
        <v>2524.3658150624992</v>
      </c>
      <c r="P64" s="11">
        <f t="shared" si="16"/>
        <v>363455.14620045398</v>
      </c>
      <c r="Q64" s="11">
        <f t="shared" si="6"/>
        <v>237876.81752331206</v>
      </c>
      <c r="R64" s="11">
        <f t="shared" si="7"/>
        <v>30.922681489577315</v>
      </c>
      <c r="S64" s="11" cm="1">
        <f t="array" ref="S64">Y64*tax_rate</f>
        <v>0</v>
      </c>
      <c r="T64" s="11">
        <f t="shared" si="17"/>
        <v>26728.234228446116</v>
      </c>
      <c r="U64" s="11">
        <f t="shared" si="8"/>
        <v>264605.05175175815</v>
      </c>
      <c r="W64" s="138">
        <f t="shared" si="18"/>
        <v>0.27534762844539357</v>
      </c>
      <c r="X64" s="138" t="str">
        <f t="shared" si="28"/>
        <v/>
      </c>
      <c r="Y64" s="11"/>
      <c r="Z64" s="139">
        <f t="shared" si="9"/>
        <v>2622.054407072922</v>
      </c>
      <c r="AA64" s="114">
        <v>37</v>
      </c>
      <c r="AB64" s="46">
        <f t="shared" si="20"/>
        <v>-2273.7714323448872</v>
      </c>
      <c r="AC64" s="47"/>
      <c r="AD64" s="47">
        <f t="shared" si="24"/>
        <v>3481.6841946119966</v>
      </c>
      <c r="AE64" s="86"/>
      <c r="AF64" s="140"/>
      <c r="AG64" s="140"/>
      <c r="AH64" s="140">
        <f t="shared" si="10"/>
        <v>228525.13392833219</v>
      </c>
      <c r="AI64" s="9"/>
      <c r="AJ64" s="9"/>
      <c r="AK64" s="9"/>
    </row>
    <row r="65" spans="2:37" ht="12" hidden="1" customHeight="1" outlineLevel="1" x14ac:dyDescent="0.25">
      <c r="B65" s="8" t="str">
        <f t="shared" si="11"/>
        <v/>
      </c>
      <c r="C65" s="11">
        <f t="shared" si="12"/>
        <v>604338.62354238483</v>
      </c>
      <c r="D65" s="11">
        <f t="shared" si="21"/>
        <v>3086.6705639999991</v>
      </c>
      <c r="E65" s="11">
        <f t="shared" si="22"/>
        <v>-377.51843643749993</v>
      </c>
      <c r="F65" s="11">
        <f t="shared" si="23"/>
        <v>-184.78631249999995</v>
      </c>
      <c r="G65" s="11">
        <f t="shared" si="13"/>
        <v>0</v>
      </c>
      <c r="H65" s="11">
        <v>0</v>
      </c>
      <c r="I65" s="11">
        <v>0</v>
      </c>
      <c r="J65" s="11">
        <v>0</v>
      </c>
      <c r="K65" s="11">
        <f t="shared" si="14"/>
        <v>-2622.054407072922</v>
      </c>
      <c r="L65" s="11">
        <f t="shared" si="15"/>
        <v>562.30474893749988</v>
      </c>
      <c r="M65" s="11">
        <f t="shared" si="3"/>
        <v>3184.3591560104219</v>
      </c>
      <c r="N65" s="11">
        <f t="shared" si="4"/>
        <v>215.70899398957727</v>
      </c>
      <c r="O65" s="11">
        <f t="shared" si="5"/>
        <v>2524.3658150624992</v>
      </c>
      <c r="P65" s="11">
        <f t="shared" si="16"/>
        <v>363104.68645713391</v>
      </c>
      <c r="Q65" s="11">
        <f t="shared" si="6"/>
        <v>241233.93708525092</v>
      </c>
      <c r="R65" s="11">
        <f t="shared" si="7"/>
        <v>30.922681489577315</v>
      </c>
      <c r="S65" s="11" cm="1">
        <f t="array" ref="S65">Y65*tax_rate</f>
        <v>0</v>
      </c>
      <c r="T65" s="11">
        <f t="shared" si="17"/>
        <v>26870.52455255422</v>
      </c>
      <c r="U65" s="11">
        <f t="shared" si="8"/>
        <v>268104.46163780516</v>
      </c>
      <c r="W65" s="138">
        <f t="shared" si="18"/>
        <v>0.27247935737471035</v>
      </c>
      <c r="X65" s="138" t="str">
        <f t="shared" si="28"/>
        <v/>
      </c>
      <c r="Y65" s="11"/>
      <c r="Z65" s="139">
        <f t="shared" si="9"/>
        <v>2622.054407072922</v>
      </c>
      <c r="AA65" s="114">
        <v>38</v>
      </c>
      <c r="AB65" s="46">
        <f t="shared" si="20"/>
        <v>-2271.5946637528373</v>
      </c>
      <c r="AC65" s="47"/>
      <c r="AD65" s="47">
        <f t="shared" si="24"/>
        <v>3499.4098860470112</v>
      </c>
      <c r="AE65" s="86"/>
      <c r="AF65" s="140"/>
      <c r="AG65" s="140"/>
      <c r="AH65" s="140">
        <f t="shared" si="10"/>
        <v>231844.14422526208</v>
      </c>
      <c r="AI65" s="9"/>
      <c r="AJ65" s="9"/>
      <c r="AK65" s="9"/>
    </row>
    <row r="66" spans="2:37" ht="12" hidden="1" customHeight="1" outlineLevel="1" x14ac:dyDescent="0.25">
      <c r="B66" s="8" t="str">
        <f t="shared" si="11"/>
        <v/>
      </c>
      <c r="C66" s="11">
        <f t="shared" si="12"/>
        <v>607360.31666009664</v>
      </c>
      <c r="D66" s="11">
        <f t="shared" si="21"/>
        <v>3086.6705639999991</v>
      </c>
      <c r="E66" s="11">
        <f t="shared" si="22"/>
        <v>-377.51843643749993</v>
      </c>
      <c r="F66" s="11">
        <f t="shared" si="23"/>
        <v>-184.78631249999995</v>
      </c>
      <c r="G66" s="11">
        <f t="shared" si="13"/>
        <v>0</v>
      </c>
      <c r="H66" s="11">
        <v>0</v>
      </c>
      <c r="I66" s="11">
        <v>0</v>
      </c>
      <c r="J66" s="11">
        <v>0</v>
      </c>
      <c r="K66" s="11">
        <f t="shared" si="14"/>
        <v>-2622.054407072922</v>
      </c>
      <c r="L66" s="11">
        <f t="shared" si="15"/>
        <v>562.30474893749988</v>
      </c>
      <c r="M66" s="11">
        <f t="shared" si="3"/>
        <v>3184.3591560104219</v>
      </c>
      <c r="N66" s="11">
        <f t="shared" si="4"/>
        <v>215.70899398957727</v>
      </c>
      <c r="O66" s="11">
        <f t="shared" si="5"/>
        <v>2524.3658150624992</v>
      </c>
      <c r="P66" s="11">
        <f t="shared" si="16"/>
        <v>362752.0363404181</v>
      </c>
      <c r="Q66" s="11">
        <f t="shared" si="6"/>
        <v>244608.28031967854</v>
      </c>
      <c r="R66" s="11">
        <f t="shared" si="7"/>
        <v>30.922681489577315</v>
      </c>
      <c r="S66" s="11" cm="1">
        <f t="array" ref="S66">Y66*tax_rate</f>
        <v>0</v>
      </c>
      <c r="T66" s="11">
        <f t="shared" si="17"/>
        <v>27013.407753012772</v>
      </c>
      <c r="U66" s="11">
        <f t="shared" si="8"/>
        <v>271621.68807269132</v>
      </c>
      <c r="W66" s="138">
        <f t="shared" si="18"/>
        <v>0.26972320207774098</v>
      </c>
      <c r="X66" s="138" t="str">
        <f t="shared" si="28"/>
        <v/>
      </c>
      <c r="Y66" s="11"/>
      <c r="Z66" s="139">
        <f t="shared" si="9"/>
        <v>2622.054407072922</v>
      </c>
      <c r="AA66" s="114">
        <v>39</v>
      </c>
      <c r="AB66" s="46">
        <f t="shared" si="20"/>
        <v>-2269.4042903570867</v>
      </c>
      <c r="AC66" s="47"/>
      <c r="AD66" s="47">
        <f t="shared" si="24"/>
        <v>3517.2264348861645</v>
      </c>
      <c r="AE66" s="86"/>
      <c r="AF66" s="140"/>
      <c r="AG66" s="140"/>
      <c r="AH66" s="140">
        <f t="shared" si="10"/>
        <v>235180.06907308553</v>
      </c>
      <c r="AI66" s="9"/>
      <c r="AJ66" s="9"/>
      <c r="AK66" s="9"/>
    </row>
    <row r="67" spans="2:37" ht="12" hidden="1" customHeight="1" outlineLevel="1" x14ac:dyDescent="0.25">
      <c r="B67" s="8" t="str">
        <f t="shared" si="11"/>
        <v/>
      </c>
      <c r="C67" s="11">
        <f t="shared" si="12"/>
        <v>610397.1182433971</v>
      </c>
      <c r="D67" s="11">
        <f t="shared" si="21"/>
        <v>3086.6705639999991</v>
      </c>
      <c r="E67" s="11">
        <f t="shared" si="22"/>
        <v>-377.51843643749993</v>
      </c>
      <c r="F67" s="11">
        <f t="shared" si="23"/>
        <v>-184.78631249999995</v>
      </c>
      <c r="G67" s="11">
        <f t="shared" si="13"/>
        <v>0</v>
      </c>
      <c r="H67" s="11">
        <v>0</v>
      </c>
      <c r="I67" s="11">
        <v>0</v>
      </c>
      <c r="J67" s="11">
        <v>0</v>
      </c>
      <c r="K67" s="11">
        <f t="shared" si="14"/>
        <v>-2622.054407072922</v>
      </c>
      <c r="L67" s="11">
        <f t="shared" si="15"/>
        <v>562.30474893749988</v>
      </c>
      <c r="M67" s="11">
        <f t="shared" si="3"/>
        <v>3184.3591560104219</v>
      </c>
      <c r="N67" s="11">
        <f t="shared" si="4"/>
        <v>215.70899398957727</v>
      </c>
      <c r="O67" s="11">
        <f t="shared" si="5"/>
        <v>2524.3658150624992</v>
      </c>
      <c r="P67" s="11">
        <f t="shared" si="16"/>
        <v>362397.18216047279</v>
      </c>
      <c r="Q67" s="11">
        <f t="shared" si="6"/>
        <v>247999.93608292431</v>
      </c>
      <c r="R67" s="11">
        <f t="shared" si="7"/>
        <v>30.922681489577315</v>
      </c>
      <c r="S67" s="11" cm="1">
        <f t="array" ref="S67">Y67*tax_rate</f>
        <v>0</v>
      </c>
      <c r="T67" s="11">
        <f t="shared" si="17"/>
        <v>27156.886300139904</v>
      </c>
      <c r="U67" s="11">
        <f t="shared" si="8"/>
        <v>275156.82238306419</v>
      </c>
      <c r="W67" s="138">
        <f t="shared" si="18"/>
        <v>0.26707138095437505</v>
      </c>
      <c r="X67" s="138" t="str">
        <f t="shared" si="28"/>
        <v/>
      </c>
      <c r="Y67" s="11"/>
      <c r="Z67" s="139">
        <f t="shared" si="9"/>
        <v>2622.054407072922</v>
      </c>
      <c r="AA67" s="114">
        <v>40</v>
      </c>
      <c r="AB67" s="46">
        <f t="shared" si="20"/>
        <v>-2267.2002271276128</v>
      </c>
      <c r="AC67" s="47"/>
      <c r="AD67" s="47">
        <f t="shared" si="24"/>
        <v>3535.1343103728723</v>
      </c>
      <c r="AE67" s="86"/>
      <c r="AF67" s="140"/>
      <c r="AG67" s="140"/>
      <c r="AH67" s="140">
        <f t="shared" si="10"/>
        <v>238532.99528846037</v>
      </c>
      <c r="AI67" s="9"/>
      <c r="AJ67" s="9"/>
      <c r="AK67" s="9"/>
    </row>
    <row r="68" spans="2:37" ht="12" hidden="1" customHeight="1" outlineLevel="1" x14ac:dyDescent="0.25">
      <c r="B68" s="8" t="str">
        <f t="shared" si="11"/>
        <v/>
      </c>
      <c r="C68" s="11">
        <f t="shared" si="12"/>
        <v>613449.10383461404</v>
      </c>
      <c r="D68" s="11">
        <f t="shared" si="21"/>
        <v>3086.6705639999991</v>
      </c>
      <c r="E68" s="11">
        <f t="shared" si="22"/>
        <v>-377.51843643749993</v>
      </c>
      <c r="F68" s="11">
        <f t="shared" si="23"/>
        <v>-184.78631249999995</v>
      </c>
      <c r="G68" s="11">
        <f t="shared" si="13"/>
        <v>0</v>
      </c>
      <c r="H68" s="11">
        <v>0</v>
      </c>
      <c r="I68" s="11">
        <v>0</v>
      </c>
      <c r="J68" s="11">
        <v>0</v>
      </c>
      <c r="K68" s="11">
        <f t="shared" si="14"/>
        <v>-2622.054407072922</v>
      </c>
      <c r="L68" s="11">
        <f t="shared" si="15"/>
        <v>562.30474893749988</v>
      </c>
      <c r="M68" s="11">
        <f t="shared" si="3"/>
        <v>3184.3591560104219</v>
      </c>
      <c r="N68" s="11">
        <f t="shared" si="4"/>
        <v>215.70899398957727</v>
      </c>
      <c r="O68" s="11">
        <f t="shared" si="5"/>
        <v>2524.3658150624992</v>
      </c>
      <c r="P68" s="11">
        <f t="shared" si="16"/>
        <v>362040.11014190281</v>
      </c>
      <c r="Q68" s="11">
        <f t="shared" si="6"/>
        <v>251408.99369271123</v>
      </c>
      <c r="R68" s="11">
        <f t="shared" si="7"/>
        <v>30.922681489577315</v>
      </c>
      <c r="S68" s="11" cm="1">
        <f t="array" ref="S68">Y68*tax_rate</f>
        <v>0</v>
      </c>
      <c r="T68" s="11">
        <f t="shared" si="17"/>
        <v>27300.962674546732</v>
      </c>
      <c r="U68" s="11">
        <f t="shared" si="8"/>
        <v>278709.95636725798</v>
      </c>
      <c r="W68" s="138">
        <f t="shared" si="18"/>
        <v>0.26451686355031062</v>
      </c>
      <c r="X68" s="138" t="str">
        <f t="shared" si="28"/>
        <v/>
      </c>
      <c r="Y68" s="11"/>
      <c r="Z68" s="139">
        <f t="shared" si="9"/>
        <v>2622.054407072922</v>
      </c>
      <c r="AA68" s="114">
        <v>41</v>
      </c>
      <c r="AB68" s="46">
        <f t="shared" si="20"/>
        <v>-2264.9823885029546</v>
      </c>
      <c r="AC68" s="47"/>
      <c r="AD68" s="47">
        <f t="shared" si="24"/>
        <v>3553.1339841937879</v>
      </c>
      <c r="AE68" s="86"/>
      <c r="AF68" s="140"/>
      <c r="AG68" s="140"/>
      <c r="AH68" s="140">
        <f t="shared" si="10"/>
        <v>241903.01013718115</v>
      </c>
      <c r="AI68" s="9"/>
      <c r="AJ68" s="9"/>
      <c r="AK68" s="9"/>
    </row>
    <row r="69" spans="2:37" ht="12" hidden="1" customHeight="1" outlineLevel="1" x14ac:dyDescent="0.25">
      <c r="B69" s="8" t="str">
        <f t="shared" si="11"/>
        <v/>
      </c>
      <c r="C69" s="11">
        <f t="shared" si="12"/>
        <v>616516.34935378702</v>
      </c>
      <c r="D69" s="11">
        <f t="shared" si="21"/>
        <v>3086.6705639999991</v>
      </c>
      <c r="E69" s="11">
        <f t="shared" si="22"/>
        <v>-377.51843643749993</v>
      </c>
      <c r="F69" s="11">
        <f t="shared" si="23"/>
        <v>-184.78631249999995</v>
      </c>
      <c r="G69" s="11">
        <f t="shared" si="13"/>
        <v>0</v>
      </c>
      <c r="H69" s="11">
        <v>0</v>
      </c>
      <c r="I69" s="11">
        <v>0</v>
      </c>
      <c r="J69" s="11">
        <v>0</v>
      </c>
      <c r="K69" s="11">
        <f t="shared" si="14"/>
        <v>-2622.054407072922</v>
      </c>
      <c r="L69" s="11">
        <f t="shared" si="15"/>
        <v>562.30474893749988</v>
      </c>
      <c r="M69" s="11">
        <f t="shared" si="3"/>
        <v>3184.3591560104219</v>
      </c>
      <c r="N69" s="11">
        <f t="shared" si="4"/>
        <v>215.70899398957727</v>
      </c>
      <c r="O69" s="11">
        <f t="shared" si="5"/>
        <v>2524.3658150624992</v>
      </c>
      <c r="P69" s="11">
        <f t="shared" si="16"/>
        <v>361680.80642321677</v>
      </c>
      <c r="Q69" s="11">
        <f t="shared" si="6"/>
        <v>254835.54293057026</v>
      </c>
      <c r="R69" s="11">
        <f t="shared" si="7"/>
        <v>30.922681489577315</v>
      </c>
      <c r="S69" s="11" cm="1">
        <f t="array" ref="S69">Y69*tax_rate</f>
        <v>0</v>
      </c>
      <c r="T69" s="11">
        <f t="shared" si="17"/>
        <v>27445.639367180254</v>
      </c>
      <c r="U69" s="11">
        <f t="shared" si="8"/>
        <v>282281.18229775049</v>
      </c>
      <c r="W69" s="138">
        <f t="shared" si="18"/>
        <v>0.26205328016550766</v>
      </c>
      <c r="X69" s="138" t="str">
        <f t="shared" si="28"/>
        <v/>
      </c>
      <c r="Y69" s="11"/>
      <c r="Z69" s="139">
        <f t="shared" si="9"/>
        <v>2622.054407072922</v>
      </c>
      <c r="AA69" s="114">
        <v>42</v>
      </c>
      <c r="AB69" s="46">
        <f t="shared" si="20"/>
        <v>-2262.7506883868923</v>
      </c>
      <c r="AC69" s="47"/>
      <c r="AD69" s="47">
        <f t="shared" si="24"/>
        <v>3571.2259304925101</v>
      </c>
      <c r="AE69" s="86"/>
      <c r="AF69" s="140"/>
      <c r="AG69" s="140"/>
      <c r="AH69" s="140">
        <f t="shared" si="10"/>
        <v>245290.20133652329</v>
      </c>
      <c r="AI69" s="9"/>
      <c r="AJ69" s="9"/>
      <c r="AK69" s="9"/>
    </row>
    <row r="70" spans="2:37" ht="12" hidden="1" customHeight="1" outlineLevel="1" x14ac:dyDescent="0.25">
      <c r="B70" s="8" t="str">
        <f t="shared" si="11"/>
        <v/>
      </c>
      <c r="C70" s="11">
        <f t="shared" si="12"/>
        <v>619598.93110055593</v>
      </c>
      <c r="D70" s="11">
        <f t="shared" si="21"/>
        <v>3086.6705639999991</v>
      </c>
      <c r="E70" s="11">
        <f t="shared" si="22"/>
        <v>-377.51843643749993</v>
      </c>
      <c r="F70" s="11">
        <f t="shared" si="23"/>
        <v>-184.78631249999995</v>
      </c>
      <c r="G70" s="11">
        <f t="shared" si="13"/>
        <v>0</v>
      </c>
      <c r="H70" s="11">
        <v>0</v>
      </c>
      <c r="I70" s="11">
        <v>0</v>
      </c>
      <c r="J70" s="11">
        <v>0</v>
      </c>
      <c r="K70" s="11">
        <f t="shared" si="14"/>
        <v>-2622.054407072922</v>
      </c>
      <c r="L70" s="11">
        <f t="shared" si="15"/>
        <v>562.30474893749988</v>
      </c>
      <c r="M70" s="11">
        <f t="shared" si="3"/>
        <v>3184.3591560104219</v>
      </c>
      <c r="N70" s="11">
        <f t="shared" si="4"/>
        <v>215.70899398957727</v>
      </c>
      <c r="O70" s="11">
        <f t="shared" si="5"/>
        <v>2524.3658150624992</v>
      </c>
      <c r="P70" s="11">
        <f t="shared" si="16"/>
        <v>361319.25705628895</v>
      </c>
      <c r="Q70" s="11">
        <f t="shared" si="6"/>
        <v>258279.67404426698</v>
      </c>
      <c r="R70" s="11">
        <f t="shared" si="7"/>
        <v>30.922681489577315</v>
      </c>
      <c r="S70" s="11" cm="1">
        <f t="array" ref="S70">Y70*tax_rate</f>
        <v>0</v>
      </c>
      <c r="T70" s="11">
        <f t="shared" si="17"/>
        <v>27590.918879366414</v>
      </c>
      <c r="U70" s="11">
        <f t="shared" si="8"/>
        <v>285870.59292363341</v>
      </c>
      <c r="W70" s="138">
        <f t="shared" si="18"/>
        <v>0.25967484429821497</v>
      </c>
      <c r="X70" s="138" t="str">
        <f t="shared" si="28"/>
        <v/>
      </c>
      <c r="Y70" s="11"/>
      <c r="Z70" s="139">
        <f t="shared" si="9"/>
        <v>2622.054407072922</v>
      </c>
      <c r="AA70" s="114">
        <v>43</v>
      </c>
      <c r="AB70" s="46">
        <f t="shared" si="20"/>
        <v>-2260.5050401451044</v>
      </c>
      <c r="AC70" s="47"/>
      <c r="AD70" s="47">
        <f t="shared" si="24"/>
        <v>3589.4106258829124</v>
      </c>
      <c r="AE70" s="86"/>
      <c r="AF70" s="140"/>
      <c r="AG70" s="140"/>
      <c r="AH70" s="140">
        <f t="shared" si="10"/>
        <v>248694.65705760004</v>
      </c>
      <c r="AI70" s="9"/>
      <c r="AJ70" s="9"/>
      <c r="AK70" s="9"/>
    </row>
    <row r="71" spans="2:37" ht="12" hidden="1" customHeight="1" outlineLevel="1" x14ac:dyDescent="0.25">
      <c r="B71" s="8" t="str">
        <f t="shared" si="11"/>
        <v/>
      </c>
      <c r="C71" s="11">
        <f t="shared" si="12"/>
        <v>622696.92575605866</v>
      </c>
      <c r="D71" s="11">
        <f t="shared" si="21"/>
        <v>3086.6705639999991</v>
      </c>
      <c r="E71" s="11">
        <f t="shared" si="22"/>
        <v>-377.51843643749993</v>
      </c>
      <c r="F71" s="11">
        <f t="shared" si="23"/>
        <v>-184.78631249999995</v>
      </c>
      <c r="G71" s="11">
        <f t="shared" si="13"/>
        <v>0</v>
      </c>
      <c r="H71" s="11">
        <v>0</v>
      </c>
      <c r="I71" s="11">
        <v>0</v>
      </c>
      <c r="J71" s="11">
        <v>0</v>
      </c>
      <c r="K71" s="11">
        <f t="shared" si="14"/>
        <v>-2622.054407072922</v>
      </c>
      <c r="L71" s="11">
        <f t="shared" si="15"/>
        <v>562.30474893749988</v>
      </c>
      <c r="M71" s="11">
        <f t="shared" si="3"/>
        <v>3184.3591560104219</v>
      </c>
      <c r="N71" s="11">
        <f t="shared" si="4"/>
        <v>215.70899398957727</v>
      </c>
      <c r="O71" s="11">
        <f t="shared" si="5"/>
        <v>2524.3658150624992</v>
      </c>
      <c r="P71" s="11">
        <f t="shared" si="16"/>
        <v>360955.44800581783</v>
      </c>
      <c r="Q71" s="11">
        <f t="shared" si="6"/>
        <v>261741.47775024083</v>
      </c>
      <c r="R71" s="11">
        <f t="shared" si="7"/>
        <v>30.922681489577315</v>
      </c>
      <c r="S71" s="11" cm="1">
        <f t="array" ref="S71">Y71*tax_rate</f>
        <v>0</v>
      </c>
      <c r="T71" s="11">
        <f t="shared" si="17"/>
        <v>27736.80372285335</v>
      </c>
      <c r="U71" s="11">
        <f t="shared" si="8"/>
        <v>289478.28147309419</v>
      </c>
      <c r="W71" s="138">
        <f t="shared" si="18"/>
        <v>0.25737628584247169</v>
      </c>
      <c r="X71" s="138" t="str">
        <f t="shared" si="28"/>
        <v/>
      </c>
      <c r="Y71" s="11"/>
      <c r="Z71" s="139">
        <f t="shared" si="9"/>
        <v>2622.054407072922</v>
      </c>
      <c r="AA71" s="114">
        <v>44</v>
      </c>
      <c r="AB71" s="46">
        <f t="shared" si="20"/>
        <v>-2258.2453566018057</v>
      </c>
      <c r="AC71" s="47"/>
      <c r="AD71" s="47">
        <f t="shared" si="24"/>
        <v>3607.688549460785</v>
      </c>
      <c r="AE71" s="86"/>
      <c r="AF71" s="140"/>
      <c r="AG71" s="140"/>
      <c r="AH71" s="140">
        <f t="shared" si="10"/>
        <v>252116.46592773066</v>
      </c>
      <c r="AI71" s="9"/>
      <c r="AJ71" s="9"/>
      <c r="AK71" s="9"/>
    </row>
    <row r="72" spans="2:37" ht="12" hidden="1" customHeight="1" outlineLevel="1" x14ac:dyDescent="0.25">
      <c r="B72" s="8" t="str">
        <f t="shared" si="11"/>
        <v/>
      </c>
      <c r="C72" s="11">
        <f t="shared" si="12"/>
        <v>625810.41038483893</v>
      </c>
      <c r="D72" s="11">
        <f t="shared" si="21"/>
        <v>3086.6705639999991</v>
      </c>
      <c r="E72" s="11">
        <f t="shared" si="22"/>
        <v>-377.51843643749993</v>
      </c>
      <c r="F72" s="11">
        <f t="shared" si="23"/>
        <v>-184.78631249999995</v>
      </c>
      <c r="G72" s="11">
        <f t="shared" si="13"/>
        <v>0</v>
      </c>
      <c r="H72" s="11">
        <v>0</v>
      </c>
      <c r="I72" s="11">
        <v>0</v>
      </c>
      <c r="J72" s="11">
        <v>0</v>
      </c>
      <c r="K72" s="11">
        <f t="shared" si="14"/>
        <v>-2622.054407072922</v>
      </c>
      <c r="L72" s="11">
        <f t="shared" si="15"/>
        <v>562.30474893749988</v>
      </c>
      <c r="M72" s="11">
        <f t="shared" si="3"/>
        <v>3184.3591560104219</v>
      </c>
      <c r="N72" s="11">
        <f t="shared" si="4"/>
        <v>215.70899398957727</v>
      </c>
      <c r="O72" s="11">
        <f t="shared" si="5"/>
        <v>2524.3658150624992</v>
      </c>
      <c r="P72" s="11">
        <f t="shared" si="16"/>
        <v>360589.36514878127</v>
      </c>
      <c r="Q72" s="11">
        <f t="shared" si="6"/>
        <v>265221.04523605766</v>
      </c>
      <c r="R72" s="11">
        <f t="shared" si="7"/>
        <v>30.922681489577315</v>
      </c>
      <c r="S72" s="11" cm="1">
        <f t="array" ref="S72">Y72*tax_rate</f>
        <v>0</v>
      </c>
      <c r="T72" s="11">
        <f t="shared" si="17"/>
        <v>27883.296419854818</v>
      </c>
      <c r="U72" s="11">
        <f t="shared" si="8"/>
        <v>293104.34165591246</v>
      </c>
      <c r="W72" s="138">
        <f t="shared" si="18"/>
        <v>0.2551527933345128</v>
      </c>
      <c r="X72" s="138" t="str">
        <f t="shared" si="28"/>
        <v/>
      </c>
      <c r="Y72" s="11"/>
      <c r="Z72" s="139">
        <f t="shared" si="9"/>
        <v>2622.054407072922</v>
      </c>
      <c r="AA72" s="114">
        <v>45</v>
      </c>
      <c r="AB72" s="46">
        <f t="shared" si="20"/>
        <v>-2255.9715500363614</v>
      </c>
      <c r="AC72" s="47"/>
      <c r="AD72" s="47">
        <f t="shared" si="24"/>
        <v>3626.0601828182698</v>
      </c>
      <c r="AE72" s="86"/>
      <c r="AF72" s="140"/>
      <c r="AG72" s="140"/>
      <c r="AH72" s="140">
        <f t="shared" si="10"/>
        <v>255555.71703282214</v>
      </c>
      <c r="AI72" s="9"/>
      <c r="AJ72" s="9"/>
      <c r="AK72" s="9"/>
    </row>
    <row r="73" spans="2:37" ht="12" hidden="1" customHeight="1" outlineLevel="1" x14ac:dyDescent="0.25">
      <c r="B73" s="8" t="str">
        <f t="shared" si="11"/>
        <v/>
      </c>
      <c r="C73" s="11">
        <f t="shared" si="12"/>
        <v>628939.4624367631</v>
      </c>
      <c r="D73" s="11">
        <f t="shared" si="21"/>
        <v>3086.6705639999991</v>
      </c>
      <c r="E73" s="11">
        <f t="shared" si="22"/>
        <v>-377.51843643749993</v>
      </c>
      <c r="F73" s="11">
        <f t="shared" si="23"/>
        <v>-184.78631249999995</v>
      </c>
      <c r="G73" s="11">
        <f t="shared" si="13"/>
        <v>0</v>
      </c>
      <c r="H73" s="11">
        <v>0</v>
      </c>
      <c r="I73" s="11">
        <v>0</v>
      </c>
      <c r="J73" s="11">
        <v>0</v>
      </c>
      <c r="K73" s="11">
        <f t="shared" si="14"/>
        <v>-2622.054407072922</v>
      </c>
      <c r="L73" s="11">
        <f t="shared" si="15"/>
        <v>562.30474893749988</v>
      </c>
      <c r="M73" s="11">
        <f t="shared" si="3"/>
        <v>3184.3591560104219</v>
      </c>
      <c r="N73" s="11">
        <f t="shared" si="4"/>
        <v>215.70899398957727</v>
      </c>
      <c r="O73" s="11">
        <f t="shared" si="5"/>
        <v>2524.3658150624992</v>
      </c>
      <c r="P73" s="11">
        <f t="shared" si="16"/>
        <v>360220.99427388824</v>
      </c>
      <c r="Q73" s="11">
        <f t="shared" si="6"/>
        <v>268718.46816287487</v>
      </c>
      <c r="R73" s="11">
        <f t="shared" si="7"/>
        <v>30.922681489577315</v>
      </c>
      <c r="S73" s="11" cm="1">
        <f t="array" ref="S73">Y73*tax_rate</f>
        <v>0</v>
      </c>
      <c r="T73" s="11">
        <f t="shared" si="17"/>
        <v>28030.399503093791</v>
      </c>
      <c r="U73" s="11">
        <f t="shared" si="8"/>
        <v>296748.86766596866</v>
      </c>
      <c r="W73" s="138">
        <f t="shared" si="18"/>
        <v>0.25299996384572754</v>
      </c>
      <c r="X73" s="138" t="str">
        <f t="shared" si="28"/>
        <v/>
      </c>
      <c r="Y73" s="11"/>
      <c r="Z73" s="139">
        <f t="shared" si="9"/>
        <v>2622.054407072922</v>
      </c>
      <c r="AA73" s="114">
        <v>46</v>
      </c>
      <c r="AB73" s="46">
        <f t="shared" si="20"/>
        <v>-2253.6835321798826</v>
      </c>
      <c r="AC73" s="47"/>
      <c r="AD73" s="47">
        <f t="shared" si="24"/>
        <v>3644.5260100562009</v>
      </c>
      <c r="AE73" s="86"/>
      <c r="AF73" s="140"/>
      <c r="AG73" s="140"/>
      <c r="AH73" s="140">
        <f t="shared" si="10"/>
        <v>259012.49991976289</v>
      </c>
      <c r="AI73" s="9"/>
      <c r="AJ73" s="9"/>
      <c r="AK73" s="9"/>
    </row>
    <row r="74" spans="2:37" ht="12" hidden="1" customHeight="1" outlineLevel="1" x14ac:dyDescent="0.25">
      <c r="B74" s="8" t="str">
        <f t="shared" si="11"/>
        <v/>
      </c>
      <c r="C74" s="11">
        <f t="shared" si="12"/>
        <v>632084.1597489469</v>
      </c>
      <c r="D74" s="11">
        <f t="shared" si="21"/>
        <v>3086.6705639999991</v>
      </c>
      <c r="E74" s="11">
        <f t="shared" si="22"/>
        <v>-377.51843643749993</v>
      </c>
      <c r="F74" s="11">
        <f t="shared" si="23"/>
        <v>-184.78631249999995</v>
      </c>
      <c r="G74" s="11">
        <f t="shared" si="13"/>
        <v>0</v>
      </c>
      <c r="H74" s="11">
        <v>0</v>
      </c>
      <c r="I74" s="11">
        <v>0</v>
      </c>
      <c r="J74" s="11">
        <v>0</v>
      </c>
      <c r="K74" s="11">
        <f t="shared" si="14"/>
        <v>-2622.054407072922</v>
      </c>
      <c r="L74" s="11">
        <f t="shared" si="15"/>
        <v>562.30474893749988</v>
      </c>
      <c r="M74" s="11">
        <f t="shared" si="3"/>
        <v>3184.3591560104219</v>
      </c>
      <c r="N74" s="11">
        <f t="shared" si="4"/>
        <v>215.70899398957727</v>
      </c>
      <c r="O74" s="11">
        <f t="shared" si="5"/>
        <v>2524.3658150624992</v>
      </c>
      <c r="P74" s="11">
        <f t="shared" si="16"/>
        <v>359850.3210810271</v>
      </c>
      <c r="Q74" s="11">
        <f t="shared" si="6"/>
        <v>272233.8386679198</v>
      </c>
      <c r="R74" s="11">
        <f t="shared" si="7"/>
        <v>30.922681489577315</v>
      </c>
      <c r="S74" s="11" cm="1">
        <f t="array" ref="S74">Y74*tax_rate</f>
        <v>0</v>
      </c>
      <c r="T74" s="11">
        <f t="shared" si="17"/>
        <v>28178.115515846261</v>
      </c>
      <c r="U74" s="11">
        <f t="shared" si="8"/>
        <v>300411.95418376604</v>
      </c>
      <c r="W74" s="138">
        <f t="shared" si="18"/>
        <v>0.2509137593630445</v>
      </c>
      <c r="X74" s="138" t="str">
        <f t="shared" si="28"/>
        <v/>
      </c>
      <c r="Y74" s="11"/>
      <c r="Z74" s="139">
        <f t="shared" si="9"/>
        <v>2622.054407072922</v>
      </c>
      <c r="AA74" s="114">
        <v>47</v>
      </c>
      <c r="AB74" s="46">
        <f t="shared" si="20"/>
        <v>-2251.3812142118013</v>
      </c>
      <c r="AC74" s="47"/>
      <c r="AD74" s="47">
        <f t="shared" si="24"/>
        <v>3663.0865177973756</v>
      </c>
      <c r="AE74" s="86"/>
      <c r="AF74" s="140"/>
      <c r="AG74" s="140"/>
      <c r="AH74" s="140">
        <f t="shared" si="10"/>
        <v>262486.90459882922</v>
      </c>
      <c r="AI74" s="9"/>
      <c r="AJ74" s="9"/>
      <c r="AK74" s="9"/>
    </row>
    <row r="75" spans="2:37" ht="15" customHeight="1" collapsed="1" x14ac:dyDescent="0.25">
      <c r="B75" s="8">
        <f t="shared" si="11"/>
        <v>4</v>
      </c>
      <c r="C75" s="11">
        <f t="shared" si="12"/>
        <v>635244.58054769156</v>
      </c>
      <c r="D75" s="11">
        <f t="shared" si="21"/>
        <v>3086.6705639999991</v>
      </c>
      <c r="E75" s="11">
        <f t="shared" si="22"/>
        <v>-377.51843643749993</v>
      </c>
      <c r="F75" s="11">
        <f t="shared" si="23"/>
        <v>-184.78631249999995</v>
      </c>
      <c r="G75" s="11">
        <f t="shared" si="13"/>
        <v>0</v>
      </c>
      <c r="H75" s="11">
        <v>0</v>
      </c>
      <c r="I75" s="11">
        <v>0</v>
      </c>
      <c r="J75" s="11">
        <v>0</v>
      </c>
      <c r="K75" s="11">
        <f t="shared" si="14"/>
        <v>-2622.054407072922</v>
      </c>
      <c r="L75" s="11">
        <f t="shared" si="15"/>
        <v>562.30474893749988</v>
      </c>
      <c r="M75" s="11">
        <f t="shared" si="3"/>
        <v>3184.3591560104219</v>
      </c>
      <c r="N75" s="11">
        <f t="shared" si="4"/>
        <v>215.70899398957727</v>
      </c>
      <c r="O75" s="11">
        <f t="shared" si="5"/>
        <v>2524.3658150624992</v>
      </c>
      <c r="P75" s="11">
        <f t="shared" si="16"/>
        <v>359477.33118071058</v>
      </c>
      <c r="Q75" s="11">
        <f t="shared" si="6"/>
        <v>275767.24936698098</v>
      </c>
      <c r="R75" s="11">
        <f t="shared" si="7"/>
        <v>30.922681489577315</v>
      </c>
      <c r="S75" s="11" cm="1">
        <f t="array" ref="S75">Y75*tax_rate</f>
        <v>10167.1307480838</v>
      </c>
      <c r="T75" s="11">
        <f t="shared" si="17"/>
        <v>38493.577760068998</v>
      </c>
      <c r="U75" s="11">
        <f t="shared" si="8"/>
        <v>314260.82712704997</v>
      </c>
      <c r="V75" s="11">
        <f>U75-U63</f>
        <v>53137.459569903818</v>
      </c>
      <c r="W75" s="138">
        <f t="shared" si="18"/>
        <v>0.25920099751201142</v>
      </c>
      <c r="X75" s="138">
        <f t="shared" si="28"/>
        <v>0.20349561231158228</v>
      </c>
      <c r="Y75" s="141">
        <f>(((Sale_Price*0.8)+Improvement_Costs+Closing_Costs_Total)/27.5)+(-E75*12)+-AC75</f>
        <v>46214.230673108184</v>
      </c>
      <c r="Z75" s="139">
        <f t="shared" si="9"/>
        <v>2622.054407072922</v>
      </c>
      <c r="AA75" s="114">
        <v>48</v>
      </c>
      <c r="AB75" s="46">
        <f t="shared" si="20"/>
        <v>-2249.0645067564192</v>
      </c>
      <c r="AC75" s="46">
        <f>SUM(AB64:AB75)</f>
        <v>-27138.55489040364</v>
      </c>
      <c r="AD75" s="47">
        <f t="shared" si="24"/>
        <v>13848.872943283932</v>
      </c>
      <c r="AE75" s="86">
        <f>D75*12</f>
        <v>37040.046767999986</v>
      </c>
      <c r="AF75" s="140">
        <f>R75*12</f>
        <v>371.07217787492777</v>
      </c>
      <c r="AG75" s="140">
        <f>R75*12</f>
        <v>371.07217787492777</v>
      </c>
      <c r="AH75" s="140">
        <f t="shared" si="10"/>
        <v>276146.15229418851</v>
      </c>
      <c r="AI75" s="9">
        <f>AI63*(1+Comparison_Rate_of_Return)</f>
        <v>183012.50000000003</v>
      </c>
      <c r="AJ75" s="9"/>
      <c r="AK75" s="9"/>
    </row>
    <row r="76" spans="2:37" ht="12" hidden="1" customHeight="1" outlineLevel="1" x14ac:dyDescent="0.25">
      <c r="B76" s="8" t="str">
        <f t="shared" si="11"/>
        <v/>
      </c>
      <c r="C76" s="11">
        <f t="shared" si="12"/>
        <v>638420.80345042993</v>
      </c>
      <c r="D76" s="11">
        <f t="shared" si="21"/>
        <v>3194.704033739999</v>
      </c>
      <c r="E76" s="11">
        <f t="shared" si="22"/>
        <v>-390.73158171281239</v>
      </c>
      <c r="F76" s="11">
        <f t="shared" si="23"/>
        <v>-191.25383343749994</v>
      </c>
      <c r="G76" s="11">
        <f t="shared" si="13"/>
        <v>0</v>
      </c>
      <c r="H76" s="11">
        <v>0</v>
      </c>
      <c r="I76" s="11">
        <v>0</v>
      </c>
      <c r="J76" s="11">
        <v>0</v>
      </c>
      <c r="K76" s="11">
        <f t="shared" si="14"/>
        <v>-2622.054407072922</v>
      </c>
      <c r="L76" s="11">
        <f t="shared" si="15"/>
        <v>581.98541515031229</v>
      </c>
      <c r="M76" s="11">
        <f t="shared" si="3"/>
        <v>3204.0398222232343</v>
      </c>
      <c r="N76" s="11">
        <f t="shared" si="4"/>
        <v>315.03071302676472</v>
      </c>
      <c r="O76" s="11">
        <f t="shared" si="5"/>
        <v>2612.7186185896867</v>
      </c>
      <c r="P76" s="11">
        <f t="shared" si="16"/>
        <v>359102.01009351708</v>
      </c>
      <c r="Q76" s="11">
        <f t="shared" si="6"/>
        <v>279318.79335691285</v>
      </c>
      <c r="R76" s="11">
        <f t="shared" si="7"/>
        <v>123.77687958926478</v>
      </c>
      <c r="S76" s="11" cm="1">
        <f t="array" ref="S76">Y76*tax_rate</f>
        <v>0</v>
      </c>
      <c r="T76" s="11">
        <f t="shared" si="17"/>
        <v>38777.744546991882</v>
      </c>
      <c r="U76" s="11">
        <f t="shared" si="8"/>
        <v>318096.53790390474</v>
      </c>
      <c r="W76" s="138">
        <f t="shared" si="18"/>
        <v>0.25702117888041537</v>
      </c>
      <c r="X76" s="138" t="str">
        <f t="shared" si="28"/>
        <v/>
      </c>
      <c r="Y76" s="142"/>
      <c r="Z76" s="139">
        <f t="shared" si="9"/>
        <v>2622.054407072922</v>
      </c>
      <c r="AA76" s="114">
        <v>49</v>
      </c>
      <c r="AB76" s="46">
        <f t="shared" si="20"/>
        <v>-2246.7333198794408</v>
      </c>
      <c r="AC76" s="47"/>
      <c r="AD76" s="47">
        <f t="shared" si="24"/>
        <v>3835.7107768547721</v>
      </c>
      <c r="AE76" s="86"/>
      <c r="AF76" s="140"/>
      <c r="AG76" s="140"/>
      <c r="AH76" s="140">
        <f t="shared" si="10"/>
        <v>279791.28969687893</v>
      </c>
      <c r="AI76" s="9"/>
      <c r="AJ76" s="9"/>
      <c r="AK76" s="9"/>
    </row>
    <row r="77" spans="2:37" ht="12" hidden="1" customHeight="1" outlineLevel="1" x14ac:dyDescent="0.25">
      <c r="B77" s="8" t="str">
        <f t="shared" si="11"/>
        <v/>
      </c>
      <c r="C77" s="11">
        <f t="shared" si="12"/>
        <v>641612.90746768203</v>
      </c>
      <c r="D77" s="11">
        <f t="shared" si="21"/>
        <v>3194.704033739999</v>
      </c>
      <c r="E77" s="11">
        <f t="shared" si="22"/>
        <v>-390.73158171281239</v>
      </c>
      <c r="F77" s="11">
        <f t="shared" si="23"/>
        <v>-191.25383343749994</v>
      </c>
      <c r="G77" s="11">
        <f t="shared" si="13"/>
        <v>0</v>
      </c>
      <c r="H77" s="11">
        <v>0</v>
      </c>
      <c r="I77" s="11">
        <v>0</v>
      </c>
      <c r="J77" s="11">
        <v>0</v>
      </c>
      <c r="K77" s="11">
        <f t="shared" si="14"/>
        <v>-2622.054407072922</v>
      </c>
      <c r="L77" s="11">
        <f t="shared" si="15"/>
        <v>581.98541515031229</v>
      </c>
      <c r="M77" s="11">
        <f t="shared" si="3"/>
        <v>3204.0398222232343</v>
      </c>
      <c r="N77" s="11">
        <f t="shared" si="4"/>
        <v>315.03071302676472</v>
      </c>
      <c r="O77" s="11">
        <f t="shared" si="5"/>
        <v>2612.7186185896867</v>
      </c>
      <c r="P77" s="11">
        <f t="shared" si="16"/>
        <v>358724.34324952861</v>
      </c>
      <c r="Q77" s="11">
        <f t="shared" si="6"/>
        <v>282888.56421815342</v>
      </c>
      <c r="R77" s="11">
        <f t="shared" si="7"/>
        <v>123.77687958926478</v>
      </c>
      <c r="S77" s="11" cm="1">
        <f t="array" ref="S77">Y77*tax_rate</f>
        <v>0</v>
      </c>
      <c r="T77" s="11">
        <f t="shared" si="17"/>
        <v>39063.095362193613</v>
      </c>
      <c r="U77" s="11">
        <f t="shared" si="8"/>
        <v>321951.65958034701</v>
      </c>
      <c r="W77" s="138">
        <f t="shared" si="18"/>
        <v>0.25490646653233751</v>
      </c>
      <c r="X77" s="138" t="str">
        <f t="shared" si="28"/>
        <v/>
      </c>
      <c r="Y77" s="142"/>
      <c r="Z77" s="139">
        <f t="shared" si="9"/>
        <v>2622.054407072922</v>
      </c>
      <c r="AA77" s="114">
        <v>50</v>
      </c>
      <c r="AB77" s="46">
        <f t="shared" si="20"/>
        <v>-2244.3875630844814</v>
      </c>
      <c r="AC77" s="47"/>
      <c r="AD77" s="47">
        <f t="shared" si="24"/>
        <v>3855.1216764422716</v>
      </c>
      <c r="AE77" s="86"/>
      <c r="AF77" s="140"/>
      <c r="AG77" s="140"/>
      <c r="AH77" s="140">
        <f t="shared" si="10"/>
        <v>283454.88513228612</v>
      </c>
      <c r="AI77" s="9"/>
      <c r="AJ77" s="9"/>
      <c r="AK77" s="9"/>
    </row>
    <row r="78" spans="2:37" ht="12" hidden="1" customHeight="1" outlineLevel="1" x14ac:dyDescent="0.25">
      <c r="B78" s="8" t="str">
        <f t="shared" si="11"/>
        <v/>
      </c>
      <c r="C78" s="11">
        <f t="shared" si="12"/>
        <v>644820.97200502036</v>
      </c>
      <c r="D78" s="11">
        <f t="shared" si="21"/>
        <v>3194.704033739999</v>
      </c>
      <c r="E78" s="11">
        <f t="shared" si="22"/>
        <v>-390.73158171281239</v>
      </c>
      <c r="F78" s="11">
        <f t="shared" si="23"/>
        <v>-191.25383343749994</v>
      </c>
      <c r="G78" s="11">
        <f t="shared" si="13"/>
        <v>0</v>
      </c>
      <c r="H78" s="11">
        <v>0</v>
      </c>
      <c r="I78" s="11">
        <v>0</v>
      </c>
      <c r="J78" s="11">
        <v>0</v>
      </c>
      <c r="K78" s="11">
        <f t="shared" si="14"/>
        <v>-2622.054407072922</v>
      </c>
      <c r="L78" s="11">
        <f t="shared" si="15"/>
        <v>581.98541515031229</v>
      </c>
      <c r="M78" s="11">
        <f t="shared" si="3"/>
        <v>3204.0398222232343</v>
      </c>
      <c r="N78" s="11">
        <f t="shared" si="4"/>
        <v>315.03071302676472</v>
      </c>
      <c r="O78" s="11">
        <f t="shared" si="5"/>
        <v>2612.7186185896867</v>
      </c>
      <c r="P78" s="11">
        <f t="shared" si="16"/>
        <v>358344.31598776527</v>
      </c>
      <c r="Q78" s="11">
        <f t="shared" si="6"/>
        <v>286476.6560172551</v>
      </c>
      <c r="R78" s="11">
        <f t="shared" si="7"/>
        <v>123.77687958926478</v>
      </c>
      <c r="S78" s="11" cm="1">
        <f t="array" ref="S78">Y78*tax_rate</f>
        <v>0</v>
      </c>
      <c r="T78" s="11">
        <f t="shared" si="17"/>
        <v>39349.635139125348</v>
      </c>
      <c r="U78" s="11">
        <f t="shared" si="8"/>
        <v>325826.29115638044</v>
      </c>
      <c r="W78" s="138">
        <f t="shared" si="18"/>
        <v>0.25285341647904375</v>
      </c>
      <c r="X78" s="138" t="str">
        <f t="shared" si="28"/>
        <v/>
      </c>
      <c r="Y78" s="142"/>
      <c r="Z78" s="139">
        <f t="shared" si="9"/>
        <v>2622.054407072922</v>
      </c>
      <c r="AA78" s="114">
        <v>51</v>
      </c>
      <c r="AB78" s="46">
        <f t="shared" si="20"/>
        <v>-2242.0271453095538</v>
      </c>
      <c r="AC78" s="47"/>
      <c r="AD78" s="47">
        <f t="shared" si="24"/>
        <v>3874.6315760334255</v>
      </c>
      <c r="AE78" s="86"/>
      <c r="AF78" s="140"/>
      <c r="AG78" s="140"/>
      <c r="AH78" s="140">
        <f t="shared" si="10"/>
        <v>287137.03283607925</v>
      </c>
      <c r="AI78" s="9"/>
      <c r="AJ78" s="9"/>
      <c r="AK78" s="9"/>
    </row>
    <row r="79" spans="2:37" ht="12" hidden="1" customHeight="1" outlineLevel="1" x14ac:dyDescent="0.25">
      <c r="B79" s="8" t="str">
        <f t="shared" si="11"/>
        <v/>
      </c>
      <c r="C79" s="11">
        <f t="shared" si="12"/>
        <v>648045.07686504535</v>
      </c>
      <c r="D79" s="11">
        <f t="shared" si="21"/>
        <v>3194.704033739999</v>
      </c>
      <c r="E79" s="11">
        <f t="shared" si="22"/>
        <v>-390.73158171281239</v>
      </c>
      <c r="F79" s="11">
        <f t="shared" si="23"/>
        <v>-191.25383343749994</v>
      </c>
      <c r="G79" s="11">
        <f t="shared" si="13"/>
        <v>0</v>
      </c>
      <c r="H79" s="11">
        <v>0</v>
      </c>
      <c r="I79" s="11">
        <v>0</v>
      </c>
      <c r="J79" s="11">
        <v>0</v>
      </c>
      <c r="K79" s="11">
        <f t="shared" si="14"/>
        <v>-2622.054407072922</v>
      </c>
      <c r="L79" s="11">
        <f t="shared" si="15"/>
        <v>581.98541515031229</v>
      </c>
      <c r="M79" s="11">
        <f t="shared" si="3"/>
        <v>3204.0398222232343</v>
      </c>
      <c r="N79" s="11">
        <f t="shared" si="4"/>
        <v>315.03071302676472</v>
      </c>
      <c r="O79" s="11">
        <f t="shared" si="5"/>
        <v>2612.7186185896867</v>
      </c>
      <c r="P79" s="11">
        <f t="shared" si="16"/>
        <v>357961.91355561587</v>
      </c>
      <c r="Q79" s="11">
        <f t="shared" si="6"/>
        <v>290083.16330942948</v>
      </c>
      <c r="R79" s="11">
        <f t="shared" si="7"/>
        <v>123.77687958926478</v>
      </c>
      <c r="S79" s="11" cm="1">
        <f t="array" ref="S79">Y79*tax_rate</f>
        <v>0</v>
      </c>
      <c r="T79" s="11">
        <f t="shared" si="17"/>
        <v>39637.368831794302</v>
      </c>
      <c r="U79" s="11">
        <f t="shared" si="8"/>
        <v>329720.53214122378</v>
      </c>
      <c r="W79" s="138">
        <f t="shared" si="18"/>
        <v>0.25085884212952031</v>
      </c>
      <c r="X79" s="138" t="str">
        <f t="shared" si="28"/>
        <v/>
      </c>
      <c r="Y79" s="142"/>
      <c r="Z79" s="139">
        <f t="shared" si="9"/>
        <v>2622.054407072922</v>
      </c>
      <c r="AA79" s="114">
        <v>52</v>
      </c>
      <c r="AB79" s="46">
        <f t="shared" si="20"/>
        <v>-2239.6519749235326</v>
      </c>
      <c r="AC79" s="47"/>
      <c r="AD79" s="47">
        <f t="shared" si="24"/>
        <v>3894.2409848433454</v>
      </c>
      <c r="AE79" s="86"/>
      <c r="AF79" s="140"/>
      <c r="AG79" s="140"/>
      <c r="AH79" s="140">
        <f t="shared" si="10"/>
        <v>290837.82752932108</v>
      </c>
      <c r="AI79" s="9"/>
      <c r="AJ79" s="9"/>
      <c r="AK79" s="9"/>
    </row>
    <row r="80" spans="2:37" ht="12" hidden="1" customHeight="1" outlineLevel="1" x14ac:dyDescent="0.25">
      <c r="B80" s="8" t="str">
        <f t="shared" si="11"/>
        <v/>
      </c>
      <c r="C80" s="11">
        <f t="shared" si="12"/>
        <v>651285.30224937049</v>
      </c>
      <c r="D80" s="11">
        <f t="shared" si="21"/>
        <v>3194.704033739999</v>
      </c>
      <c r="E80" s="11">
        <f t="shared" si="22"/>
        <v>-390.73158171281239</v>
      </c>
      <c r="F80" s="11">
        <f t="shared" si="23"/>
        <v>-191.25383343749994</v>
      </c>
      <c r="G80" s="11">
        <f t="shared" si="13"/>
        <v>0</v>
      </c>
      <c r="H80" s="11">
        <v>0</v>
      </c>
      <c r="I80" s="11">
        <v>0</v>
      </c>
      <c r="J80" s="11">
        <v>0</v>
      </c>
      <c r="K80" s="11">
        <f t="shared" si="14"/>
        <v>-2622.054407072922</v>
      </c>
      <c r="L80" s="11">
        <f t="shared" si="15"/>
        <v>581.98541515031229</v>
      </c>
      <c r="M80" s="11">
        <f t="shared" si="3"/>
        <v>3204.0398222232343</v>
      </c>
      <c r="N80" s="11">
        <f t="shared" si="4"/>
        <v>315.03071302676472</v>
      </c>
      <c r="O80" s="11">
        <f t="shared" si="5"/>
        <v>2612.7186185896867</v>
      </c>
      <c r="P80" s="11">
        <f t="shared" si="16"/>
        <v>357577.12110826554</v>
      </c>
      <c r="Q80" s="11">
        <f t="shared" si="6"/>
        <v>293708.18114110496</v>
      </c>
      <c r="R80" s="11">
        <f t="shared" si="7"/>
        <v>123.77687958926478</v>
      </c>
      <c r="S80" s="11" cm="1">
        <f t="array" ref="S80">Y80*tax_rate</f>
        <v>0</v>
      </c>
      <c r="T80" s="11">
        <f t="shared" si="17"/>
        <v>39926.301414849375</v>
      </c>
      <c r="U80" s="11">
        <f t="shared" si="8"/>
        <v>333634.48255595431</v>
      </c>
      <c r="W80" s="138">
        <f t="shared" si="18"/>
        <v>0.24891978998559888</v>
      </c>
      <c r="X80" s="138" t="str">
        <f t="shared" si="28"/>
        <v/>
      </c>
      <c r="Y80" s="142"/>
      <c r="Z80" s="139">
        <f t="shared" si="9"/>
        <v>2622.054407072922</v>
      </c>
      <c r="AA80" s="114">
        <v>53</v>
      </c>
      <c r="AB80" s="46">
        <f t="shared" si="20"/>
        <v>-2237.2619597225989</v>
      </c>
      <c r="AC80" s="47"/>
      <c r="AD80" s="47">
        <f t="shared" si="24"/>
        <v>3913.950414730527</v>
      </c>
      <c r="AE80" s="86"/>
      <c r="AF80" s="140"/>
      <c r="AG80" s="140"/>
      <c r="AH80" s="140">
        <f t="shared" si="10"/>
        <v>294557.36442099209</v>
      </c>
      <c r="AI80" s="9"/>
      <c r="AJ80" s="9"/>
      <c r="AK80" s="9"/>
    </row>
    <row r="81" spans="2:37" ht="12" hidden="1" customHeight="1" outlineLevel="1" x14ac:dyDescent="0.25">
      <c r="B81" s="8" t="str">
        <f t="shared" si="11"/>
        <v/>
      </c>
      <c r="C81" s="11">
        <f t="shared" si="12"/>
        <v>654541.72876061732</v>
      </c>
      <c r="D81" s="11">
        <f t="shared" si="21"/>
        <v>3194.704033739999</v>
      </c>
      <c r="E81" s="11">
        <f t="shared" si="22"/>
        <v>-390.73158171281239</v>
      </c>
      <c r="F81" s="11">
        <f t="shared" si="23"/>
        <v>-191.25383343749994</v>
      </c>
      <c r="G81" s="11">
        <f t="shared" si="13"/>
        <v>0</v>
      </c>
      <c r="H81" s="11">
        <v>0</v>
      </c>
      <c r="I81" s="11">
        <v>0</v>
      </c>
      <c r="J81" s="11">
        <v>0</v>
      </c>
      <c r="K81" s="11">
        <f t="shared" si="14"/>
        <v>-2622.054407072922</v>
      </c>
      <c r="L81" s="11">
        <f t="shared" si="15"/>
        <v>581.98541515031229</v>
      </c>
      <c r="M81" s="11">
        <f t="shared" si="3"/>
        <v>3204.0398222232343</v>
      </c>
      <c r="N81" s="11">
        <f t="shared" si="4"/>
        <v>315.03071302676472</v>
      </c>
      <c r="O81" s="11">
        <f t="shared" si="5"/>
        <v>2612.7186185896867</v>
      </c>
      <c r="P81" s="11">
        <f t="shared" si="16"/>
        <v>357189.92370811926</v>
      </c>
      <c r="Q81" s="11">
        <f t="shared" si="6"/>
        <v>297351.80505249806</v>
      </c>
      <c r="R81" s="11">
        <f t="shared" si="7"/>
        <v>123.77687958926478</v>
      </c>
      <c r="S81" s="11" cm="1">
        <f t="array" ref="S81">Y81*tax_rate</f>
        <v>0</v>
      </c>
      <c r="T81" s="11">
        <f t="shared" si="17"/>
        <v>40216.437883667175</v>
      </c>
      <c r="U81" s="11">
        <f t="shared" si="8"/>
        <v>337568.24293616525</v>
      </c>
      <c r="W81" s="138">
        <f t="shared" si="18"/>
        <v>0.2470335180707669</v>
      </c>
      <c r="X81" s="138" t="str">
        <f t="shared" si="28"/>
        <v/>
      </c>
      <c r="Y81" s="142"/>
      <c r="Z81" s="139">
        <f t="shared" si="9"/>
        <v>2622.054407072922</v>
      </c>
      <c r="AA81" s="114">
        <v>54</v>
      </c>
      <c r="AB81" s="46">
        <f t="shared" si="20"/>
        <v>-2234.8570069266593</v>
      </c>
      <c r="AC81" s="47"/>
      <c r="AD81" s="47">
        <f t="shared" si="24"/>
        <v>3933.760380210937</v>
      </c>
      <c r="AE81" s="86"/>
      <c r="AF81" s="140"/>
      <c r="AG81" s="140"/>
      <c r="AH81" s="140">
        <f t="shared" si="10"/>
        <v>298295.73921052821</v>
      </c>
      <c r="AI81" s="9"/>
      <c r="AJ81" s="9"/>
      <c r="AK81" s="9"/>
    </row>
    <row r="82" spans="2:37" ht="12" hidden="1" customHeight="1" outlineLevel="1" x14ac:dyDescent="0.25">
      <c r="B82" s="8" t="str">
        <f t="shared" si="11"/>
        <v/>
      </c>
      <c r="C82" s="11">
        <f t="shared" si="12"/>
        <v>657814.43740442034</v>
      </c>
      <c r="D82" s="11">
        <f t="shared" si="21"/>
        <v>3194.704033739999</v>
      </c>
      <c r="E82" s="11">
        <f t="shared" si="22"/>
        <v>-390.73158171281239</v>
      </c>
      <c r="F82" s="11">
        <f t="shared" si="23"/>
        <v>-191.25383343749994</v>
      </c>
      <c r="G82" s="11">
        <f t="shared" si="13"/>
        <v>0</v>
      </c>
      <c r="H82" s="11">
        <v>0</v>
      </c>
      <c r="I82" s="11">
        <v>0</v>
      </c>
      <c r="J82" s="11">
        <v>0</v>
      </c>
      <c r="K82" s="11">
        <f t="shared" si="14"/>
        <v>-2622.054407072922</v>
      </c>
      <c r="L82" s="11">
        <f t="shared" si="15"/>
        <v>581.98541515031229</v>
      </c>
      <c r="M82" s="11">
        <f t="shared" si="3"/>
        <v>3204.0398222232343</v>
      </c>
      <c r="N82" s="11">
        <f t="shared" si="4"/>
        <v>315.03071302676472</v>
      </c>
      <c r="O82" s="11">
        <f t="shared" si="5"/>
        <v>2612.7186185896867</v>
      </c>
      <c r="P82" s="11">
        <f t="shared" si="16"/>
        <v>356800.30632422207</v>
      </c>
      <c r="Q82" s="11">
        <f t="shared" si="6"/>
        <v>301014.13108019828</v>
      </c>
      <c r="R82" s="11">
        <f t="shared" si="7"/>
        <v>123.77687958926478</v>
      </c>
      <c r="S82" s="11" cm="1">
        <f t="array" ref="S82">Y82*tax_rate</f>
        <v>0</v>
      </c>
      <c r="T82" s="11">
        <f t="shared" si="17"/>
        <v>40507.783254438385</v>
      </c>
      <c r="U82" s="11">
        <f t="shared" si="8"/>
        <v>341521.91433463665</v>
      </c>
      <c r="W82" s="138">
        <f t="shared" si="18"/>
        <v>0.24519747673897499</v>
      </c>
      <c r="X82" s="138" t="str">
        <f t="shared" si="28"/>
        <v/>
      </c>
      <c r="Y82" s="142"/>
      <c r="Z82" s="139">
        <f t="shared" si="9"/>
        <v>2622.054407072922</v>
      </c>
      <c r="AA82" s="114">
        <v>55</v>
      </c>
      <c r="AB82" s="46">
        <f t="shared" si="20"/>
        <v>-2232.4370231757453</v>
      </c>
      <c r="AC82" s="47"/>
      <c r="AD82" s="47">
        <f t="shared" si="24"/>
        <v>3953.6713984714006</v>
      </c>
      <c r="AE82" s="86"/>
      <c r="AF82" s="140"/>
      <c r="AG82" s="140"/>
      <c r="AH82" s="140">
        <f t="shared" si="10"/>
        <v>302053.04809037142</v>
      </c>
      <c r="AI82" s="9"/>
      <c r="AJ82" s="9"/>
      <c r="AK82" s="9"/>
    </row>
    <row r="83" spans="2:37" ht="12" hidden="1" customHeight="1" outlineLevel="1" x14ac:dyDescent="0.25">
      <c r="B83" s="8" t="str">
        <f t="shared" si="11"/>
        <v/>
      </c>
      <c r="C83" s="11">
        <f t="shared" si="12"/>
        <v>661103.50959144242</v>
      </c>
      <c r="D83" s="11">
        <f t="shared" si="21"/>
        <v>3194.704033739999</v>
      </c>
      <c r="E83" s="11">
        <f t="shared" si="22"/>
        <v>-390.73158171281239</v>
      </c>
      <c r="F83" s="11">
        <f t="shared" si="23"/>
        <v>-191.25383343749994</v>
      </c>
      <c r="G83" s="11">
        <f t="shared" si="13"/>
        <v>0</v>
      </c>
      <c r="H83" s="11">
        <v>0</v>
      </c>
      <c r="I83" s="11">
        <v>0</v>
      </c>
      <c r="J83" s="11">
        <v>0</v>
      </c>
      <c r="K83" s="11">
        <f t="shared" si="14"/>
        <v>-2622.054407072922</v>
      </c>
      <c r="L83" s="11">
        <f t="shared" si="15"/>
        <v>581.98541515031229</v>
      </c>
      <c r="M83" s="11">
        <f t="shared" si="3"/>
        <v>3204.0398222232343</v>
      </c>
      <c r="N83" s="11">
        <f t="shared" si="4"/>
        <v>315.03071302676472</v>
      </c>
      <c r="O83" s="11">
        <f t="shared" si="5"/>
        <v>2612.7186185896867</v>
      </c>
      <c r="P83" s="11">
        <f t="shared" si="16"/>
        <v>356408.25383167551</v>
      </c>
      <c r="Q83" s="11">
        <f t="shared" si="6"/>
        <v>304695.25575976691</v>
      </c>
      <c r="R83" s="11">
        <f t="shared" si="7"/>
        <v>123.77687958926478</v>
      </c>
      <c r="S83" s="11" cm="1">
        <f t="array" ref="S83">Y83*tax_rate</f>
        <v>0</v>
      </c>
      <c r="T83" s="11">
        <f t="shared" si="17"/>
        <v>40800.342564254475</v>
      </c>
      <c r="U83" s="11">
        <f t="shared" si="8"/>
        <v>345495.59832402138</v>
      </c>
      <c r="W83" s="138">
        <f t="shared" si="18"/>
        <v>0.24340929156120633</v>
      </c>
      <c r="X83" s="138" t="str">
        <f t="shared" si="28"/>
        <v/>
      </c>
      <c r="Y83" s="142"/>
      <c r="Z83" s="139">
        <f t="shared" si="9"/>
        <v>2622.054407072922</v>
      </c>
      <c r="AA83" s="114">
        <v>56</v>
      </c>
      <c r="AB83" s="46">
        <f t="shared" si="20"/>
        <v>-2230.0019145263877</v>
      </c>
      <c r="AC83" s="47"/>
      <c r="AD83" s="47">
        <f t="shared" si="24"/>
        <v>3973.6839893847355</v>
      </c>
      <c r="AE83" s="86"/>
      <c r="AF83" s="140"/>
      <c r="AG83" s="140"/>
      <c r="AH83" s="140">
        <f t="shared" si="10"/>
        <v>305829.38774853485</v>
      </c>
      <c r="AI83" s="9"/>
      <c r="AJ83" s="9"/>
      <c r="AK83" s="9"/>
    </row>
    <row r="84" spans="2:37" ht="12" hidden="1" customHeight="1" outlineLevel="1" x14ac:dyDescent="0.25">
      <c r="B84" s="8" t="str">
        <f t="shared" si="11"/>
        <v/>
      </c>
      <c r="C84" s="11">
        <f t="shared" si="12"/>
        <v>664409.02713939955</v>
      </c>
      <c r="D84" s="11">
        <f t="shared" si="21"/>
        <v>3194.704033739999</v>
      </c>
      <c r="E84" s="11">
        <f t="shared" si="22"/>
        <v>-390.73158171281239</v>
      </c>
      <c r="F84" s="11">
        <f t="shared" si="23"/>
        <v>-191.25383343749994</v>
      </c>
      <c r="G84" s="11">
        <f t="shared" si="13"/>
        <v>0</v>
      </c>
      <c r="H84" s="11">
        <v>0</v>
      </c>
      <c r="I84" s="11">
        <v>0</v>
      </c>
      <c r="J84" s="11">
        <v>0</v>
      </c>
      <c r="K84" s="11">
        <f t="shared" si="14"/>
        <v>-2622.054407072922</v>
      </c>
      <c r="L84" s="11">
        <f t="shared" si="15"/>
        <v>581.98541515031229</v>
      </c>
      <c r="M84" s="11">
        <f t="shared" si="3"/>
        <v>3204.0398222232343</v>
      </c>
      <c r="N84" s="11">
        <f t="shared" si="4"/>
        <v>315.03071302676472</v>
      </c>
      <c r="O84" s="11">
        <f t="shared" si="5"/>
        <v>2612.7186185896867</v>
      </c>
      <c r="P84" s="11">
        <f t="shared" si="16"/>
        <v>356013.75101105054</v>
      </c>
      <c r="Q84" s="11">
        <f t="shared" si="6"/>
        <v>308395.27612834901</v>
      </c>
      <c r="R84" s="11">
        <f t="shared" si="7"/>
        <v>123.77687958926478</v>
      </c>
      <c r="S84" s="11" cm="1">
        <f t="array" ref="S84">Y84*tax_rate</f>
        <v>0</v>
      </c>
      <c r="T84" s="11">
        <f t="shared" si="17"/>
        <v>41094.120871194798</v>
      </c>
      <c r="U84" s="11">
        <f t="shared" si="8"/>
        <v>349489.39699954382</v>
      </c>
      <c r="W84" s="138">
        <f t="shared" si="18"/>
        <v>0.24166674803071964</v>
      </c>
      <c r="X84" s="138" t="str">
        <f t="shared" si="28"/>
        <v/>
      </c>
      <c r="Y84" s="142"/>
      <c r="Z84" s="139">
        <f t="shared" si="9"/>
        <v>2622.054407072922</v>
      </c>
      <c r="AA84" s="114">
        <v>57</v>
      </c>
      <c r="AB84" s="46">
        <f t="shared" si="20"/>
        <v>-2227.5515864479717</v>
      </c>
      <c r="AC84" s="47"/>
      <c r="AD84" s="47">
        <f t="shared" si="24"/>
        <v>3993.798675522441</v>
      </c>
      <c r="AE84" s="86"/>
      <c r="AF84" s="140"/>
      <c r="AG84" s="140"/>
      <c r="AH84" s="140">
        <f t="shared" si="10"/>
        <v>309624.85537117987</v>
      </c>
      <c r="AI84" s="9"/>
      <c r="AJ84" s="9"/>
      <c r="AK84" s="9"/>
    </row>
    <row r="85" spans="2:37" ht="12" hidden="1" customHeight="1" outlineLevel="1" x14ac:dyDescent="0.25">
      <c r="B85" s="8" t="str">
        <f t="shared" si="11"/>
        <v/>
      </c>
      <c r="C85" s="11">
        <f t="shared" si="12"/>
        <v>667731.07227509643</v>
      </c>
      <c r="D85" s="11">
        <f t="shared" si="21"/>
        <v>3194.704033739999</v>
      </c>
      <c r="E85" s="11">
        <f t="shared" si="22"/>
        <v>-390.73158171281239</v>
      </c>
      <c r="F85" s="11">
        <f t="shared" si="23"/>
        <v>-191.25383343749994</v>
      </c>
      <c r="G85" s="11">
        <f t="shared" si="13"/>
        <v>0</v>
      </c>
      <c r="H85" s="11">
        <v>0</v>
      </c>
      <c r="I85" s="11">
        <v>0</v>
      </c>
      <c r="J85" s="11">
        <v>0</v>
      </c>
      <c r="K85" s="11">
        <f t="shared" si="14"/>
        <v>-2622.054407072922</v>
      </c>
      <c r="L85" s="11">
        <f t="shared" si="15"/>
        <v>581.98541515031229</v>
      </c>
      <c r="M85" s="11">
        <f t="shared" si="3"/>
        <v>3204.0398222232343</v>
      </c>
      <c r="N85" s="11">
        <f t="shared" si="4"/>
        <v>315.03071302676472</v>
      </c>
      <c r="O85" s="11">
        <f t="shared" si="5"/>
        <v>2612.7186185896867</v>
      </c>
      <c r="P85" s="11">
        <f t="shared" si="16"/>
        <v>355616.78254779667</v>
      </c>
      <c r="Q85" s="11">
        <f t="shared" si="6"/>
        <v>312114.28972729977</v>
      </c>
      <c r="R85" s="11">
        <f t="shared" si="7"/>
        <v>123.77687958926478</v>
      </c>
      <c r="S85" s="11" cm="1">
        <f t="array" ref="S85">Y85*tax_rate</f>
        <v>0</v>
      </c>
      <c r="T85" s="11">
        <f t="shared" si="17"/>
        <v>41389.123254414037</v>
      </c>
      <c r="U85" s="11">
        <f t="shared" si="8"/>
        <v>353503.41298171377</v>
      </c>
      <c r="W85" s="138">
        <f t="shared" si="18"/>
        <v>0.23996777786431528</v>
      </c>
      <c r="X85" s="138" t="str">
        <f t="shared" si="28"/>
        <v/>
      </c>
      <c r="Y85" s="142"/>
      <c r="Z85" s="139">
        <f t="shared" si="9"/>
        <v>2622.054407072922</v>
      </c>
      <c r="AA85" s="114">
        <v>58</v>
      </c>
      <c r="AB85" s="46">
        <f t="shared" si="20"/>
        <v>-2225.0859438190655</v>
      </c>
      <c r="AC85" s="47"/>
      <c r="AD85" s="47">
        <f t="shared" si="24"/>
        <v>4014.015982169949</v>
      </c>
      <c r="AE85" s="86"/>
      <c r="AF85" s="140"/>
      <c r="AG85" s="140"/>
      <c r="AH85" s="140">
        <f t="shared" si="10"/>
        <v>313439.54864520801</v>
      </c>
      <c r="AI85" s="9"/>
      <c r="AJ85" s="9"/>
      <c r="AK85" s="9"/>
    </row>
    <row r="86" spans="2:37" ht="12" hidden="1" customHeight="1" outlineLevel="1" x14ac:dyDescent="0.25">
      <c r="B86" s="8" t="str">
        <f t="shared" si="11"/>
        <v/>
      </c>
      <c r="C86" s="11">
        <f t="shared" si="12"/>
        <v>671069.72763647186</v>
      </c>
      <c r="D86" s="11">
        <f t="shared" si="21"/>
        <v>3194.704033739999</v>
      </c>
      <c r="E86" s="11">
        <f t="shared" si="22"/>
        <v>-390.73158171281239</v>
      </c>
      <c r="F86" s="11">
        <f t="shared" si="23"/>
        <v>-191.25383343749994</v>
      </c>
      <c r="G86" s="11">
        <f t="shared" si="13"/>
        <v>0</v>
      </c>
      <c r="H86" s="11">
        <v>0</v>
      </c>
      <c r="I86" s="11">
        <v>0</v>
      </c>
      <c r="J86" s="11">
        <v>0</v>
      </c>
      <c r="K86" s="11">
        <f t="shared" si="14"/>
        <v>-2622.054407072922</v>
      </c>
      <c r="L86" s="11">
        <f t="shared" si="15"/>
        <v>581.98541515031229</v>
      </c>
      <c r="M86" s="11">
        <f t="shared" si="3"/>
        <v>3204.0398222232343</v>
      </c>
      <c r="N86" s="11">
        <f t="shared" si="4"/>
        <v>315.03071302676472</v>
      </c>
      <c r="O86" s="11">
        <f t="shared" si="5"/>
        <v>2612.7186185896867</v>
      </c>
      <c r="P86" s="11">
        <f t="shared" si="16"/>
        <v>355217.33303164749</v>
      </c>
      <c r="Q86" s="11">
        <f t="shared" si="6"/>
        <v>315852.39460482437</v>
      </c>
      <c r="R86" s="11">
        <f t="shared" si="7"/>
        <v>123.77687958926478</v>
      </c>
      <c r="S86" s="11" cm="1">
        <f t="array" ref="S86">Y86*tax_rate</f>
        <v>0</v>
      </c>
      <c r="T86" s="11">
        <f t="shared" si="17"/>
        <v>41685.354814230021</v>
      </c>
      <c r="U86" s="11">
        <f t="shared" si="8"/>
        <v>357537.74941905437</v>
      </c>
      <c r="W86" s="138">
        <f t="shared" si="18"/>
        <v>0.2383104467071705</v>
      </c>
      <c r="X86" s="138" t="str">
        <f t="shared" si="28"/>
        <v/>
      </c>
      <c r="Y86" s="142"/>
      <c r="Z86" s="139">
        <f t="shared" si="9"/>
        <v>2622.054407072922</v>
      </c>
      <c r="AA86" s="114">
        <v>59</v>
      </c>
      <c r="AB86" s="46">
        <f t="shared" si="20"/>
        <v>-2222.6048909237288</v>
      </c>
      <c r="AC86" s="47"/>
      <c r="AD86" s="47">
        <f t="shared" si="24"/>
        <v>4034.336437340593</v>
      </c>
      <c r="AE86" s="86"/>
      <c r="AF86" s="140"/>
      <c r="AG86" s="140"/>
      <c r="AH86" s="140">
        <f t="shared" si="10"/>
        <v>317273.56576086604</v>
      </c>
      <c r="AI86" s="9"/>
      <c r="AJ86" s="9"/>
      <c r="AK86" s="9"/>
    </row>
    <row r="87" spans="2:37" ht="15" customHeight="1" collapsed="1" x14ac:dyDescent="0.25">
      <c r="B87" s="8">
        <f t="shared" si="11"/>
        <v>5</v>
      </c>
      <c r="C87" s="11">
        <f t="shared" si="12"/>
        <v>674425.07627465413</v>
      </c>
      <c r="D87" s="11">
        <f t="shared" si="21"/>
        <v>3194.704033739999</v>
      </c>
      <c r="E87" s="11">
        <f t="shared" si="22"/>
        <v>-390.73158171281239</v>
      </c>
      <c r="F87" s="11">
        <f t="shared" si="23"/>
        <v>-191.25383343749994</v>
      </c>
      <c r="G87" s="11">
        <f t="shared" si="13"/>
        <v>0</v>
      </c>
      <c r="H87" s="11">
        <v>0</v>
      </c>
      <c r="I87" s="11">
        <v>0</v>
      </c>
      <c r="J87" s="11">
        <v>0</v>
      </c>
      <c r="K87" s="11">
        <f t="shared" si="14"/>
        <v>-2622.054407072922</v>
      </c>
      <c r="L87" s="11">
        <f t="shared" si="15"/>
        <v>581.98541515031229</v>
      </c>
      <c r="M87" s="11">
        <f t="shared" si="3"/>
        <v>3204.0398222232343</v>
      </c>
      <c r="N87" s="11">
        <f t="shared" si="4"/>
        <v>315.03071302676472</v>
      </c>
      <c r="O87" s="11">
        <f t="shared" si="5"/>
        <v>2612.7186185896867</v>
      </c>
      <c r="P87" s="11">
        <f t="shared" si="16"/>
        <v>354815.38695602235</v>
      </c>
      <c r="Q87" s="11">
        <f t="shared" si="6"/>
        <v>319609.68931863178</v>
      </c>
      <c r="R87" s="11">
        <f t="shared" si="7"/>
        <v>123.77687958926478</v>
      </c>
      <c r="S87" s="11" cm="1">
        <f t="array" ref="S87">Y87*tax_rate</f>
        <v>10128.127280962957</v>
      </c>
      <c r="T87" s="11">
        <f t="shared" si="17"/>
        <v>52110.947953174866</v>
      </c>
      <c r="U87" s="11">
        <f t="shared" si="8"/>
        <v>371720.63727180666</v>
      </c>
      <c r="V87" s="11">
        <f>U87-U75</f>
        <v>57459.810144756688</v>
      </c>
      <c r="W87" s="138">
        <f t="shared" si="18"/>
        <v>0.24354450279266868</v>
      </c>
      <c r="X87" s="138">
        <f t="shared" si="28"/>
        <v>0.18284114717717181</v>
      </c>
      <c r="Y87" s="141">
        <f>(((Sale_Price*0.8)+Improvement_Costs+Closing_Costs_Total)/27.5)+(-E87*12)+-AC87</f>
        <v>46036.942186195258</v>
      </c>
      <c r="Z87" s="139">
        <f t="shared" si="9"/>
        <v>2622.054407072922</v>
      </c>
      <c r="AA87" s="114">
        <v>60</v>
      </c>
      <c r="AB87" s="46">
        <f t="shared" si="20"/>
        <v>-2220.1083314477964</v>
      </c>
      <c r="AC87" s="46">
        <f>SUM(AB76:AB87)</f>
        <v>-26802.70866018696</v>
      </c>
      <c r="AD87" s="47">
        <f t="shared" si="24"/>
        <v>14182.88785275229</v>
      </c>
      <c r="AE87" s="86">
        <f>D87*12</f>
        <v>38336.448404879986</v>
      </c>
      <c r="AF87" s="140">
        <f>O87+Q87-(C87*(Cost_of_Sale_Percentage))</f>
        <v>281756.9033607422</v>
      </c>
      <c r="AG87" s="140">
        <f>R87*12</f>
        <v>1485.3225550711772</v>
      </c>
      <c r="AH87" s="140">
        <f t="shared" si="10"/>
        <v>331255.1326953274</v>
      </c>
      <c r="AI87" s="9">
        <f>AI75*(1+Comparison_Rate_of_Return)</f>
        <v>201313.75000000006</v>
      </c>
      <c r="AJ87" s="9"/>
      <c r="AK87" s="9"/>
    </row>
    <row r="88" spans="2:37" ht="12" hidden="1" customHeight="1" outlineLevel="1" x14ac:dyDescent="0.25">
      <c r="B88" s="8" t="str">
        <f t="shared" si="11"/>
        <v/>
      </c>
      <c r="C88" s="11">
        <f t="shared" si="12"/>
        <v>677797.20165602735</v>
      </c>
      <c r="D88" s="11">
        <f t="shared" si="21"/>
        <v>3306.5186749208988</v>
      </c>
      <c r="E88" s="11">
        <f t="shared" si="22"/>
        <v>-404.40718707276079</v>
      </c>
      <c r="F88" s="11">
        <f t="shared" si="23"/>
        <v>-197.94771760781242</v>
      </c>
      <c r="G88" s="11">
        <f t="shared" si="13"/>
        <v>0</v>
      </c>
      <c r="H88" s="11">
        <v>0</v>
      </c>
      <c r="I88" s="11">
        <v>0</v>
      </c>
      <c r="J88" s="11">
        <v>0</v>
      </c>
      <c r="K88" s="11">
        <f t="shared" si="14"/>
        <v>-2622.054407072922</v>
      </c>
      <c r="L88" s="11">
        <f t="shared" si="15"/>
        <v>602.35490468057321</v>
      </c>
      <c r="M88" s="11">
        <f t="shared" si="3"/>
        <v>3224.4093117534953</v>
      </c>
      <c r="N88" s="11">
        <f t="shared" si="4"/>
        <v>417.82869223025364</v>
      </c>
      <c r="O88" s="11">
        <f t="shared" si="5"/>
        <v>2704.1637702403254</v>
      </c>
      <c r="P88" s="11">
        <f t="shared" si="16"/>
        <v>354410.92871742457</v>
      </c>
      <c r="Q88" s="11">
        <f t="shared" si="6"/>
        <v>323386.27293860278</v>
      </c>
      <c r="R88" s="11">
        <f t="shared" si="7"/>
        <v>219.88097462244122</v>
      </c>
      <c r="S88" s="11" cm="1">
        <f t="array" ref="S88">Y88*tax_rate</f>
        <v>0</v>
      </c>
      <c r="T88" s="11">
        <f t="shared" si="17"/>
        <v>52547.957877602203</v>
      </c>
      <c r="U88" s="11">
        <f t="shared" si="8"/>
        <v>375934.23081620497</v>
      </c>
      <c r="W88" s="138">
        <f t="shared" si="18"/>
        <v>0.241859594314252</v>
      </c>
      <c r="X88" s="138" t="str">
        <f t="shared" si="28"/>
        <v/>
      </c>
      <c r="Y88" s="142"/>
      <c r="Z88" s="139">
        <f t="shared" si="9"/>
        <v>2704.1637702403254</v>
      </c>
      <c r="AA88" s="114">
        <v>61</v>
      </c>
      <c r="AB88" s="46">
        <f t="shared" si="20"/>
        <v>-2217.5961684751396</v>
      </c>
      <c r="AC88" s="47"/>
      <c r="AD88" s="47">
        <f t="shared" si="24"/>
        <v>4213.593544398318</v>
      </c>
      <c r="AE88" s="86"/>
      <c r="AF88" s="140"/>
      <c r="AG88" s="140"/>
      <c r="AH88" s="140">
        <f t="shared" si="10"/>
        <v>335266.39871684334</v>
      </c>
      <c r="AI88" s="9"/>
      <c r="AJ88" s="9"/>
      <c r="AK88" s="9"/>
    </row>
    <row r="89" spans="2:37" ht="12" hidden="1" customHeight="1" outlineLevel="1" x14ac:dyDescent="0.25">
      <c r="B89" s="8" t="str">
        <f t="shared" si="11"/>
        <v/>
      </c>
      <c r="C89" s="11">
        <f t="shared" si="12"/>
        <v>681186.18766430742</v>
      </c>
      <c r="D89" s="11">
        <f t="shared" si="21"/>
        <v>3306.5186749208988</v>
      </c>
      <c r="E89" s="11">
        <f t="shared" si="22"/>
        <v>-404.40718707276079</v>
      </c>
      <c r="F89" s="11">
        <f t="shared" si="23"/>
        <v>-197.94771760781242</v>
      </c>
      <c r="G89" s="11">
        <f t="shared" si="13"/>
        <v>0</v>
      </c>
      <c r="H89" s="11">
        <v>0</v>
      </c>
      <c r="I89" s="11">
        <v>0</v>
      </c>
      <c r="J89" s="11">
        <v>0</v>
      </c>
      <c r="K89" s="11">
        <f t="shared" si="14"/>
        <v>-2622.054407072922</v>
      </c>
      <c r="L89" s="11">
        <f t="shared" si="15"/>
        <v>602.35490468057321</v>
      </c>
      <c r="M89" s="11">
        <f t="shared" si="3"/>
        <v>3224.4093117534953</v>
      </c>
      <c r="N89" s="11">
        <f t="shared" si="4"/>
        <v>417.82869223025364</v>
      </c>
      <c r="O89" s="11">
        <f t="shared" si="5"/>
        <v>2704.1637702403254</v>
      </c>
      <c r="P89" s="11">
        <f t="shared" si="16"/>
        <v>354003.94261483557</v>
      </c>
      <c r="Q89" s="11">
        <f t="shared" si="6"/>
        <v>327182.24504947185</v>
      </c>
      <c r="R89" s="11">
        <f t="shared" si="7"/>
        <v>219.88097462244122</v>
      </c>
      <c r="S89" s="11" cm="1">
        <f t="array" ref="S89">Y89*tax_rate</f>
        <v>0</v>
      </c>
      <c r="T89" s="11">
        <f t="shared" si="17"/>
        <v>52986.788676714656</v>
      </c>
      <c r="U89" s="11">
        <f t="shared" si="8"/>
        <v>380169.03372618649</v>
      </c>
      <c r="W89" s="138">
        <f t="shared" si="18"/>
        <v>0.24021444592188443</v>
      </c>
      <c r="X89" s="138" t="str">
        <f t="shared" si="28"/>
        <v/>
      </c>
      <c r="Y89" s="142"/>
      <c r="Z89" s="139">
        <f t="shared" si="9"/>
        <v>2704.1637702403254</v>
      </c>
      <c r="AA89" s="114">
        <v>62</v>
      </c>
      <c r="AB89" s="46">
        <f t="shared" si="20"/>
        <v>-2215.0683044839034</v>
      </c>
      <c r="AC89" s="47"/>
      <c r="AD89" s="47">
        <f t="shared" si="24"/>
        <v>4234.8029099815176</v>
      </c>
      <c r="AE89" s="86"/>
      <c r="AF89" s="140"/>
      <c r="AG89" s="140"/>
      <c r="AH89" s="140">
        <f t="shared" si="10"/>
        <v>339297.86246632808</v>
      </c>
      <c r="AI89" s="9"/>
      <c r="AJ89" s="9"/>
      <c r="AK89" s="9"/>
    </row>
    <row r="90" spans="2:37" ht="12" hidden="1" customHeight="1" outlineLevel="1" x14ac:dyDescent="0.25">
      <c r="B90" s="8" t="str">
        <f t="shared" si="11"/>
        <v/>
      </c>
      <c r="C90" s="11">
        <f t="shared" si="12"/>
        <v>684592.11860262894</v>
      </c>
      <c r="D90" s="11">
        <f t="shared" si="21"/>
        <v>3306.5186749208988</v>
      </c>
      <c r="E90" s="11">
        <f t="shared" si="22"/>
        <v>-404.40718707276079</v>
      </c>
      <c r="F90" s="11">
        <f t="shared" si="23"/>
        <v>-197.94771760781242</v>
      </c>
      <c r="G90" s="11">
        <f t="shared" si="13"/>
        <v>0</v>
      </c>
      <c r="H90" s="11">
        <v>0</v>
      </c>
      <c r="I90" s="11">
        <v>0</v>
      </c>
      <c r="J90" s="11">
        <v>0</v>
      </c>
      <c r="K90" s="11">
        <f t="shared" si="14"/>
        <v>-2622.054407072922</v>
      </c>
      <c r="L90" s="11">
        <f t="shared" si="15"/>
        <v>602.35490468057321</v>
      </c>
      <c r="M90" s="11">
        <f t="shared" si="3"/>
        <v>3224.4093117534953</v>
      </c>
      <c r="N90" s="11">
        <f t="shared" si="4"/>
        <v>417.82869223025364</v>
      </c>
      <c r="O90" s="11">
        <f t="shared" si="5"/>
        <v>2704.1637702403254</v>
      </c>
      <c r="P90" s="11">
        <f t="shared" si="16"/>
        <v>353594.41284910537</v>
      </c>
      <c r="Q90" s="11">
        <f t="shared" si="6"/>
        <v>330997.70575352357</v>
      </c>
      <c r="R90" s="11">
        <f t="shared" si="7"/>
        <v>219.88097462244122</v>
      </c>
      <c r="S90" s="11" cm="1">
        <f t="array" ref="S90">Y90*tax_rate</f>
        <v>0</v>
      </c>
      <c r="T90" s="11">
        <f t="shared" si="17"/>
        <v>53427.447937490077</v>
      </c>
      <c r="U90" s="11">
        <f t="shared" si="8"/>
        <v>384425.15369101363</v>
      </c>
      <c r="W90" s="138">
        <f t="shared" si="18"/>
        <v>0.23860740777127773</v>
      </c>
      <c r="X90" s="138" t="str">
        <f t="shared" si="28"/>
        <v/>
      </c>
      <c r="Y90" s="142"/>
      <c r="Z90" s="139">
        <f t="shared" si="9"/>
        <v>2704.1637702403254</v>
      </c>
      <c r="AA90" s="114">
        <v>63</v>
      </c>
      <c r="AB90" s="46">
        <f t="shared" si="20"/>
        <v>-2212.5246413427221</v>
      </c>
      <c r="AC90" s="47"/>
      <c r="AD90" s="47">
        <f t="shared" si="24"/>
        <v>4256.1199648271431</v>
      </c>
      <c r="AE90" s="86"/>
      <c r="AF90" s="140"/>
      <c r="AG90" s="140"/>
      <c r="AH90" s="140">
        <f t="shared" si="10"/>
        <v>343349.62657485588</v>
      </c>
      <c r="AI90" s="9"/>
      <c r="AJ90" s="9"/>
      <c r="AK90" s="9"/>
    </row>
    <row r="91" spans="2:37" ht="12" hidden="1" customHeight="1" outlineLevel="1" x14ac:dyDescent="0.25">
      <c r="B91" s="8" t="str">
        <f t="shared" si="11"/>
        <v/>
      </c>
      <c r="C91" s="11">
        <f t="shared" si="12"/>
        <v>688015.07919564203</v>
      </c>
      <c r="D91" s="11">
        <f t="shared" si="21"/>
        <v>3306.5186749208988</v>
      </c>
      <c r="E91" s="11">
        <f t="shared" si="22"/>
        <v>-404.40718707276079</v>
      </c>
      <c r="F91" s="11">
        <f t="shared" si="23"/>
        <v>-197.94771760781242</v>
      </c>
      <c r="G91" s="11">
        <f t="shared" si="13"/>
        <v>0</v>
      </c>
      <c r="H91" s="11">
        <v>0</v>
      </c>
      <c r="I91" s="11">
        <v>0</v>
      </c>
      <c r="J91" s="11">
        <v>0</v>
      </c>
      <c r="K91" s="11">
        <f t="shared" si="14"/>
        <v>-2622.054407072922</v>
      </c>
      <c r="L91" s="11">
        <f t="shared" si="15"/>
        <v>602.35490468057321</v>
      </c>
      <c r="M91" s="11">
        <f t="shared" ref="M91:M154" si="30">-E91-F91-G91-H91-I91-J91-K91</f>
        <v>3224.4093117534953</v>
      </c>
      <c r="N91" s="11">
        <f t="shared" ref="N91:N154" si="31">(D91/Rent_Occupancy)+E91+G91+(H91+I91+J91)+K91</f>
        <v>417.82869223025364</v>
      </c>
      <c r="O91" s="11">
        <f t="shared" ref="O91:O154" si="32">D91+E91+F91+G91+(H91+I91+J91)</f>
        <v>2704.1637702403254</v>
      </c>
      <c r="P91" s="11">
        <f t="shared" si="16"/>
        <v>353182.32352233934</v>
      </c>
      <c r="Q91" s="11">
        <f t="shared" ref="Q91:Q154" si="33">C91-P91</f>
        <v>334832.75567330269</v>
      </c>
      <c r="R91" s="11">
        <f t="shared" ref="R91:R154" si="34">IF(Net_Income_Toward_Loan="No",N91+F91,IF((N91+F91)&lt;0,(N91+F91),IF((N91+F91)+PI_Payment&gt;P91,D91+E91-P91,0)))</f>
        <v>219.88097462244122</v>
      </c>
      <c r="S91" s="11" cm="1">
        <f t="array" ref="S91">Y91*tax_rate</f>
        <v>0</v>
      </c>
      <c r="T91" s="11">
        <f t="shared" si="17"/>
        <v>53869.943278518731</v>
      </c>
      <c r="U91" s="11">
        <f t="shared" ref="U91:U154" si="35">Q91+T91</f>
        <v>388702.69895182142</v>
      </c>
      <c r="W91" s="138">
        <f t="shared" si="18"/>
        <v>0.2370369279106832</v>
      </c>
      <c r="X91" s="138" t="str">
        <f t="shared" si="28"/>
        <v/>
      </c>
      <c r="Y91" s="142"/>
      <c r="Z91" s="139">
        <f t="shared" ref="Z91:Z154" si="36">IF(D91+E91+F91+G91+H91+I91+J91&gt;-K91,D91+E91+F91+G91+H91+I91+J91,-K91)</f>
        <v>2704.1637702403254</v>
      </c>
      <c r="AA91" s="114">
        <v>64</v>
      </c>
      <c r="AB91" s="46">
        <f t="shared" si="20"/>
        <v>-2209.9650803069085</v>
      </c>
      <c r="AC91" s="47"/>
      <c r="AD91" s="47">
        <f t="shared" si="24"/>
        <v>4277.5452608077903</v>
      </c>
      <c r="AE91" s="86"/>
      <c r="AF91" s="140"/>
      <c r="AG91" s="140"/>
      <c r="AH91" s="140">
        <f t="shared" ref="AH91:AH154" si="37">U91-(C91*Cost_of_Sale_Percentage)</f>
        <v>347421.79420008289</v>
      </c>
      <c r="AI91" s="9"/>
      <c r="AJ91" s="9"/>
      <c r="AK91" s="9"/>
    </row>
    <row r="92" spans="2:37" ht="12" hidden="1" customHeight="1" outlineLevel="1" x14ac:dyDescent="0.25">
      <c r="B92" s="8" t="str">
        <f t="shared" ref="B92:B155" si="38">IF(MOD(AA92,12)=0,AA92/12,"")</f>
        <v/>
      </c>
      <c r="C92" s="11">
        <f t="shared" ref="C92:C155" si="39">C91*(1+(Annual_Appreciation_Percentage/12))</f>
        <v>691455.1545916202</v>
      </c>
      <c r="D92" s="11">
        <f t="shared" si="21"/>
        <v>3306.5186749208988</v>
      </c>
      <c r="E92" s="11">
        <f t="shared" si="22"/>
        <v>-404.40718707276079</v>
      </c>
      <c r="F92" s="11">
        <f t="shared" si="23"/>
        <v>-197.94771760781242</v>
      </c>
      <c r="G92" s="11">
        <f t="shared" ref="G92:G155" si="40">IF(Other_Monthly_Cost_Months&gt;=AA92,-Other_Fixed_Monthly_Cost,0)</f>
        <v>0</v>
      </c>
      <c r="H92" s="11">
        <v>0</v>
      </c>
      <c r="I92" s="11">
        <v>0</v>
      </c>
      <c r="J92" s="11">
        <v>0</v>
      </c>
      <c r="K92" s="11">
        <f t="shared" ref="K92:K155" si="41">IF(P91&gt;PI_Payment,-PI_Payment,-P91)</f>
        <v>-2622.054407072922</v>
      </c>
      <c r="L92" s="11">
        <f t="shared" ref="L92:L155" si="42">-E92-F92-G92</f>
        <v>602.35490468057321</v>
      </c>
      <c r="M92" s="11">
        <f t="shared" si="30"/>
        <v>3224.4093117534953</v>
      </c>
      <c r="N92" s="11">
        <f t="shared" si="31"/>
        <v>417.82869223025364</v>
      </c>
      <c r="O92" s="11">
        <f t="shared" si="32"/>
        <v>2704.1637702403254</v>
      </c>
      <c r="P92" s="11">
        <f t="shared" ref="P92:P155" si="43">IF(Net_Income_Toward_Loan="No",-IF(FV(Loan_Rate/12,1,(K92),P91,0)&lt;0,FV(Loan_Rate/12,1,(K92),P91,0),0),-IF(FV(Loan_Rate/12,1,(-Z92),P91,0)&lt;0,FV(Loan_Rate/12,1,(-Z92),P91,0),0))</f>
        <v>352767.65863728104</v>
      </c>
      <c r="Q92" s="11">
        <f t="shared" si="33"/>
        <v>338687.49595433916</v>
      </c>
      <c r="R92" s="11">
        <f t="shared" si="34"/>
        <v>219.88097462244122</v>
      </c>
      <c r="S92" s="11" cm="1">
        <f t="array" ref="S92">Y92*tax_rate</f>
        <v>0</v>
      </c>
      <c r="T92" s="11">
        <f t="shared" ref="T92:T155" si="44">T91*(1+Time_Value_of_Money_Percentage/12)+R92+S92</f>
        <v>54314.282350134999</v>
      </c>
      <c r="U92" s="11">
        <f t="shared" si="35"/>
        <v>393001.77830447414</v>
      </c>
      <c r="W92" s="138">
        <f t="shared" ref="W92:W155" si="45">RATE(AA92/12,0,-Total_Initial_Investment,U92,0)</f>
        <v>0.2355015448517212</v>
      </c>
      <c r="X92" s="138" t="str">
        <f t="shared" si="28"/>
        <v/>
      </c>
      <c r="Y92" s="142"/>
      <c r="Z92" s="139">
        <f t="shared" si="36"/>
        <v>2704.1637702403254</v>
      </c>
      <c r="AA92" s="114">
        <v>65</v>
      </c>
      <c r="AB92" s="46">
        <f t="shared" ref="AB92:AB155" si="46">IF(AA92&lt;Loan_Term*12,IPMT(Loan_Rate/12,1,(Loan_Term*12)-AA91,P91,0),0)</f>
        <v>-2207.3895220146205</v>
      </c>
      <c r="AC92" s="47"/>
      <c r="AD92" s="47">
        <f t="shared" si="24"/>
        <v>4299.0793526527123</v>
      </c>
      <c r="AE92" s="86"/>
      <c r="AF92" s="140"/>
      <c r="AG92" s="140"/>
      <c r="AH92" s="140">
        <f t="shared" si="37"/>
        <v>351514.46902897692</v>
      </c>
      <c r="AI92" s="9"/>
      <c r="AJ92" s="9"/>
      <c r="AK92" s="9"/>
    </row>
    <row r="93" spans="2:37" ht="12" hidden="1" customHeight="1" outlineLevel="1" x14ac:dyDescent="0.25">
      <c r="B93" s="8" t="str">
        <f t="shared" si="38"/>
        <v/>
      </c>
      <c r="C93" s="11">
        <f t="shared" si="39"/>
        <v>694912.43036457826</v>
      </c>
      <c r="D93" s="11">
        <f t="shared" ref="D93:D156" si="47">IF(MOD(AA93-1,12)&gt;0,D92,D92*(1+Annual_Rent_Increase_Percentage))</f>
        <v>3306.5186749208988</v>
      </c>
      <c r="E93" s="11">
        <f t="shared" ref="E93:E156" si="48">IF(MOD($AA93-1,12)&gt;0,E92,E92*(1+Annual_Inflation_Percentage))</f>
        <v>-404.40718707276079</v>
      </c>
      <c r="F93" s="11">
        <f t="shared" ref="F93:F156" si="49">IF(MOD($AA93-1,12)&gt;0,F92,F92*(1+Annual_Inflation_Percentage))</f>
        <v>-197.94771760781242</v>
      </c>
      <c r="G93" s="11">
        <f t="shared" si="40"/>
        <v>0</v>
      </c>
      <c r="H93" s="11">
        <v>0</v>
      </c>
      <c r="I93" s="11">
        <v>0</v>
      </c>
      <c r="J93" s="11">
        <v>0</v>
      </c>
      <c r="K93" s="11">
        <f t="shared" si="41"/>
        <v>-2622.054407072922</v>
      </c>
      <c r="L93" s="11">
        <f t="shared" si="42"/>
        <v>602.35490468057321</v>
      </c>
      <c r="M93" s="11">
        <f t="shared" si="30"/>
        <v>3224.4093117534953</v>
      </c>
      <c r="N93" s="11">
        <f t="shared" si="31"/>
        <v>417.82869223025364</v>
      </c>
      <c r="O93" s="11">
        <f t="shared" si="32"/>
        <v>2704.1637702403254</v>
      </c>
      <c r="P93" s="11">
        <f t="shared" si="43"/>
        <v>352350.40209669113</v>
      </c>
      <c r="Q93" s="11">
        <f t="shared" si="33"/>
        <v>342562.02826788713</v>
      </c>
      <c r="R93" s="11">
        <f t="shared" si="34"/>
        <v>219.88097462244122</v>
      </c>
      <c r="S93" s="11" cm="1">
        <f t="array" ref="S93">Y93*tax_rate</f>
        <v>0</v>
      </c>
      <c r="T93" s="11">
        <f t="shared" si="44"/>
        <v>54760.47283454967</v>
      </c>
      <c r="U93" s="11">
        <f t="shared" si="35"/>
        <v>397322.5011024368</v>
      </c>
      <c r="W93" s="138">
        <f t="shared" si="45"/>
        <v>0.23399988081795223</v>
      </c>
      <c r="X93" s="138" t="str">
        <f t="shared" si="28"/>
        <v/>
      </c>
      <c r="Y93" s="142"/>
      <c r="Z93" s="139">
        <f t="shared" si="36"/>
        <v>2704.1637702403254</v>
      </c>
      <c r="AA93" s="114">
        <v>66</v>
      </c>
      <c r="AB93" s="46">
        <f t="shared" si="46"/>
        <v>-2204.7978664830061</v>
      </c>
      <c r="AC93" s="47"/>
      <c r="AD93" s="47">
        <f t="shared" ref="AD93:AD156" si="50">U93-U92</f>
        <v>4320.7227979626623</v>
      </c>
      <c r="AE93" s="86"/>
      <c r="AF93" s="140"/>
      <c r="AG93" s="140"/>
      <c r="AH93" s="140">
        <f t="shared" si="37"/>
        <v>355627.75528056209</v>
      </c>
      <c r="AI93" s="9"/>
      <c r="AJ93" s="9"/>
      <c r="AK93" s="9"/>
    </row>
    <row r="94" spans="2:37" ht="12" hidden="1" customHeight="1" outlineLevel="1" x14ac:dyDescent="0.25">
      <c r="B94" s="8" t="str">
        <f t="shared" si="38"/>
        <v/>
      </c>
      <c r="C94" s="11">
        <f t="shared" si="39"/>
        <v>698386.99251640111</v>
      </c>
      <c r="D94" s="11">
        <f t="shared" si="47"/>
        <v>3306.5186749208988</v>
      </c>
      <c r="E94" s="11">
        <f t="shared" si="48"/>
        <v>-404.40718707276079</v>
      </c>
      <c r="F94" s="11">
        <f t="shared" si="49"/>
        <v>-197.94771760781242</v>
      </c>
      <c r="G94" s="11">
        <f t="shared" si="40"/>
        <v>0</v>
      </c>
      <c r="H94" s="11">
        <v>0</v>
      </c>
      <c r="I94" s="11">
        <v>0</v>
      </c>
      <c r="J94" s="11">
        <v>0</v>
      </c>
      <c r="K94" s="11">
        <f t="shared" si="41"/>
        <v>-2622.054407072922</v>
      </c>
      <c r="L94" s="11">
        <f t="shared" si="42"/>
        <v>602.35490468057321</v>
      </c>
      <c r="M94" s="11">
        <f t="shared" si="30"/>
        <v>3224.4093117534953</v>
      </c>
      <c r="N94" s="11">
        <f t="shared" si="31"/>
        <v>417.82869223025364</v>
      </c>
      <c r="O94" s="11">
        <f t="shared" si="32"/>
        <v>2704.1637702403254</v>
      </c>
      <c r="P94" s="11">
        <f t="shared" si="43"/>
        <v>351930.53770272253</v>
      </c>
      <c r="Q94" s="11">
        <f t="shared" si="33"/>
        <v>346456.45481367857</v>
      </c>
      <c r="R94" s="11">
        <f t="shared" si="34"/>
        <v>219.88097462244122</v>
      </c>
      <c r="S94" s="11" cm="1">
        <f t="array" ref="S94">Y94*tax_rate</f>
        <v>0</v>
      </c>
      <c r="T94" s="11">
        <f t="shared" si="44"/>
        <v>55208.522445982737</v>
      </c>
      <c r="U94" s="11">
        <f t="shared" si="35"/>
        <v>401664.9772596613</v>
      </c>
      <c r="W94" s="138">
        <f t="shared" si="45"/>
        <v>0.23253063559959594</v>
      </c>
      <c r="X94" s="138" t="str">
        <f t="shared" si="28"/>
        <v/>
      </c>
      <c r="Y94" s="142"/>
      <c r="Z94" s="139">
        <f t="shared" si="36"/>
        <v>2704.1637702403254</v>
      </c>
      <c r="AA94" s="114">
        <v>67</v>
      </c>
      <c r="AB94" s="46">
        <f t="shared" si="46"/>
        <v>-2202.1900131043194</v>
      </c>
      <c r="AC94" s="47"/>
      <c r="AD94" s="47">
        <f t="shared" si="50"/>
        <v>4342.4761572245043</v>
      </c>
      <c r="AE94" s="86"/>
      <c r="AF94" s="140"/>
      <c r="AG94" s="140"/>
      <c r="AH94" s="140">
        <f t="shared" si="37"/>
        <v>359761.75770867721</v>
      </c>
      <c r="AI94" s="9"/>
      <c r="AJ94" s="9"/>
      <c r="AK94" s="9"/>
    </row>
    <row r="95" spans="2:37" ht="12" hidden="1" customHeight="1" outlineLevel="1" x14ac:dyDescent="0.25">
      <c r="B95" s="8" t="str">
        <f t="shared" si="38"/>
        <v/>
      </c>
      <c r="C95" s="11">
        <f t="shared" si="39"/>
        <v>701878.92747898307</v>
      </c>
      <c r="D95" s="11">
        <f t="shared" si="47"/>
        <v>3306.5186749208988</v>
      </c>
      <c r="E95" s="11">
        <f t="shared" si="48"/>
        <v>-404.40718707276079</v>
      </c>
      <c r="F95" s="11">
        <f t="shared" si="49"/>
        <v>-197.94771760781242</v>
      </c>
      <c r="G95" s="11">
        <f t="shared" si="40"/>
        <v>0</v>
      </c>
      <c r="H95" s="11">
        <v>0</v>
      </c>
      <c r="I95" s="11">
        <v>0</v>
      </c>
      <c r="J95" s="11">
        <v>0</v>
      </c>
      <c r="K95" s="11">
        <f t="shared" si="41"/>
        <v>-2622.054407072922</v>
      </c>
      <c r="L95" s="11">
        <f t="shared" si="42"/>
        <v>602.35490468057321</v>
      </c>
      <c r="M95" s="11">
        <f t="shared" si="30"/>
        <v>3224.4093117534953</v>
      </c>
      <c r="N95" s="11">
        <f t="shared" si="31"/>
        <v>417.82869223025364</v>
      </c>
      <c r="O95" s="11">
        <f t="shared" si="32"/>
        <v>2704.1637702403254</v>
      </c>
      <c r="P95" s="11">
        <f t="shared" si="43"/>
        <v>351508.04915629164</v>
      </c>
      <c r="Q95" s="11">
        <f t="shared" si="33"/>
        <v>350370.87832269142</v>
      </c>
      <c r="R95" s="11">
        <f t="shared" si="34"/>
        <v>219.88097462244122</v>
      </c>
      <c r="S95" s="11" cm="1">
        <f t="array" ref="S95">Y95*tax_rate</f>
        <v>0</v>
      </c>
      <c r="T95" s="11">
        <f t="shared" si="44"/>
        <v>55658.438930796772</v>
      </c>
      <c r="U95" s="11">
        <f t="shared" si="35"/>
        <v>406029.31725348817</v>
      </c>
      <c r="W95" s="138">
        <f t="shared" si="45"/>
        <v>0.23109258095135263</v>
      </c>
      <c r="X95" s="138" t="str">
        <f t="shared" si="28"/>
        <v/>
      </c>
      <c r="Y95" s="142"/>
      <c r="Z95" s="139">
        <f t="shared" si="36"/>
        <v>2704.1637702403254</v>
      </c>
      <c r="AA95" s="114">
        <v>68</v>
      </c>
      <c r="AB95" s="46">
        <f t="shared" si="46"/>
        <v>-2199.5658606420157</v>
      </c>
      <c r="AC95" s="47"/>
      <c r="AD95" s="47">
        <f t="shared" si="50"/>
        <v>4364.3399938268703</v>
      </c>
      <c r="AE95" s="86"/>
      <c r="AF95" s="140"/>
      <c r="AG95" s="140"/>
      <c r="AH95" s="140">
        <f t="shared" si="37"/>
        <v>363916.5816047492</v>
      </c>
      <c r="AI95" s="9"/>
      <c r="AJ95" s="9"/>
      <c r="AK95" s="9"/>
    </row>
    <row r="96" spans="2:37" ht="12" hidden="1" customHeight="1" outlineLevel="1" x14ac:dyDescent="0.25">
      <c r="B96" s="8" t="str">
        <f t="shared" si="38"/>
        <v/>
      </c>
      <c r="C96" s="11">
        <f t="shared" si="39"/>
        <v>705388.32211637788</v>
      </c>
      <c r="D96" s="11">
        <f t="shared" si="47"/>
        <v>3306.5186749208988</v>
      </c>
      <c r="E96" s="11">
        <f t="shared" si="48"/>
        <v>-404.40718707276079</v>
      </c>
      <c r="F96" s="11">
        <f t="shared" si="49"/>
        <v>-197.94771760781242</v>
      </c>
      <c r="G96" s="11">
        <f t="shared" si="40"/>
        <v>0</v>
      </c>
      <c r="H96" s="11">
        <v>0</v>
      </c>
      <c r="I96" s="11">
        <v>0</v>
      </c>
      <c r="J96" s="11">
        <v>0</v>
      </c>
      <c r="K96" s="11">
        <f t="shared" si="41"/>
        <v>-2622.054407072922</v>
      </c>
      <c r="L96" s="11">
        <f t="shared" si="42"/>
        <v>602.35490468057321</v>
      </c>
      <c r="M96" s="11">
        <f t="shared" si="30"/>
        <v>3224.4093117534953</v>
      </c>
      <c r="N96" s="11">
        <f t="shared" si="31"/>
        <v>417.82869223025364</v>
      </c>
      <c r="O96" s="11">
        <f t="shared" si="32"/>
        <v>2704.1637702403254</v>
      </c>
      <c r="P96" s="11">
        <f t="shared" si="43"/>
        <v>351082.92005644552</v>
      </c>
      <c r="Q96" s="11">
        <f t="shared" si="33"/>
        <v>354305.40205993236</v>
      </c>
      <c r="R96" s="11">
        <f t="shared" si="34"/>
        <v>219.88097462244122</v>
      </c>
      <c r="S96" s="11" cm="1">
        <f t="array" ref="S96">Y96*tax_rate</f>
        <v>0</v>
      </c>
      <c r="T96" s="11">
        <f t="shared" si="44"/>
        <v>56110.230067630866</v>
      </c>
      <c r="U96" s="11">
        <f t="shared" si="35"/>
        <v>410415.63212756324</v>
      </c>
      <c r="W96" s="138">
        <f t="shared" si="45"/>
        <v>0.22968455547769265</v>
      </c>
      <c r="X96" s="138" t="str">
        <f t="shared" si="28"/>
        <v/>
      </c>
      <c r="Y96" s="142"/>
      <c r="Z96" s="139">
        <f t="shared" si="36"/>
        <v>2704.1637702403254</v>
      </c>
      <c r="AA96" s="114">
        <v>69</v>
      </c>
      <c r="AB96" s="46">
        <f t="shared" si="46"/>
        <v>-2196.9253072268225</v>
      </c>
      <c r="AC96" s="47"/>
      <c r="AD96" s="47">
        <f t="shared" si="50"/>
        <v>4386.3148740750621</v>
      </c>
      <c r="AE96" s="86"/>
      <c r="AF96" s="140"/>
      <c r="AG96" s="140"/>
      <c r="AH96" s="140">
        <f t="shared" si="37"/>
        <v>368092.33280058054</v>
      </c>
      <c r="AI96" s="9"/>
      <c r="AJ96" s="9"/>
      <c r="AK96" s="9"/>
    </row>
    <row r="97" spans="2:37" ht="12" hidden="1" customHeight="1" outlineLevel="1" x14ac:dyDescent="0.25">
      <c r="B97" s="8" t="str">
        <f t="shared" si="38"/>
        <v/>
      </c>
      <c r="C97" s="11">
        <f t="shared" si="39"/>
        <v>708915.2637269597</v>
      </c>
      <c r="D97" s="11">
        <f t="shared" si="47"/>
        <v>3306.5186749208988</v>
      </c>
      <c r="E97" s="11">
        <f t="shared" si="48"/>
        <v>-404.40718707276079</v>
      </c>
      <c r="F97" s="11">
        <f t="shared" si="49"/>
        <v>-197.94771760781242</v>
      </c>
      <c r="G97" s="11">
        <f t="shared" si="40"/>
        <v>0</v>
      </c>
      <c r="H97" s="11">
        <v>0</v>
      </c>
      <c r="I97" s="11">
        <v>0</v>
      </c>
      <c r="J97" s="11">
        <v>0</v>
      </c>
      <c r="K97" s="11">
        <f t="shared" si="41"/>
        <v>-2622.054407072922</v>
      </c>
      <c r="L97" s="11">
        <f t="shared" si="42"/>
        <v>602.35490468057321</v>
      </c>
      <c r="M97" s="11">
        <f t="shared" si="30"/>
        <v>3224.4093117534953</v>
      </c>
      <c r="N97" s="11">
        <f t="shared" si="31"/>
        <v>417.82869223025364</v>
      </c>
      <c r="O97" s="11">
        <f t="shared" si="32"/>
        <v>2704.1637702403254</v>
      </c>
      <c r="P97" s="11">
        <f t="shared" si="43"/>
        <v>350655.13389972539</v>
      </c>
      <c r="Q97" s="11">
        <f t="shared" si="33"/>
        <v>358260.12982723431</v>
      </c>
      <c r="R97" s="11">
        <f t="shared" si="34"/>
        <v>219.88097462244122</v>
      </c>
      <c r="S97" s="11" cm="1">
        <f t="array" ref="S97">Y97*tax_rate</f>
        <v>0</v>
      </c>
      <c r="T97" s="11">
        <f t="shared" si="44"/>
        <v>56563.903667535102</v>
      </c>
      <c r="U97" s="11">
        <f t="shared" si="35"/>
        <v>414824.03349476942</v>
      </c>
      <c r="W97" s="138">
        <f t="shared" si="45"/>
        <v>0.22830545995641963</v>
      </c>
      <c r="X97" s="138" t="str">
        <f t="shared" si="28"/>
        <v/>
      </c>
      <c r="Y97" s="142"/>
      <c r="Z97" s="139">
        <f t="shared" si="36"/>
        <v>2704.1637702403254</v>
      </c>
      <c r="AA97" s="114">
        <v>70</v>
      </c>
      <c r="AB97" s="46">
        <f t="shared" si="46"/>
        <v>-2194.2682503527844</v>
      </c>
      <c r="AC97" s="47"/>
      <c r="AD97" s="47">
        <f t="shared" si="50"/>
        <v>4408.4013672061847</v>
      </c>
      <c r="AE97" s="86"/>
      <c r="AF97" s="140"/>
      <c r="AG97" s="140"/>
      <c r="AH97" s="140">
        <f t="shared" si="37"/>
        <v>372289.11767115182</v>
      </c>
      <c r="AI97" s="9"/>
      <c r="AJ97" s="9"/>
      <c r="AK97" s="9"/>
    </row>
    <row r="98" spans="2:37" ht="12" hidden="1" customHeight="1" outlineLevel="1" x14ac:dyDescent="0.25">
      <c r="B98" s="8" t="str">
        <f t="shared" si="38"/>
        <v/>
      </c>
      <c r="C98" s="11">
        <f t="shared" si="39"/>
        <v>712459.84004559438</v>
      </c>
      <c r="D98" s="11">
        <f t="shared" si="47"/>
        <v>3306.5186749208988</v>
      </c>
      <c r="E98" s="11">
        <f t="shared" si="48"/>
        <v>-404.40718707276079</v>
      </c>
      <c r="F98" s="11">
        <f t="shared" si="49"/>
        <v>-197.94771760781242</v>
      </c>
      <c r="G98" s="11">
        <f t="shared" si="40"/>
        <v>0</v>
      </c>
      <c r="H98" s="11">
        <v>0</v>
      </c>
      <c r="I98" s="11">
        <v>0</v>
      </c>
      <c r="J98" s="11">
        <v>0</v>
      </c>
      <c r="K98" s="11">
        <f t="shared" si="41"/>
        <v>-2622.054407072922</v>
      </c>
      <c r="L98" s="11">
        <f t="shared" si="42"/>
        <v>602.35490468057321</v>
      </c>
      <c r="M98" s="11">
        <f t="shared" si="30"/>
        <v>3224.4093117534953</v>
      </c>
      <c r="N98" s="11">
        <f t="shared" si="31"/>
        <v>417.82869223025364</v>
      </c>
      <c r="O98" s="11">
        <f t="shared" si="32"/>
        <v>2704.1637702403254</v>
      </c>
      <c r="P98" s="11">
        <f t="shared" si="43"/>
        <v>350224.67407952575</v>
      </c>
      <c r="Q98" s="11">
        <f t="shared" si="33"/>
        <v>362235.16596606863</v>
      </c>
      <c r="R98" s="11">
        <f t="shared" si="34"/>
        <v>219.88097462244122</v>
      </c>
      <c r="S98" s="11" cm="1">
        <f t="array" ref="S98">Y98*tax_rate</f>
        <v>0</v>
      </c>
      <c r="T98" s="11">
        <f t="shared" si="44"/>
        <v>57019.467574105605</v>
      </c>
      <c r="U98" s="11">
        <f t="shared" si="35"/>
        <v>419254.63354017423</v>
      </c>
      <c r="W98" s="138">
        <f t="shared" si="45"/>
        <v>0.22695425305693154</v>
      </c>
      <c r="X98" s="138" t="str">
        <f t="shared" si="28"/>
        <v/>
      </c>
      <c r="Y98" s="142"/>
      <c r="Z98" s="139">
        <f t="shared" si="36"/>
        <v>2704.1637702403254</v>
      </c>
      <c r="AA98" s="114">
        <v>71</v>
      </c>
      <c r="AB98" s="46">
        <f t="shared" si="46"/>
        <v>-2191.5945868732833</v>
      </c>
      <c r="AC98" s="47"/>
      <c r="AD98" s="47">
        <f t="shared" si="50"/>
        <v>4430.6000454048044</v>
      </c>
      <c r="AE98" s="86"/>
      <c r="AF98" s="140"/>
      <c r="AG98" s="140"/>
      <c r="AH98" s="140">
        <f t="shared" si="37"/>
        <v>376507.0431374386</v>
      </c>
      <c r="AI98" s="9"/>
      <c r="AJ98" s="9"/>
      <c r="AK98" s="9"/>
    </row>
    <row r="99" spans="2:37" ht="15" customHeight="1" collapsed="1" x14ac:dyDescent="0.25">
      <c r="B99" s="143">
        <f t="shared" si="38"/>
        <v>6</v>
      </c>
      <c r="C99" s="15">
        <f t="shared" si="39"/>
        <v>716022.13924582233</v>
      </c>
      <c r="D99" s="15">
        <f t="shared" si="47"/>
        <v>3306.5186749208988</v>
      </c>
      <c r="E99" s="15">
        <f t="shared" si="48"/>
        <v>-404.40718707276079</v>
      </c>
      <c r="F99" s="15">
        <f t="shared" si="49"/>
        <v>-197.94771760781242</v>
      </c>
      <c r="G99" s="15">
        <f t="shared" si="40"/>
        <v>0</v>
      </c>
      <c r="H99" s="15">
        <v>0</v>
      </c>
      <c r="I99" s="15">
        <v>0</v>
      </c>
      <c r="J99" s="15">
        <v>0</v>
      </c>
      <c r="K99" s="15">
        <f t="shared" si="41"/>
        <v>-2622.054407072922</v>
      </c>
      <c r="L99" s="15">
        <f t="shared" si="42"/>
        <v>602.35490468057321</v>
      </c>
      <c r="M99" s="15">
        <f t="shared" si="30"/>
        <v>3224.4093117534953</v>
      </c>
      <c r="N99" s="15">
        <f t="shared" si="31"/>
        <v>417.82869223025364</v>
      </c>
      <c r="O99" s="15">
        <f t="shared" si="32"/>
        <v>2704.1637702403254</v>
      </c>
      <c r="P99" s="15">
        <f t="shared" si="43"/>
        <v>349791.52388544986</v>
      </c>
      <c r="Q99" s="15">
        <f t="shared" si="33"/>
        <v>366230.61536037247</v>
      </c>
      <c r="R99" s="15">
        <f t="shared" si="34"/>
        <v>219.88097462244122</v>
      </c>
      <c r="S99" s="15" cm="1">
        <f t="array" ref="S99">Y99*tax_rate</f>
        <v>10084.608733018651</v>
      </c>
      <c r="T99" s="15">
        <f t="shared" si="44"/>
        <v>67561.538396638804</v>
      </c>
      <c r="U99" s="15">
        <f t="shared" si="35"/>
        <v>433792.15375701129</v>
      </c>
      <c r="V99" s="15">
        <f>U99-U87</f>
        <v>62071.516485204629</v>
      </c>
      <c r="W99" s="144">
        <f t="shared" si="45"/>
        <v>0.23044426547703753</v>
      </c>
      <c r="X99" s="144">
        <f t="shared" si="28"/>
        <v>0.16698431634242891</v>
      </c>
      <c r="Y99" s="145">
        <f>(((Sale_Price*0.8)+Improvement_Costs+Closing_Costs_Total)/27.5)+(-E99*12)+-AC99</f>
        <v>45839.130604630234</v>
      </c>
      <c r="Z99" s="139">
        <f t="shared" si="36"/>
        <v>2704.1637702403254</v>
      </c>
      <c r="AA99" s="114">
        <v>72</v>
      </c>
      <c r="AB99" s="46">
        <f t="shared" si="46"/>
        <v>-2188.9042129970358</v>
      </c>
      <c r="AC99" s="46">
        <f>SUM(AB88:AB99)</f>
        <v>-26440.789814302556</v>
      </c>
      <c r="AD99" s="47">
        <f t="shared" si="50"/>
        <v>14537.52021683706</v>
      </c>
      <c r="AE99" s="86">
        <f>D99*12</f>
        <v>39678.224099050785</v>
      </c>
      <c r="AF99" s="140"/>
      <c r="AG99" s="140">
        <f>R99*12</f>
        <v>2638.5716954692944</v>
      </c>
      <c r="AH99" s="140">
        <f t="shared" si="37"/>
        <v>390830.82540226192</v>
      </c>
      <c r="AI99" s="15">
        <f>AI87*(1+Comparison_Rate_of_Return)</f>
        <v>221445.12500000009</v>
      </c>
      <c r="AJ99" s="9"/>
      <c r="AK99" s="9"/>
    </row>
    <row r="100" spans="2:37" ht="12" hidden="1" customHeight="1" outlineLevel="1" x14ac:dyDescent="0.25">
      <c r="B100" s="143" t="str">
        <f t="shared" si="38"/>
        <v/>
      </c>
      <c r="C100" s="15">
        <f t="shared" si="39"/>
        <v>719602.24994205136</v>
      </c>
      <c r="D100" s="15">
        <f t="shared" si="47"/>
        <v>3422.2468285431301</v>
      </c>
      <c r="E100" s="15">
        <f t="shared" si="48"/>
        <v>-418.5614386203074</v>
      </c>
      <c r="F100" s="15">
        <f t="shared" si="49"/>
        <v>-204.87588772408583</v>
      </c>
      <c r="G100" s="15">
        <f t="shared" si="40"/>
        <v>0</v>
      </c>
      <c r="H100" s="15">
        <v>0</v>
      </c>
      <c r="I100" s="15">
        <v>0</v>
      </c>
      <c r="J100" s="15">
        <v>0</v>
      </c>
      <c r="K100" s="15">
        <f t="shared" si="41"/>
        <v>-2622.054407072922</v>
      </c>
      <c r="L100" s="15">
        <f t="shared" si="42"/>
        <v>623.43732634439323</v>
      </c>
      <c r="M100" s="15">
        <f t="shared" si="30"/>
        <v>3245.4917334173151</v>
      </c>
      <c r="N100" s="15">
        <f t="shared" si="31"/>
        <v>524.2246007058643</v>
      </c>
      <c r="O100" s="15">
        <f t="shared" si="32"/>
        <v>2798.8095021987369</v>
      </c>
      <c r="P100" s="15">
        <f t="shared" si="43"/>
        <v>349355.66650266101</v>
      </c>
      <c r="Q100" s="15">
        <f t="shared" si="33"/>
        <v>370246.58343939035</v>
      </c>
      <c r="R100" s="15">
        <f t="shared" si="34"/>
        <v>319.34871298177848</v>
      </c>
      <c r="S100" s="15" cm="1">
        <f t="array" ref="S100">Y100*tax_rate</f>
        <v>0</v>
      </c>
      <c r="T100" s="15">
        <f t="shared" si="44"/>
        <v>68162.393519606572</v>
      </c>
      <c r="U100" s="15">
        <f t="shared" si="35"/>
        <v>438408.97695899691</v>
      </c>
      <c r="V100" s="15"/>
      <c r="W100" s="144">
        <f t="shared" si="45"/>
        <v>0.22909093361450972</v>
      </c>
      <c r="X100" s="144" t="str">
        <f t="shared" si="28"/>
        <v/>
      </c>
      <c r="Y100" s="146"/>
      <c r="Z100" s="139">
        <f t="shared" si="36"/>
        <v>2798.8095021987369</v>
      </c>
      <c r="AA100" s="114">
        <v>73</v>
      </c>
      <c r="AB100" s="46">
        <f t="shared" si="46"/>
        <v>-2186.1970242840616</v>
      </c>
      <c r="AC100" s="47"/>
      <c r="AD100" s="47">
        <f t="shared" si="50"/>
        <v>4616.8232019856223</v>
      </c>
      <c r="AE100" s="86"/>
      <c r="AF100" s="140"/>
      <c r="AG100" s="140"/>
      <c r="AH100" s="140">
        <f t="shared" si="37"/>
        <v>395232.84196247382</v>
      </c>
      <c r="AI100" s="15"/>
      <c r="AJ100" s="9"/>
      <c r="AK100" s="9"/>
    </row>
    <row r="101" spans="2:37" ht="12" hidden="1" customHeight="1" outlineLevel="1" x14ac:dyDescent="0.25">
      <c r="B101" s="143" t="str">
        <f t="shared" si="38"/>
        <v/>
      </c>
      <c r="C101" s="15">
        <f t="shared" si="39"/>
        <v>723200.26119176159</v>
      </c>
      <c r="D101" s="15">
        <f t="shared" si="47"/>
        <v>3422.2468285431301</v>
      </c>
      <c r="E101" s="15">
        <f t="shared" si="48"/>
        <v>-418.5614386203074</v>
      </c>
      <c r="F101" s="15">
        <f t="shared" si="49"/>
        <v>-204.87588772408583</v>
      </c>
      <c r="G101" s="15">
        <f t="shared" si="40"/>
        <v>0</v>
      </c>
      <c r="H101" s="15">
        <v>0</v>
      </c>
      <c r="I101" s="15">
        <v>0</v>
      </c>
      <c r="J101" s="15">
        <v>0</v>
      </c>
      <c r="K101" s="15">
        <f t="shared" si="41"/>
        <v>-2622.054407072922</v>
      </c>
      <c r="L101" s="15">
        <f t="shared" si="42"/>
        <v>623.43732634439323</v>
      </c>
      <c r="M101" s="15">
        <f t="shared" si="30"/>
        <v>3245.4917334173151</v>
      </c>
      <c r="N101" s="15">
        <f t="shared" si="31"/>
        <v>524.2246007058643</v>
      </c>
      <c r="O101" s="15">
        <f t="shared" si="32"/>
        <v>2798.8095021987369</v>
      </c>
      <c r="P101" s="15">
        <f t="shared" si="43"/>
        <v>348917.08501122973</v>
      </c>
      <c r="Q101" s="15">
        <f t="shared" si="33"/>
        <v>374283.17618053185</v>
      </c>
      <c r="R101" s="15">
        <f t="shared" si="34"/>
        <v>319.34871298177848</v>
      </c>
      <c r="S101" s="15" cm="1">
        <f t="array" ref="S101">Y101*tax_rate</f>
        <v>0</v>
      </c>
      <c r="T101" s="15">
        <f t="shared" si="44"/>
        <v>68765.752205586716</v>
      </c>
      <c r="U101" s="15">
        <f t="shared" si="35"/>
        <v>443048.92838611855</v>
      </c>
      <c r="V101" s="15"/>
      <c r="W101" s="144">
        <f t="shared" si="45"/>
        <v>0.22776391968231033</v>
      </c>
      <c r="X101" s="144" t="str">
        <f t="shared" si="28"/>
        <v/>
      </c>
      <c r="Y101" s="146"/>
      <c r="Z101" s="139">
        <f t="shared" si="36"/>
        <v>2798.8095021987369</v>
      </c>
      <c r="AA101" s="114">
        <v>74</v>
      </c>
      <c r="AB101" s="46">
        <f t="shared" si="46"/>
        <v>-2183.4729156416311</v>
      </c>
      <c r="AC101" s="47"/>
      <c r="AD101" s="47">
        <f t="shared" si="50"/>
        <v>4639.9514271216467</v>
      </c>
      <c r="AE101" s="86"/>
      <c r="AF101" s="140"/>
      <c r="AG101" s="140"/>
      <c r="AH101" s="140">
        <f t="shared" si="37"/>
        <v>399656.91271461284</v>
      </c>
      <c r="AI101" s="15"/>
      <c r="AJ101" s="9"/>
      <c r="AK101" s="9"/>
    </row>
    <row r="102" spans="2:37" ht="12" hidden="1" customHeight="1" outlineLevel="1" x14ac:dyDescent="0.25">
      <c r="B102" s="143" t="str">
        <f t="shared" si="38"/>
        <v/>
      </c>
      <c r="C102" s="15">
        <f t="shared" si="39"/>
        <v>726816.26249772031</v>
      </c>
      <c r="D102" s="15">
        <f t="shared" si="47"/>
        <v>3422.2468285431301</v>
      </c>
      <c r="E102" s="15">
        <f t="shared" si="48"/>
        <v>-418.5614386203074</v>
      </c>
      <c r="F102" s="15">
        <f t="shared" si="49"/>
        <v>-204.87588772408583</v>
      </c>
      <c r="G102" s="15">
        <f t="shared" si="40"/>
        <v>0</v>
      </c>
      <c r="H102" s="15">
        <v>0</v>
      </c>
      <c r="I102" s="15">
        <v>0</v>
      </c>
      <c r="J102" s="15">
        <v>0</v>
      </c>
      <c r="K102" s="15">
        <f t="shared" si="41"/>
        <v>-2622.054407072922</v>
      </c>
      <c r="L102" s="15">
        <f t="shared" si="42"/>
        <v>623.43732634439323</v>
      </c>
      <c r="M102" s="15">
        <f t="shared" si="30"/>
        <v>3245.4917334173151</v>
      </c>
      <c r="N102" s="15">
        <f t="shared" si="31"/>
        <v>524.2246007058643</v>
      </c>
      <c r="O102" s="15">
        <f t="shared" si="32"/>
        <v>2798.8095021987369</v>
      </c>
      <c r="P102" s="15">
        <f t="shared" si="43"/>
        <v>348475.76238547702</v>
      </c>
      <c r="Q102" s="15">
        <f t="shared" si="33"/>
        <v>378340.50011224329</v>
      </c>
      <c r="R102" s="15">
        <f t="shared" si="34"/>
        <v>319.34871298177848</v>
      </c>
      <c r="S102" s="15" cm="1">
        <f t="array" ref="S102">Y102*tax_rate</f>
        <v>0</v>
      </c>
      <c r="T102" s="15">
        <f t="shared" si="44"/>
        <v>69371.624886091769</v>
      </c>
      <c r="U102" s="15">
        <f t="shared" si="35"/>
        <v>447712.12499833503</v>
      </c>
      <c r="V102" s="15"/>
      <c r="W102" s="144">
        <f t="shared" si="45"/>
        <v>0.22646233348088798</v>
      </c>
      <c r="X102" s="144" t="str">
        <f t="shared" si="28"/>
        <v/>
      </c>
      <c r="Y102" s="146"/>
      <c r="Z102" s="139">
        <f t="shared" si="36"/>
        <v>2798.8095021987369</v>
      </c>
      <c r="AA102" s="114">
        <v>75</v>
      </c>
      <c r="AB102" s="46">
        <f t="shared" si="46"/>
        <v>-2180.7317813201857</v>
      </c>
      <c r="AC102" s="47"/>
      <c r="AD102" s="47">
        <f t="shared" si="50"/>
        <v>4663.196612216474</v>
      </c>
      <c r="AE102" s="86"/>
      <c r="AF102" s="140"/>
      <c r="AG102" s="140"/>
      <c r="AH102" s="140">
        <f t="shared" si="37"/>
        <v>404103.14924847183</v>
      </c>
      <c r="AI102" s="15"/>
      <c r="AJ102" s="9"/>
      <c r="AK102" s="9"/>
    </row>
    <row r="103" spans="2:37" ht="12" hidden="1" customHeight="1" outlineLevel="1" x14ac:dyDescent="0.25">
      <c r="B103" s="143" t="str">
        <f t="shared" si="38"/>
        <v/>
      </c>
      <c r="C103" s="15">
        <f t="shared" si="39"/>
        <v>730450.34381020884</v>
      </c>
      <c r="D103" s="15">
        <f t="shared" si="47"/>
        <v>3422.2468285431301</v>
      </c>
      <c r="E103" s="15">
        <f t="shared" si="48"/>
        <v>-418.5614386203074</v>
      </c>
      <c r="F103" s="15">
        <f t="shared" si="49"/>
        <v>-204.87588772408583</v>
      </c>
      <c r="G103" s="15">
        <f t="shared" si="40"/>
        <v>0</v>
      </c>
      <c r="H103" s="15">
        <v>0</v>
      </c>
      <c r="I103" s="15">
        <v>0</v>
      </c>
      <c r="J103" s="15">
        <v>0</v>
      </c>
      <c r="K103" s="15">
        <f t="shared" si="41"/>
        <v>-2622.054407072922</v>
      </c>
      <c r="L103" s="15">
        <f t="shared" si="42"/>
        <v>623.43732634439323</v>
      </c>
      <c r="M103" s="15">
        <f t="shared" si="30"/>
        <v>3245.4917334173151</v>
      </c>
      <c r="N103" s="15">
        <f t="shared" si="31"/>
        <v>524.2246007058643</v>
      </c>
      <c r="O103" s="15">
        <f t="shared" si="32"/>
        <v>2798.8095021987369</v>
      </c>
      <c r="P103" s="15">
        <f t="shared" si="43"/>
        <v>348031.68149331334</v>
      </c>
      <c r="Q103" s="15">
        <f t="shared" si="33"/>
        <v>382418.6623168955</v>
      </c>
      <c r="R103" s="15">
        <f t="shared" si="34"/>
        <v>319.34871298177848</v>
      </c>
      <c r="S103" s="15" cm="1">
        <f t="array" ref="S103">Y103*tax_rate</f>
        <v>0</v>
      </c>
      <c r="T103" s="15">
        <f t="shared" si="44"/>
        <v>69980.022036098933</v>
      </c>
      <c r="U103" s="15">
        <f t="shared" si="35"/>
        <v>452398.68435299443</v>
      </c>
      <c r="V103" s="15"/>
      <c r="W103" s="144">
        <f t="shared" si="45"/>
        <v>0.22518532817620834</v>
      </c>
      <c r="X103" s="144" t="str">
        <f t="shared" si="28"/>
        <v/>
      </c>
      <c r="Y103" s="146"/>
      <c r="Z103" s="139">
        <f t="shared" si="36"/>
        <v>2798.8095021987369</v>
      </c>
      <c r="AA103" s="114">
        <v>76</v>
      </c>
      <c r="AB103" s="46">
        <f t="shared" si="46"/>
        <v>-2177.9735149092312</v>
      </c>
      <c r="AC103" s="47"/>
      <c r="AD103" s="47">
        <f t="shared" si="50"/>
        <v>4686.5593546594027</v>
      </c>
      <c r="AE103" s="86"/>
      <c r="AF103" s="140"/>
      <c r="AG103" s="140"/>
      <c r="AH103" s="140">
        <f t="shared" si="37"/>
        <v>408571.66372438188</v>
      </c>
      <c r="AI103" s="15"/>
      <c r="AJ103" s="9"/>
      <c r="AK103" s="9"/>
    </row>
    <row r="104" spans="2:37" ht="12" hidden="1" customHeight="1" outlineLevel="1" x14ac:dyDescent="0.25">
      <c r="B104" s="143" t="str">
        <f t="shared" si="38"/>
        <v/>
      </c>
      <c r="C104" s="15">
        <f t="shared" si="39"/>
        <v>734102.59552925976</v>
      </c>
      <c r="D104" s="15">
        <f t="shared" si="47"/>
        <v>3422.2468285431301</v>
      </c>
      <c r="E104" s="15">
        <f t="shared" si="48"/>
        <v>-418.5614386203074</v>
      </c>
      <c r="F104" s="15">
        <f t="shared" si="49"/>
        <v>-204.87588772408583</v>
      </c>
      <c r="G104" s="15">
        <f t="shared" si="40"/>
        <v>0</v>
      </c>
      <c r="H104" s="15">
        <v>0</v>
      </c>
      <c r="I104" s="15">
        <v>0</v>
      </c>
      <c r="J104" s="15">
        <v>0</v>
      </c>
      <c r="K104" s="15">
        <f t="shared" si="41"/>
        <v>-2622.054407072922</v>
      </c>
      <c r="L104" s="15">
        <f t="shared" si="42"/>
        <v>623.43732634439323</v>
      </c>
      <c r="M104" s="15">
        <f t="shared" si="30"/>
        <v>3245.4917334173151</v>
      </c>
      <c r="N104" s="15">
        <f t="shared" si="31"/>
        <v>524.2246007058643</v>
      </c>
      <c r="O104" s="15">
        <f t="shared" si="32"/>
        <v>2798.8095021987369</v>
      </c>
      <c r="P104" s="15">
        <f t="shared" si="43"/>
        <v>347584.82509557361</v>
      </c>
      <c r="Q104" s="15">
        <f t="shared" si="33"/>
        <v>386517.77043368615</v>
      </c>
      <c r="R104" s="15">
        <f t="shared" si="34"/>
        <v>319.34871298177848</v>
      </c>
      <c r="S104" s="15" cm="1">
        <f t="array" ref="S104">Y104*tax_rate</f>
        <v>0</v>
      </c>
      <c r="T104" s="15">
        <f t="shared" si="44"/>
        <v>70590.954174231127</v>
      </c>
      <c r="U104" s="15">
        <f t="shared" si="35"/>
        <v>457108.72460791725</v>
      </c>
      <c r="V104" s="15"/>
      <c r="W104" s="144">
        <f t="shared" si="45"/>
        <v>0.22393209757024951</v>
      </c>
      <c r="X104" s="144" t="str">
        <f t="shared" ref="X104:X167" si="51">IF(V104=0,"",V104/U92)</f>
        <v/>
      </c>
      <c r="Y104" s="146"/>
      <c r="Z104" s="139">
        <f t="shared" si="36"/>
        <v>2798.8095021987369</v>
      </c>
      <c r="AA104" s="114">
        <v>77</v>
      </c>
      <c r="AB104" s="46">
        <f t="shared" si="46"/>
        <v>-2175.1980093332081</v>
      </c>
      <c r="AC104" s="47"/>
      <c r="AD104" s="47">
        <f t="shared" si="50"/>
        <v>4710.0402549228165</v>
      </c>
      <c r="AE104" s="86"/>
      <c r="AF104" s="140"/>
      <c r="AG104" s="140"/>
      <c r="AH104" s="140">
        <f t="shared" si="37"/>
        <v>413062.56887616165</v>
      </c>
      <c r="AI104" s="15"/>
      <c r="AJ104" s="9"/>
      <c r="AK104" s="9"/>
    </row>
    <row r="105" spans="2:37" ht="12" hidden="1" customHeight="1" outlineLevel="1" x14ac:dyDescent="0.25">
      <c r="B105" s="143" t="str">
        <f t="shared" si="38"/>
        <v/>
      </c>
      <c r="C105" s="15">
        <f t="shared" si="39"/>
        <v>737773.10850690596</v>
      </c>
      <c r="D105" s="15">
        <f t="shared" si="47"/>
        <v>3422.2468285431301</v>
      </c>
      <c r="E105" s="15">
        <f t="shared" si="48"/>
        <v>-418.5614386203074</v>
      </c>
      <c r="F105" s="15">
        <f t="shared" si="49"/>
        <v>-204.87588772408583</v>
      </c>
      <c r="G105" s="15">
        <f t="shared" si="40"/>
        <v>0</v>
      </c>
      <c r="H105" s="15">
        <v>0</v>
      </c>
      <c r="I105" s="15">
        <v>0</v>
      </c>
      <c r="J105" s="15">
        <v>0</v>
      </c>
      <c r="K105" s="15">
        <f t="shared" si="41"/>
        <v>-2622.054407072922</v>
      </c>
      <c r="L105" s="15">
        <f t="shared" si="42"/>
        <v>623.43732634439323</v>
      </c>
      <c r="M105" s="15">
        <f t="shared" si="30"/>
        <v>3245.4917334173151</v>
      </c>
      <c r="N105" s="15">
        <f t="shared" si="31"/>
        <v>524.2246007058643</v>
      </c>
      <c r="O105" s="15">
        <f t="shared" si="32"/>
        <v>2798.8095021987369</v>
      </c>
      <c r="P105" s="15">
        <f t="shared" si="43"/>
        <v>347135.17584534804</v>
      </c>
      <c r="Q105" s="15">
        <f t="shared" si="33"/>
        <v>390637.93266155792</v>
      </c>
      <c r="R105" s="15">
        <f t="shared" si="34"/>
        <v>319.34871298177848</v>
      </c>
      <c r="S105" s="15" cm="1">
        <f t="array" ref="S105">Y105*tax_rate</f>
        <v>0</v>
      </c>
      <c r="T105" s="15">
        <f t="shared" si="44"/>
        <v>71204.431862938873</v>
      </c>
      <c r="U105" s="15">
        <f t="shared" si="35"/>
        <v>461842.36452449678</v>
      </c>
      <c r="V105" s="15"/>
      <c r="W105" s="144">
        <f t="shared" si="45"/>
        <v>0.22270187357976556</v>
      </c>
      <c r="X105" s="144" t="str">
        <f t="shared" si="51"/>
        <v/>
      </c>
      <c r="Y105" s="146"/>
      <c r="Z105" s="139">
        <f t="shared" si="36"/>
        <v>2798.8095021987369</v>
      </c>
      <c r="AA105" s="114">
        <v>78</v>
      </c>
      <c r="AB105" s="46">
        <f t="shared" si="46"/>
        <v>-2172.4051568473351</v>
      </c>
      <c r="AC105" s="47"/>
      <c r="AD105" s="47">
        <f t="shared" si="50"/>
        <v>4733.6399165795301</v>
      </c>
      <c r="AE105" s="86"/>
      <c r="AF105" s="140"/>
      <c r="AG105" s="140"/>
      <c r="AH105" s="140">
        <f t="shared" si="37"/>
        <v>417575.97801408242</v>
      </c>
      <c r="AI105" s="15"/>
      <c r="AJ105" s="9"/>
      <c r="AK105" s="9"/>
    </row>
    <row r="106" spans="2:37" ht="12" hidden="1" customHeight="1" outlineLevel="1" x14ac:dyDescent="0.25">
      <c r="B106" s="143" t="str">
        <f t="shared" si="38"/>
        <v/>
      </c>
      <c r="C106" s="15">
        <f t="shared" si="39"/>
        <v>741461.97404944047</v>
      </c>
      <c r="D106" s="15">
        <f t="shared" si="47"/>
        <v>3422.2468285431301</v>
      </c>
      <c r="E106" s="15">
        <f t="shared" si="48"/>
        <v>-418.5614386203074</v>
      </c>
      <c r="F106" s="15">
        <f t="shared" si="49"/>
        <v>-204.87588772408583</v>
      </c>
      <c r="G106" s="15">
        <f t="shared" si="40"/>
        <v>0</v>
      </c>
      <c r="H106" s="15">
        <v>0</v>
      </c>
      <c r="I106" s="15">
        <v>0</v>
      </c>
      <c r="J106" s="15">
        <v>0</v>
      </c>
      <c r="K106" s="15">
        <f t="shared" si="41"/>
        <v>-2622.054407072922</v>
      </c>
      <c r="L106" s="15">
        <f t="shared" si="42"/>
        <v>623.43732634439323</v>
      </c>
      <c r="M106" s="15">
        <f t="shared" si="30"/>
        <v>3245.4917334173151</v>
      </c>
      <c r="N106" s="15">
        <f t="shared" si="31"/>
        <v>524.2246007058643</v>
      </c>
      <c r="O106" s="15">
        <f t="shared" si="32"/>
        <v>2798.8095021987369</v>
      </c>
      <c r="P106" s="15">
        <f t="shared" si="43"/>
        <v>346682.71628730855</v>
      </c>
      <c r="Q106" s="15">
        <f t="shared" si="33"/>
        <v>394779.25776213192</v>
      </c>
      <c r="R106" s="15">
        <f t="shared" si="34"/>
        <v>319.34871298177848</v>
      </c>
      <c r="S106" s="15" cm="1">
        <f t="array" ref="S106">Y106*tax_rate</f>
        <v>0</v>
      </c>
      <c r="T106" s="15">
        <f t="shared" si="44"/>
        <v>71820.465708682896</v>
      </c>
      <c r="U106" s="15">
        <f t="shared" si="35"/>
        <v>466599.72347081482</v>
      </c>
      <c r="V106" s="15"/>
      <c r="W106" s="144">
        <f t="shared" si="45"/>
        <v>0.22149392390479858</v>
      </c>
      <c r="X106" s="144" t="str">
        <f t="shared" si="51"/>
        <v/>
      </c>
      <c r="Y106" s="146"/>
      <c r="Z106" s="139">
        <f t="shared" si="36"/>
        <v>2798.8095021987369</v>
      </c>
      <c r="AA106" s="114">
        <v>79</v>
      </c>
      <c r="AB106" s="46">
        <f t="shared" si="46"/>
        <v>-2169.5948490334249</v>
      </c>
      <c r="AC106" s="47"/>
      <c r="AD106" s="47">
        <f t="shared" si="50"/>
        <v>4757.3589463180397</v>
      </c>
      <c r="AE106" s="86"/>
      <c r="AF106" s="140"/>
      <c r="AG106" s="140"/>
      <c r="AH106" s="140">
        <f t="shared" si="37"/>
        <v>422112.00502784841</v>
      </c>
      <c r="AI106" s="15"/>
      <c r="AJ106" s="9"/>
      <c r="AK106" s="9"/>
    </row>
    <row r="107" spans="2:37" ht="12" hidden="1" customHeight="1" outlineLevel="1" x14ac:dyDescent="0.25">
      <c r="B107" s="143" t="str">
        <f t="shared" si="38"/>
        <v/>
      </c>
      <c r="C107" s="15">
        <f t="shared" si="39"/>
        <v>745169.28391968762</v>
      </c>
      <c r="D107" s="15">
        <f t="shared" si="47"/>
        <v>3422.2468285431301</v>
      </c>
      <c r="E107" s="15">
        <f t="shared" si="48"/>
        <v>-418.5614386203074</v>
      </c>
      <c r="F107" s="15">
        <f t="shared" si="49"/>
        <v>-204.87588772408583</v>
      </c>
      <c r="G107" s="15">
        <f t="shared" si="40"/>
        <v>0</v>
      </c>
      <c r="H107" s="15">
        <v>0</v>
      </c>
      <c r="I107" s="15">
        <v>0</v>
      </c>
      <c r="J107" s="15">
        <v>0</v>
      </c>
      <c r="K107" s="15">
        <f t="shared" si="41"/>
        <v>-2622.054407072922</v>
      </c>
      <c r="L107" s="15">
        <f t="shared" si="42"/>
        <v>623.43732634439323</v>
      </c>
      <c r="M107" s="15">
        <f t="shared" si="30"/>
        <v>3245.4917334173151</v>
      </c>
      <c r="N107" s="15">
        <f t="shared" si="31"/>
        <v>524.2246007058643</v>
      </c>
      <c r="O107" s="15">
        <f t="shared" si="32"/>
        <v>2798.8095021987369</v>
      </c>
      <c r="P107" s="15">
        <f t="shared" si="43"/>
        <v>346227.42885703128</v>
      </c>
      <c r="Q107" s="15">
        <f t="shared" si="33"/>
        <v>398941.85506265634</v>
      </c>
      <c r="R107" s="15">
        <f t="shared" si="34"/>
        <v>319.34871298177848</v>
      </c>
      <c r="S107" s="15" cm="1">
        <f t="array" ref="S107">Y107*tax_rate</f>
        <v>0</v>
      </c>
      <c r="T107" s="15">
        <f t="shared" si="44"/>
        <v>72439.066362117519</v>
      </c>
      <c r="U107" s="15">
        <f t="shared" si="35"/>
        <v>471380.92142477387</v>
      </c>
      <c r="V107" s="15"/>
      <c r="W107" s="144">
        <f t="shared" si="45"/>
        <v>0.22030754987029444</v>
      </c>
      <c r="X107" s="144" t="str">
        <f t="shared" si="51"/>
        <v/>
      </c>
      <c r="Y107" s="146"/>
      <c r="Z107" s="139">
        <f t="shared" si="36"/>
        <v>2798.8095021987369</v>
      </c>
      <c r="AA107" s="114">
        <v>80</v>
      </c>
      <c r="AB107" s="46">
        <f t="shared" si="46"/>
        <v>-2166.7669767956781</v>
      </c>
      <c r="AC107" s="47"/>
      <c r="AD107" s="47">
        <f t="shared" si="50"/>
        <v>4781.1979539590538</v>
      </c>
      <c r="AE107" s="86"/>
      <c r="AF107" s="140"/>
      <c r="AG107" s="140"/>
      <c r="AH107" s="140">
        <f t="shared" si="37"/>
        <v>426670.76438959263</v>
      </c>
      <c r="AI107" s="15"/>
      <c r="AJ107" s="9"/>
      <c r="AK107" s="9"/>
    </row>
    <row r="108" spans="2:37" ht="12" hidden="1" customHeight="1" outlineLevel="1" x14ac:dyDescent="0.25">
      <c r="B108" s="143" t="str">
        <f t="shared" si="38"/>
        <v/>
      </c>
      <c r="C108" s="15">
        <f t="shared" si="39"/>
        <v>748895.13033928594</v>
      </c>
      <c r="D108" s="15">
        <f t="shared" si="47"/>
        <v>3422.2468285431301</v>
      </c>
      <c r="E108" s="15">
        <f t="shared" si="48"/>
        <v>-418.5614386203074</v>
      </c>
      <c r="F108" s="15">
        <f t="shared" si="49"/>
        <v>-204.87588772408583</v>
      </c>
      <c r="G108" s="15">
        <f t="shared" si="40"/>
        <v>0</v>
      </c>
      <c r="H108" s="15">
        <v>0</v>
      </c>
      <c r="I108" s="15">
        <v>0</v>
      </c>
      <c r="J108" s="15">
        <v>0</v>
      </c>
      <c r="K108" s="15">
        <f t="shared" si="41"/>
        <v>-2622.054407072922</v>
      </c>
      <c r="L108" s="15">
        <f t="shared" si="42"/>
        <v>623.43732634439323</v>
      </c>
      <c r="M108" s="15">
        <f t="shared" si="30"/>
        <v>3245.4917334173151</v>
      </c>
      <c r="N108" s="15">
        <f t="shared" si="31"/>
        <v>524.2246007058643</v>
      </c>
      <c r="O108" s="15">
        <f t="shared" si="32"/>
        <v>2798.8095021987369</v>
      </c>
      <c r="P108" s="15">
        <f t="shared" si="43"/>
        <v>345769.29588031478</v>
      </c>
      <c r="Q108" s="15">
        <f t="shared" si="33"/>
        <v>403125.83445897116</v>
      </c>
      <c r="R108" s="15">
        <f t="shared" si="34"/>
        <v>319.34871298177848</v>
      </c>
      <c r="S108" s="15" cm="1">
        <f t="array" ref="S108">Y108*tax_rate</f>
        <v>0</v>
      </c>
      <c r="T108" s="15">
        <f t="shared" si="44"/>
        <v>73060.244518274791</v>
      </c>
      <c r="U108" s="15">
        <f t="shared" si="35"/>
        <v>476186.07897724595</v>
      </c>
      <c r="V108" s="15"/>
      <c r="W108" s="144">
        <f t="shared" si="45"/>
        <v>0.21914208442583175</v>
      </c>
      <c r="X108" s="144" t="str">
        <f t="shared" si="51"/>
        <v/>
      </c>
      <c r="Y108" s="146"/>
      <c r="Z108" s="139">
        <f t="shared" si="36"/>
        <v>2798.8095021987369</v>
      </c>
      <c r="AA108" s="114">
        <v>81</v>
      </c>
      <c r="AB108" s="46">
        <f t="shared" si="46"/>
        <v>-2163.9214303564454</v>
      </c>
      <c r="AC108" s="47"/>
      <c r="AD108" s="47">
        <f t="shared" si="50"/>
        <v>4805.1575524720829</v>
      </c>
      <c r="AE108" s="86"/>
      <c r="AF108" s="140"/>
      <c r="AG108" s="140"/>
      <c r="AH108" s="140">
        <f t="shared" si="37"/>
        <v>431252.37115688878</v>
      </c>
      <c r="AI108" s="15"/>
      <c r="AJ108" s="9"/>
      <c r="AK108" s="9"/>
    </row>
    <row r="109" spans="2:37" ht="12" hidden="1" customHeight="1" outlineLevel="1" x14ac:dyDescent="0.25">
      <c r="B109" s="143" t="str">
        <f t="shared" si="38"/>
        <v/>
      </c>
      <c r="C109" s="15">
        <f t="shared" si="39"/>
        <v>752639.60599098227</v>
      </c>
      <c r="D109" s="15">
        <f t="shared" si="47"/>
        <v>3422.2468285431301</v>
      </c>
      <c r="E109" s="15">
        <f t="shared" si="48"/>
        <v>-418.5614386203074</v>
      </c>
      <c r="F109" s="15">
        <f t="shared" si="49"/>
        <v>-204.87588772408583</v>
      </c>
      <c r="G109" s="15">
        <f t="shared" si="40"/>
        <v>0</v>
      </c>
      <c r="H109" s="15">
        <v>0</v>
      </c>
      <c r="I109" s="15">
        <v>0</v>
      </c>
      <c r="J109" s="15">
        <v>0</v>
      </c>
      <c r="K109" s="15">
        <f t="shared" si="41"/>
        <v>-2622.054407072922</v>
      </c>
      <c r="L109" s="15">
        <f t="shared" si="42"/>
        <v>623.43732634439323</v>
      </c>
      <c r="M109" s="15">
        <f t="shared" si="30"/>
        <v>3245.4917334173151</v>
      </c>
      <c r="N109" s="15">
        <f t="shared" si="31"/>
        <v>524.2246007058643</v>
      </c>
      <c r="O109" s="15">
        <f t="shared" si="32"/>
        <v>2798.8095021987369</v>
      </c>
      <c r="P109" s="15">
        <f t="shared" si="43"/>
        <v>345308.29957249382</v>
      </c>
      <c r="Q109" s="15">
        <f t="shared" si="33"/>
        <v>407331.30641848844</v>
      </c>
      <c r="R109" s="15">
        <f t="shared" si="34"/>
        <v>319.34871298177848</v>
      </c>
      <c r="S109" s="15" cm="1">
        <f t="array" ref="S109">Y109*tax_rate</f>
        <v>0</v>
      </c>
      <c r="T109" s="15">
        <f t="shared" si="44"/>
        <v>73684.010916749379</v>
      </c>
      <c r="U109" s="15">
        <f t="shared" si="35"/>
        <v>481015.31733523781</v>
      </c>
      <c r="V109" s="15"/>
      <c r="W109" s="144">
        <f t="shared" si="45"/>
        <v>0.21799689028995017</v>
      </c>
      <c r="X109" s="144" t="str">
        <f t="shared" si="51"/>
        <v/>
      </c>
      <c r="Y109" s="146"/>
      <c r="Z109" s="139">
        <f t="shared" si="36"/>
        <v>2798.8095021987369</v>
      </c>
      <c r="AA109" s="114">
        <v>82</v>
      </c>
      <c r="AB109" s="46">
        <f t="shared" si="46"/>
        <v>-2161.0580992519672</v>
      </c>
      <c r="AC109" s="47"/>
      <c r="AD109" s="47">
        <f t="shared" si="50"/>
        <v>4829.2383579918533</v>
      </c>
      <c r="AE109" s="86"/>
      <c r="AF109" s="140"/>
      <c r="AG109" s="140"/>
      <c r="AH109" s="140">
        <f t="shared" si="37"/>
        <v>435856.94097577885</v>
      </c>
      <c r="AI109" s="15"/>
      <c r="AJ109" s="9"/>
      <c r="AK109" s="9"/>
    </row>
    <row r="110" spans="2:37" ht="12" hidden="1" customHeight="1" outlineLevel="1" x14ac:dyDescent="0.25">
      <c r="B110" s="143" t="str">
        <f t="shared" si="38"/>
        <v/>
      </c>
      <c r="C110" s="15">
        <f t="shared" si="39"/>
        <v>756402.80402093707</v>
      </c>
      <c r="D110" s="15">
        <f t="shared" si="47"/>
        <v>3422.2468285431301</v>
      </c>
      <c r="E110" s="15">
        <f t="shared" si="48"/>
        <v>-418.5614386203074</v>
      </c>
      <c r="F110" s="15">
        <f t="shared" si="49"/>
        <v>-204.87588772408583</v>
      </c>
      <c r="G110" s="15">
        <f t="shared" si="40"/>
        <v>0</v>
      </c>
      <c r="H110" s="15">
        <v>0</v>
      </c>
      <c r="I110" s="15">
        <v>0</v>
      </c>
      <c r="J110" s="15">
        <v>0</v>
      </c>
      <c r="K110" s="15">
        <f t="shared" si="41"/>
        <v>-2622.054407072922</v>
      </c>
      <c r="L110" s="15">
        <f t="shared" si="42"/>
        <v>623.43732634439323</v>
      </c>
      <c r="M110" s="15">
        <f t="shared" si="30"/>
        <v>3245.4917334173151</v>
      </c>
      <c r="N110" s="15">
        <f t="shared" si="31"/>
        <v>524.2246007058643</v>
      </c>
      <c r="O110" s="15">
        <f t="shared" si="32"/>
        <v>2798.8095021987369</v>
      </c>
      <c r="P110" s="15">
        <f t="shared" si="43"/>
        <v>344844.42203774897</v>
      </c>
      <c r="Q110" s="15">
        <f t="shared" si="33"/>
        <v>411558.3819831881</v>
      </c>
      <c r="R110" s="15">
        <f t="shared" si="34"/>
        <v>319.34871298177848</v>
      </c>
      <c r="S110" s="15" cm="1">
        <f t="array" ref="S110">Y110*tax_rate</f>
        <v>0</v>
      </c>
      <c r="T110" s="15">
        <f t="shared" si="44"/>
        <v>74310.376341884286</v>
      </c>
      <c r="U110" s="15">
        <f t="shared" si="35"/>
        <v>485868.75832507235</v>
      </c>
      <c r="V110" s="15"/>
      <c r="W110" s="144">
        <f t="shared" si="45"/>
        <v>0.21687135822687356</v>
      </c>
      <c r="X110" s="144" t="str">
        <f t="shared" si="51"/>
        <v/>
      </c>
      <c r="Y110" s="146"/>
      <c r="Z110" s="139">
        <f t="shared" si="36"/>
        <v>2798.8095021987369</v>
      </c>
      <c r="AA110" s="114">
        <v>83</v>
      </c>
      <c r="AB110" s="46">
        <f t="shared" si="46"/>
        <v>-2158.1768723280861</v>
      </c>
      <c r="AC110" s="47"/>
      <c r="AD110" s="47">
        <f t="shared" si="50"/>
        <v>4853.4409898345475</v>
      </c>
      <c r="AE110" s="86"/>
      <c r="AF110" s="140"/>
      <c r="AG110" s="140"/>
      <c r="AH110" s="140">
        <f t="shared" si="37"/>
        <v>440484.59008381615</v>
      </c>
      <c r="AI110" s="15"/>
      <c r="AJ110" s="9"/>
      <c r="AK110" s="9"/>
    </row>
    <row r="111" spans="2:37" ht="15" customHeight="1" collapsed="1" x14ac:dyDescent="0.25">
      <c r="B111" s="143">
        <f t="shared" si="38"/>
        <v>7</v>
      </c>
      <c r="C111" s="15">
        <f t="shared" si="39"/>
        <v>760184.81804104173</v>
      </c>
      <c r="D111" s="15">
        <f t="shared" si="47"/>
        <v>3422.2468285431301</v>
      </c>
      <c r="E111" s="15">
        <f t="shared" si="48"/>
        <v>-418.5614386203074</v>
      </c>
      <c r="F111" s="15">
        <f t="shared" si="49"/>
        <v>-204.87588772408583</v>
      </c>
      <c r="G111" s="15">
        <f t="shared" si="40"/>
        <v>0</v>
      </c>
      <c r="H111" s="15">
        <v>0</v>
      </c>
      <c r="I111" s="15">
        <v>0</v>
      </c>
      <c r="J111" s="15">
        <v>0</v>
      </c>
      <c r="K111" s="15">
        <f t="shared" si="41"/>
        <v>-2622.054407072922</v>
      </c>
      <c r="L111" s="15">
        <f t="shared" si="42"/>
        <v>623.43732634439323</v>
      </c>
      <c r="M111" s="15">
        <f t="shared" si="30"/>
        <v>3245.4917334173151</v>
      </c>
      <c r="N111" s="15">
        <f t="shared" si="31"/>
        <v>524.2246007058643</v>
      </c>
      <c r="O111" s="15">
        <f t="shared" si="32"/>
        <v>2798.8095021987369</v>
      </c>
      <c r="P111" s="15">
        <f t="shared" si="43"/>
        <v>344377.64526841196</v>
      </c>
      <c r="Q111" s="15">
        <f t="shared" si="33"/>
        <v>415807.17277262977</v>
      </c>
      <c r="R111" s="15">
        <f t="shared" si="34"/>
        <v>319.34871298177848</v>
      </c>
      <c r="S111" s="15" cm="1">
        <f t="array" ref="S111">Y111*tax_rate</f>
        <v>10036.172536881793</v>
      </c>
      <c r="T111" s="15">
        <f t="shared" si="44"/>
        <v>84975.524159839057</v>
      </c>
      <c r="U111" s="15">
        <f t="shared" si="35"/>
        <v>500782.6969324688</v>
      </c>
      <c r="V111" s="15">
        <f>U111-U99</f>
        <v>66990.543175457511</v>
      </c>
      <c r="W111" s="144">
        <f t="shared" si="45"/>
        <v>0.21928607670892972</v>
      </c>
      <c r="X111" s="144">
        <f t="shared" si="51"/>
        <v>0.15443004811235536</v>
      </c>
      <c r="Y111" s="145">
        <f>(((Sale_Price*0.8)+Improvement_Costs+Closing_Costs_Total)/27.5)+(-E111*12)+-AC111</f>
        <v>45618.966076735422</v>
      </c>
      <c r="Z111" s="139">
        <f t="shared" si="36"/>
        <v>2798.8095021987369</v>
      </c>
      <c r="AA111" s="114">
        <v>84</v>
      </c>
      <c r="AB111" s="46">
        <f t="shared" si="46"/>
        <v>-2155.277637735931</v>
      </c>
      <c r="AC111" s="46">
        <f>SUM(AB100:AB111)</f>
        <v>-26050.774267837183</v>
      </c>
      <c r="AD111" s="47">
        <f t="shared" si="50"/>
        <v>14913.938607396442</v>
      </c>
      <c r="AE111" s="86">
        <f>D111*12</f>
        <v>41066.961942517562</v>
      </c>
      <c r="AF111" s="140"/>
      <c r="AG111" s="140">
        <f>R111*12</f>
        <v>3832.1845557813417</v>
      </c>
      <c r="AH111" s="140">
        <f t="shared" si="37"/>
        <v>455171.60785000632</v>
      </c>
      <c r="AI111" s="15">
        <f>AI99*(1+Comparison_Rate_of_Return)</f>
        <v>243589.63750000013</v>
      </c>
      <c r="AJ111" s="9"/>
      <c r="AK111" s="9"/>
    </row>
    <row r="112" spans="2:37" ht="12" hidden="1" customHeight="1" outlineLevel="1" x14ac:dyDescent="0.25">
      <c r="B112" s="143" t="str">
        <f t="shared" si="38"/>
        <v/>
      </c>
      <c r="C112" s="15">
        <f t="shared" si="39"/>
        <v>763985.74213124684</v>
      </c>
      <c r="D112" s="15">
        <f t="shared" si="47"/>
        <v>3542.0254675421393</v>
      </c>
      <c r="E112" s="15">
        <f t="shared" si="48"/>
        <v>-433.2110889720181</v>
      </c>
      <c r="F112" s="15">
        <f t="shared" si="49"/>
        <v>-212.04654379442883</v>
      </c>
      <c r="G112" s="15">
        <f t="shared" si="40"/>
        <v>0</v>
      </c>
      <c r="H112" s="15">
        <v>0</v>
      </c>
      <c r="I112" s="15">
        <v>0</v>
      </c>
      <c r="J112" s="15">
        <v>0</v>
      </c>
      <c r="K112" s="15">
        <f t="shared" si="41"/>
        <v>-2622.054407072922</v>
      </c>
      <c r="L112" s="15">
        <f t="shared" si="42"/>
        <v>645.25763276644693</v>
      </c>
      <c r="M112" s="15">
        <f t="shared" si="30"/>
        <v>3267.3120398393689</v>
      </c>
      <c r="N112" s="15">
        <f t="shared" si="31"/>
        <v>634.34436597812191</v>
      </c>
      <c r="O112" s="15">
        <f t="shared" si="32"/>
        <v>2896.7678347756923</v>
      </c>
      <c r="P112" s="15">
        <f t="shared" si="43"/>
        <v>343907.95114426658</v>
      </c>
      <c r="Q112" s="15">
        <f t="shared" si="33"/>
        <v>420077.79098698025</v>
      </c>
      <c r="R112" s="15">
        <f t="shared" si="34"/>
        <v>422.29782218369309</v>
      </c>
      <c r="S112" s="15" cm="1">
        <f t="array" ref="S112">Y112*tax_rate</f>
        <v>0</v>
      </c>
      <c r="T112" s="15">
        <f t="shared" si="44"/>
        <v>85751.886666022081</v>
      </c>
      <c r="U112" s="15">
        <f t="shared" si="35"/>
        <v>505829.67765300232</v>
      </c>
      <c r="V112" s="15"/>
      <c r="W112" s="144">
        <f t="shared" si="45"/>
        <v>0.21816868102496215</v>
      </c>
      <c r="X112" s="144" t="str">
        <f t="shared" si="51"/>
        <v/>
      </c>
      <c r="Y112" s="146"/>
      <c r="Z112" s="139">
        <f t="shared" si="36"/>
        <v>2896.7678347756923</v>
      </c>
      <c r="AA112" s="114">
        <v>85</v>
      </c>
      <c r="AB112" s="46">
        <f t="shared" si="46"/>
        <v>-2152.3602829275746</v>
      </c>
      <c r="AC112" s="47"/>
      <c r="AD112" s="47">
        <f t="shared" si="50"/>
        <v>5046.9807205335237</v>
      </c>
      <c r="AE112" s="86"/>
      <c r="AF112" s="140"/>
      <c r="AG112" s="140"/>
      <c r="AH112" s="140">
        <f t="shared" si="37"/>
        <v>459990.53312512749</v>
      </c>
      <c r="AI112" s="15"/>
      <c r="AJ112" s="9"/>
      <c r="AK112" s="9"/>
    </row>
    <row r="113" spans="2:37" ht="12" hidden="1" customHeight="1" outlineLevel="1" x14ac:dyDescent="0.25">
      <c r="B113" s="143" t="str">
        <f t="shared" si="38"/>
        <v/>
      </c>
      <c r="C113" s="15">
        <f t="shared" si="39"/>
        <v>767805.67084190296</v>
      </c>
      <c r="D113" s="15">
        <f t="shared" si="47"/>
        <v>3542.0254675421393</v>
      </c>
      <c r="E113" s="15">
        <f t="shared" si="48"/>
        <v>-433.2110889720181</v>
      </c>
      <c r="F113" s="15">
        <f t="shared" si="49"/>
        <v>-212.04654379442883</v>
      </c>
      <c r="G113" s="15">
        <f t="shared" si="40"/>
        <v>0</v>
      </c>
      <c r="H113" s="15">
        <v>0</v>
      </c>
      <c r="I113" s="15">
        <v>0</v>
      </c>
      <c r="J113" s="15">
        <v>0</v>
      </c>
      <c r="K113" s="15">
        <f t="shared" si="41"/>
        <v>-2622.054407072922</v>
      </c>
      <c r="L113" s="15">
        <f t="shared" si="42"/>
        <v>645.25763276644693</v>
      </c>
      <c r="M113" s="15">
        <f t="shared" si="30"/>
        <v>3267.3120398393689</v>
      </c>
      <c r="N113" s="15">
        <f t="shared" si="31"/>
        <v>634.34436597812191</v>
      </c>
      <c r="O113" s="15">
        <f t="shared" si="32"/>
        <v>2896.7678347756923</v>
      </c>
      <c r="P113" s="15">
        <f t="shared" si="43"/>
        <v>343435.32143184531</v>
      </c>
      <c r="Q113" s="15">
        <f t="shared" si="33"/>
        <v>424370.34941005765</v>
      </c>
      <c r="R113" s="15">
        <f t="shared" si="34"/>
        <v>422.29782218369309</v>
      </c>
      <c r="S113" s="15" cm="1">
        <f t="array" ref="S113">Y113*tax_rate</f>
        <v>0</v>
      </c>
      <c r="T113" s="15">
        <f t="shared" si="44"/>
        <v>86531.484015980866</v>
      </c>
      <c r="U113" s="15">
        <f t="shared" si="35"/>
        <v>510901.8334260385</v>
      </c>
      <c r="V113" s="15"/>
      <c r="W113" s="144">
        <f t="shared" si="45"/>
        <v>0.21706972091730303</v>
      </c>
      <c r="X113" s="144" t="str">
        <f t="shared" si="51"/>
        <v/>
      </c>
      <c r="Y113" s="146"/>
      <c r="Z113" s="139">
        <f t="shared" si="36"/>
        <v>2896.7678347756923</v>
      </c>
      <c r="AA113" s="114">
        <v>86</v>
      </c>
      <c r="AB113" s="46">
        <f t="shared" si="46"/>
        <v>-2149.424694651666</v>
      </c>
      <c r="AC113" s="47"/>
      <c r="AD113" s="47">
        <f t="shared" si="50"/>
        <v>5072.1557730361819</v>
      </c>
      <c r="AE113" s="86"/>
      <c r="AF113" s="140"/>
      <c r="AG113" s="140"/>
      <c r="AH113" s="140">
        <f t="shared" si="37"/>
        <v>464833.49317552435</v>
      </c>
      <c r="AI113" s="15"/>
      <c r="AJ113" s="9"/>
      <c r="AK113" s="9"/>
    </row>
    <row r="114" spans="2:37" ht="12" hidden="1" customHeight="1" outlineLevel="1" x14ac:dyDescent="0.25">
      <c r="B114" s="143" t="str">
        <f t="shared" si="38"/>
        <v/>
      </c>
      <c r="C114" s="15">
        <f t="shared" si="39"/>
        <v>771644.69919611234</v>
      </c>
      <c r="D114" s="15">
        <f t="shared" si="47"/>
        <v>3542.0254675421393</v>
      </c>
      <c r="E114" s="15">
        <f t="shared" si="48"/>
        <v>-433.2110889720181</v>
      </c>
      <c r="F114" s="15">
        <f t="shared" si="49"/>
        <v>-212.04654379442883</v>
      </c>
      <c r="G114" s="15">
        <f t="shared" si="40"/>
        <v>0</v>
      </c>
      <c r="H114" s="15">
        <v>0</v>
      </c>
      <c r="I114" s="15">
        <v>0</v>
      </c>
      <c r="J114" s="15">
        <v>0</v>
      </c>
      <c r="K114" s="15">
        <f t="shared" si="41"/>
        <v>-2622.054407072922</v>
      </c>
      <c r="L114" s="15">
        <f t="shared" si="42"/>
        <v>645.25763276644693</v>
      </c>
      <c r="M114" s="15">
        <f t="shared" si="30"/>
        <v>3267.3120398393689</v>
      </c>
      <c r="N114" s="15">
        <f t="shared" si="31"/>
        <v>634.34436597812191</v>
      </c>
      <c r="O114" s="15">
        <f t="shared" si="32"/>
        <v>2896.7678347756923</v>
      </c>
      <c r="P114" s="15">
        <f t="shared" si="43"/>
        <v>342959.73778372142</v>
      </c>
      <c r="Q114" s="15">
        <f t="shared" si="33"/>
        <v>428684.96141239093</v>
      </c>
      <c r="R114" s="15">
        <f t="shared" si="34"/>
        <v>422.29782218369309</v>
      </c>
      <c r="S114" s="15" cm="1">
        <f t="array" ref="S114">Y114*tax_rate</f>
        <v>0</v>
      </c>
      <c r="T114" s="15">
        <f t="shared" si="44"/>
        <v>87314.329688231155</v>
      </c>
      <c r="U114" s="15">
        <f t="shared" si="35"/>
        <v>515999.2911006221</v>
      </c>
      <c r="V114" s="15"/>
      <c r="W114" s="144">
        <f t="shared" si="45"/>
        <v>0.21598867425364984</v>
      </c>
      <c r="X114" s="144" t="str">
        <f t="shared" si="51"/>
        <v/>
      </c>
      <c r="Y114" s="146"/>
      <c r="Z114" s="139">
        <f t="shared" si="36"/>
        <v>2896.7678347756923</v>
      </c>
      <c r="AA114" s="114">
        <v>87</v>
      </c>
      <c r="AB114" s="46">
        <f t="shared" si="46"/>
        <v>-2146.4707589490331</v>
      </c>
      <c r="AC114" s="47"/>
      <c r="AD114" s="47">
        <f t="shared" si="50"/>
        <v>5097.4576745835948</v>
      </c>
      <c r="AE114" s="86"/>
      <c r="AF114" s="140"/>
      <c r="AG114" s="140"/>
      <c r="AH114" s="140">
        <f t="shared" si="37"/>
        <v>469700.60914885538</v>
      </c>
      <c r="AI114" s="15"/>
      <c r="AJ114" s="9"/>
      <c r="AK114" s="9"/>
    </row>
    <row r="115" spans="2:37" ht="12" hidden="1" customHeight="1" outlineLevel="1" x14ac:dyDescent="0.25">
      <c r="B115" s="143" t="str">
        <f t="shared" si="38"/>
        <v/>
      </c>
      <c r="C115" s="15">
        <f t="shared" si="39"/>
        <v>775502.92269209283</v>
      </c>
      <c r="D115" s="15">
        <f t="shared" si="47"/>
        <v>3542.0254675421393</v>
      </c>
      <c r="E115" s="15">
        <f t="shared" si="48"/>
        <v>-433.2110889720181</v>
      </c>
      <c r="F115" s="15">
        <f t="shared" si="49"/>
        <v>-212.04654379442883</v>
      </c>
      <c r="G115" s="15">
        <f t="shared" si="40"/>
        <v>0</v>
      </c>
      <c r="H115" s="15">
        <v>0</v>
      </c>
      <c r="I115" s="15">
        <v>0</v>
      </c>
      <c r="J115" s="15">
        <v>0</v>
      </c>
      <c r="K115" s="15">
        <f t="shared" si="41"/>
        <v>-2622.054407072922</v>
      </c>
      <c r="L115" s="15">
        <f t="shared" si="42"/>
        <v>645.25763276644693</v>
      </c>
      <c r="M115" s="15">
        <f t="shared" si="30"/>
        <v>3267.3120398393689</v>
      </c>
      <c r="N115" s="15">
        <f t="shared" si="31"/>
        <v>634.34436597812191</v>
      </c>
      <c r="O115" s="15">
        <f t="shared" si="32"/>
        <v>2896.7678347756923</v>
      </c>
      <c r="P115" s="15">
        <f t="shared" si="43"/>
        <v>342481.18173779675</v>
      </c>
      <c r="Q115" s="15">
        <f t="shared" si="33"/>
        <v>433021.74095429608</v>
      </c>
      <c r="R115" s="15">
        <f t="shared" si="34"/>
        <v>422.29782218369309</v>
      </c>
      <c r="S115" s="15" cm="1">
        <f t="array" ref="S115">Y115*tax_rate</f>
        <v>0</v>
      </c>
      <c r="T115" s="15">
        <f t="shared" si="44"/>
        <v>88100.437217449144</v>
      </c>
      <c r="U115" s="15">
        <f t="shared" si="35"/>
        <v>521122.17817174521</v>
      </c>
      <c r="V115" s="15"/>
      <c r="W115" s="144">
        <f t="shared" si="45"/>
        <v>0.21492504026871265</v>
      </c>
      <c r="X115" s="144" t="str">
        <f t="shared" si="51"/>
        <v/>
      </c>
      <c r="Y115" s="146"/>
      <c r="Z115" s="139">
        <f t="shared" si="36"/>
        <v>2896.7678347756923</v>
      </c>
      <c r="AA115" s="114">
        <v>88</v>
      </c>
      <c r="AB115" s="46">
        <f t="shared" si="46"/>
        <v>-2143.4983611482585</v>
      </c>
      <c r="AC115" s="47"/>
      <c r="AD115" s="47">
        <f t="shared" si="50"/>
        <v>5122.8870711231139</v>
      </c>
      <c r="AE115" s="86"/>
      <c r="AF115" s="140"/>
      <c r="AG115" s="140"/>
      <c r="AH115" s="140">
        <f t="shared" si="37"/>
        <v>474592.00281021965</v>
      </c>
      <c r="AI115" s="15"/>
      <c r="AJ115" s="9"/>
      <c r="AK115" s="9"/>
    </row>
    <row r="116" spans="2:37" ht="12" hidden="1" customHeight="1" outlineLevel="1" x14ac:dyDescent="0.25">
      <c r="B116" s="143" t="str">
        <f t="shared" si="38"/>
        <v/>
      </c>
      <c r="C116" s="15">
        <f t="shared" si="39"/>
        <v>779380.43730555323</v>
      </c>
      <c r="D116" s="15">
        <f t="shared" si="47"/>
        <v>3542.0254675421393</v>
      </c>
      <c r="E116" s="15">
        <f t="shared" si="48"/>
        <v>-433.2110889720181</v>
      </c>
      <c r="F116" s="15">
        <f t="shared" si="49"/>
        <v>-212.04654379442883</v>
      </c>
      <c r="G116" s="15">
        <f t="shared" si="40"/>
        <v>0</v>
      </c>
      <c r="H116" s="15">
        <v>0</v>
      </c>
      <c r="I116" s="15">
        <v>0</v>
      </c>
      <c r="J116" s="15">
        <v>0</v>
      </c>
      <c r="K116" s="15">
        <f t="shared" si="41"/>
        <v>-2622.054407072922</v>
      </c>
      <c r="L116" s="15">
        <f t="shared" si="42"/>
        <v>645.25763276644693</v>
      </c>
      <c r="M116" s="15">
        <f t="shared" si="30"/>
        <v>3267.3120398393689</v>
      </c>
      <c r="N116" s="15">
        <f t="shared" si="31"/>
        <v>634.34436597812191</v>
      </c>
      <c r="O116" s="15">
        <f t="shared" si="32"/>
        <v>2896.7678347756923</v>
      </c>
      <c r="P116" s="15">
        <f t="shared" si="43"/>
        <v>341999.63471658505</v>
      </c>
      <c r="Q116" s="15">
        <f t="shared" si="33"/>
        <v>437380.80258896819</v>
      </c>
      <c r="R116" s="15">
        <f t="shared" si="34"/>
        <v>422.29782218369309</v>
      </c>
      <c r="S116" s="15" cm="1">
        <f t="array" ref="S116">Y116*tax_rate</f>
        <v>0</v>
      </c>
      <c r="T116" s="15">
        <f t="shared" si="44"/>
        <v>88889.82019470555</v>
      </c>
      <c r="U116" s="15">
        <f t="shared" si="35"/>
        <v>526270.62278367369</v>
      </c>
      <c r="V116" s="15"/>
      <c r="W116" s="144">
        <f t="shared" si="45"/>
        <v>0.21387833842524134</v>
      </c>
      <c r="X116" s="144" t="str">
        <f t="shared" si="51"/>
        <v/>
      </c>
      <c r="Y116" s="146"/>
      <c r="Z116" s="139">
        <f t="shared" si="36"/>
        <v>2896.7678347756923</v>
      </c>
      <c r="AA116" s="114">
        <v>89</v>
      </c>
      <c r="AB116" s="46">
        <f t="shared" si="46"/>
        <v>-2140.5073858612295</v>
      </c>
      <c r="AC116" s="47"/>
      <c r="AD116" s="47">
        <f t="shared" si="50"/>
        <v>5148.4446119284839</v>
      </c>
      <c r="AE116" s="86"/>
      <c r="AF116" s="140"/>
      <c r="AG116" s="140"/>
      <c r="AH116" s="140">
        <f t="shared" si="37"/>
        <v>479507.7965453405</v>
      </c>
      <c r="AI116" s="15"/>
      <c r="AJ116" s="9"/>
      <c r="AK116" s="9"/>
    </row>
    <row r="117" spans="2:37" ht="12" hidden="1" customHeight="1" outlineLevel="1" x14ac:dyDescent="0.25">
      <c r="B117" s="143" t="str">
        <f t="shared" si="38"/>
        <v/>
      </c>
      <c r="C117" s="15">
        <f t="shared" si="39"/>
        <v>783277.33949208097</v>
      </c>
      <c r="D117" s="15">
        <f t="shared" si="47"/>
        <v>3542.0254675421393</v>
      </c>
      <c r="E117" s="15">
        <f t="shared" si="48"/>
        <v>-433.2110889720181</v>
      </c>
      <c r="F117" s="15">
        <f t="shared" si="49"/>
        <v>-212.04654379442883</v>
      </c>
      <c r="G117" s="15">
        <f t="shared" si="40"/>
        <v>0</v>
      </c>
      <c r="H117" s="15">
        <v>0</v>
      </c>
      <c r="I117" s="15">
        <v>0</v>
      </c>
      <c r="J117" s="15">
        <v>0</v>
      </c>
      <c r="K117" s="15">
        <f t="shared" si="41"/>
        <v>-2622.054407072922</v>
      </c>
      <c r="L117" s="15">
        <f t="shared" si="42"/>
        <v>645.25763276644693</v>
      </c>
      <c r="M117" s="15">
        <f t="shared" si="30"/>
        <v>3267.3120398393689</v>
      </c>
      <c r="N117" s="15">
        <f t="shared" si="31"/>
        <v>634.34436597812191</v>
      </c>
      <c r="O117" s="15">
        <f t="shared" si="32"/>
        <v>2896.7678347756923</v>
      </c>
      <c r="P117" s="15">
        <f t="shared" si="43"/>
        <v>341515.07802649075</v>
      </c>
      <c r="Q117" s="15">
        <f t="shared" si="33"/>
        <v>441762.26146559021</v>
      </c>
      <c r="R117" s="15">
        <f t="shared" si="34"/>
        <v>422.29782218369309</v>
      </c>
      <c r="S117" s="15" cm="1">
        <f t="array" ref="S117">Y117*tax_rate</f>
        <v>0</v>
      </c>
      <c r="T117" s="15">
        <f t="shared" si="44"/>
        <v>89682.492267700523</v>
      </c>
      <c r="U117" s="15">
        <f t="shared" si="35"/>
        <v>531444.75373329071</v>
      </c>
      <c r="V117" s="15"/>
      <c r="W117" s="144">
        <f t="shared" si="45"/>
        <v>0.21284810734924051</v>
      </c>
      <c r="X117" s="144" t="str">
        <f t="shared" si="51"/>
        <v/>
      </c>
      <c r="Y117" s="146"/>
      <c r="Z117" s="139">
        <f t="shared" si="36"/>
        <v>2896.7678347756923</v>
      </c>
      <c r="AA117" s="114">
        <v>90</v>
      </c>
      <c r="AB117" s="46">
        <f t="shared" si="46"/>
        <v>-2137.4977169786562</v>
      </c>
      <c r="AC117" s="47"/>
      <c r="AD117" s="47">
        <f t="shared" si="50"/>
        <v>5174.1309496170143</v>
      </c>
      <c r="AE117" s="86"/>
      <c r="AF117" s="140"/>
      <c r="AG117" s="140"/>
      <c r="AH117" s="140">
        <f t="shared" si="37"/>
        <v>484448.11336376588</v>
      </c>
      <c r="AI117" s="15"/>
      <c r="AJ117" s="9"/>
      <c r="AK117" s="9"/>
    </row>
    <row r="118" spans="2:37" ht="12" hidden="1" customHeight="1" outlineLevel="1" x14ac:dyDescent="0.25">
      <c r="B118" s="143" t="str">
        <f t="shared" si="38"/>
        <v/>
      </c>
      <c r="C118" s="15">
        <f t="shared" si="39"/>
        <v>787193.72618954128</v>
      </c>
      <c r="D118" s="15">
        <f t="shared" si="47"/>
        <v>3542.0254675421393</v>
      </c>
      <c r="E118" s="15">
        <f t="shared" si="48"/>
        <v>-433.2110889720181</v>
      </c>
      <c r="F118" s="15">
        <f t="shared" si="49"/>
        <v>-212.04654379442883</v>
      </c>
      <c r="G118" s="15">
        <f t="shared" si="40"/>
        <v>0</v>
      </c>
      <c r="H118" s="15">
        <v>0</v>
      </c>
      <c r="I118" s="15">
        <v>0</v>
      </c>
      <c r="J118" s="15">
        <v>0</v>
      </c>
      <c r="K118" s="15">
        <f t="shared" si="41"/>
        <v>-2622.054407072922</v>
      </c>
      <c r="L118" s="15">
        <f t="shared" si="42"/>
        <v>645.25763276644693</v>
      </c>
      <c r="M118" s="15">
        <f t="shared" si="30"/>
        <v>3267.3120398393689</v>
      </c>
      <c r="N118" s="15">
        <f t="shared" si="31"/>
        <v>634.34436597812191</v>
      </c>
      <c r="O118" s="15">
        <f t="shared" si="32"/>
        <v>2896.7678347756923</v>
      </c>
      <c r="P118" s="15">
        <f t="shared" si="43"/>
        <v>341027.49285708339</v>
      </c>
      <c r="Q118" s="15">
        <f t="shared" si="33"/>
        <v>446166.23333245789</v>
      </c>
      <c r="R118" s="15">
        <f t="shared" si="34"/>
        <v>422.29782218369309</v>
      </c>
      <c r="S118" s="15" cm="1">
        <f t="array" ref="S118">Y118*tax_rate</f>
        <v>0</v>
      </c>
      <c r="T118" s="15">
        <f t="shared" si="44"/>
        <v>90478.467140999637</v>
      </c>
      <c r="U118" s="15">
        <f t="shared" si="35"/>
        <v>536644.70047345757</v>
      </c>
      <c r="V118" s="15"/>
      <c r="W118" s="144">
        <f t="shared" si="45"/>
        <v>0.21183390383370104</v>
      </c>
      <c r="X118" s="144" t="str">
        <f t="shared" si="51"/>
        <v/>
      </c>
      <c r="Y118" s="146"/>
      <c r="Z118" s="139">
        <f t="shared" si="36"/>
        <v>2896.7678347756923</v>
      </c>
      <c r="AA118" s="114">
        <v>91</v>
      </c>
      <c r="AB118" s="46">
        <f t="shared" si="46"/>
        <v>-2134.4692376655671</v>
      </c>
      <c r="AC118" s="47"/>
      <c r="AD118" s="47">
        <f t="shared" si="50"/>
        <v>5199.9467401668662</v>
      </c>
      <c r="AE118" s="86"/>
      <c r="AF118" s="140"/>
      <c r="AG118" s="140"/>
      <c r="AH118" s="140">
        <f t="shared" si="37"/>
        <v>489413.0769020851</v>
      </c>
      <c r="AI118" s="15"/>
      <c r="AJ118" s="9"/>
      <c r="AK118" s="9"/>
    </row>
    <row r="119" spans="2:37" ht="12" hidden="1" customHeight="1" outlineLevel="1" x14ac:dyDescent="0.25">
      <c r="B119" s="143" t="str">
        <f t="shared" si="38"/>
        <v/>
      </c>
      <c r="C119" s="15">
        <f t="shared" si="39"/>
        <v>791129.69482048892</v>
      </c>
      <c r="D119" s="15">
        <f t="shared" si="47"/>
        <v>3542.0254675421393</v>
      </c>
      <c r="E119" s="15">
        <f t="shared" si="48"/>
        <v>-433.2110889720181</v>
      </c>
      <c r="F119" s="15">
        <f t="shared" si="49"/>
        <v>-212.04654379442883</v>
      </c>
      <c r="G119" s="15">
        <f t="shared" si="40"/>
        <v>0</v>
      </c>
      <c r="H119" s="15">
        <v>0</v>
      </c>
      <c r="I119" s="15">
        <v>0</v>
      </c>
      <c r="J119" s="15">
        <v>0</v>
      </c>
      <c r="K119" s="15">
        <f t="shared" si="41"/>
        <v>-2622.054407072922</v>
      </c>
      <c r="L119" s="15">
        <f t="shared" si="42"/>
        <v>645.25763276644693</v>
      </c>
      <c r="M119" s="15">
        <f t="shared" si="30"/>
        <v>3267.3120398393689</v>
      </c>
      <c r="N119" s="15">
        <f t="shared" si="31"/>
        <v>634.34436597812191</v>
      </c>
      <c r="O119" s="15">
        <f t="shared" si="32"/>
        <v>2896.7678347756923</v>
      </c>
      <c r="P119" s="15">
        <f t="shared" si="43"/>
        <v>340536.86028036725</v>
      </c>
      <c r="Q119" s="15">
        <f t="shared" si="33"/>
        <v>450592.83454012166</v>
      </c>
      <c r="R119" s="15">
        <f t="shared" si="34"/>
        <v>422.29782218369309</v>
      </c>
      <c r="S119" s="15" cm="1">
        <f t="array" ref="S119">Y119*tax_rate</f>
        <v>0</v>
      </c>
      <c r="T119" s="15">
        <f t="shared" si="44"/>
        <v>91277.758576270833</v>
      </c>
      <c r="U119" s="15">
        <f t="shared" si="35"/>
        <v>541870.5931163925</v>
      </c>
      <c r="V119" s="15"/>
      <c r="W119" s="144">
        <f t="shared" si="45"/>
        <v>0.21083530190568098</v>
      </c>
      <c r="X119" s="144" t="str">
        <f t="shared" si="51"/>
        <v/>
      </c>
      <c r="Y119" s="146"/>
      <c r="Z119" s="139">
        <f t="shared" si="36"/>
        <v>2896.7678347756923</v>
      </c>
      <c r="AA119" s="114">
        <v>92</v>
      </c>
      <c r="AB119" s="46">
        <f t="shared" si="46"/>
        <v>-2131.4218303567709</v>
      </c>
      <c r="AC119" s="47"/>
      <c r="AD119" s="47">
        <f t="shared" si="50"/>
        <v>5225.8926429349231</v>
      </c>
      <c r="AE119" s="86"/>
      <c r="AF119" s="140"/>
      <c r="AG119" s="140"/>
      <c r="AH119" s="140">
        <f t="shared" si="37"/>
        <v>494402.81142716319</v>
      </c>
      <c r="AI119" s="15"/>
      <c r="AJ119" s="9"/>
      <c r="AK119" s="9"/>
    </row>
    <row r="120" spans="2:37" ht="12" hidden="1" customHeight="1" outlineLevel="1" x14ac:dyDescent="0.25">
      <c r="B120" s="143" t="str">
        <f t="shared" si="38"/>
        <v/>
      </c>
      <c r="C120" s="15">
        <f t="shared" si="39"/>
        <v>795085.34329459129</v>
      </c>
      <c r="D120" s="15">
        <f t="shared" si="47"/>
        <v>3542.0254675421393</v>
      </c>
      <c r="E120" s="15">
        <f t="shared" si="48"/>
        <v>-433.2110889720181</v>
      </c>
      <c r="F120" s="15">
        <f t="shared" si="49"/>
        <v>-212.04654379442883</v>
      </c>
      <c r="G120" s="15">
        <f t="shared" si="40"/>
        <v>0</v>
      </c>
      <c r="H120" s="15">
        <v>0</v>
      </c>
      <c r="I120" s="15">
        <v>0</v>
      </c>
      <c r="J120" s="15">
        <v>0</v>
      </c>
      <c r="K120" s="15">
        <f t="shared" si="41"/>
        <v>-2622.054407072922</v>
      </c>
      <c r="L120" s="15">
        <f t="shared" si="42"/>
        <v>645.25763276644693</v>
      </c>
      <c r="M120" s="15">
        <f t="shared" si="30"/>
        <v>3267.3120398393689</v>
      </c>
      <c r="N120" s="15">
        <f t="shared" si="31"/>
        <v>634.34436597812191</v>
      </c>
      <c r="O120" s="15">
        <f t="shared" si="32"/>
        <v>2896.7678347756923</v>
      </c>
      <c r="P120" s="15">
        <f t="shared" si="43"/>
        <v>340043.16125004663</v>
      </c>
      <c r="Q120" s="15">
        <f t="shared" si="33"/>
        <v>455042.18204454466</v>
      </c>
      <c r="R120" s="15">
        <f t="shared" si="34"/>
        <v>422.29782218369309</v>
      </c>
      <c r="S120" s="15" cm="1">
        <f t="array" ref="S120">Y120*tax_rate</f>
        <v>0</v>
      </c>
      <c r="T120" s="15">
        <f t="shared" si="44"/>
        <v>92080.380392522318</v>
      </c>
      <c r="U120" s="15">
        <f t="shared" si="35"/>
        <v>547122.56243706704</v>
      </c>
      <c r="V120" s="15"/>
      <c r="W120" s="144">
        <f t="shared" si="45"/>
        <v>0.20985189195200643</v>
      </c>
      <c r="X120" s="144" t="str">
        <f t="shared" si="51"/>
        <v/>
      </c>
      <c r="Y120" s="146"/>
      <c r="Z120" s="139">
        <f t="shared" si="36"/>
        <v>2896.7678347756923</v>
      </c>
      <c r="AA120" s="114">
        <v>93</v>
      </c>
      <c r="AB120" s="46">
        <f t="shared" si="46"/>
        <v>-2128.3553767522953</v>
      </c>
      <c r="AC120" s="47"/>
      <c r="AD120" s="47">
        <f t="shared" si="50"/>
        <v>5251.9693206745433</v>
      </c>
      <c r="AE120" s="86"/>
      <c r="AF120" s="140"/>
      <c r="AG120" s="140"/>
      <c r="AH120" s="140">
        <f t="shared" si="37"/>
        <v>499417.44183939154</v>
      </c>
      <c r="AI120" s="15"/>
      <c r="AJ120" s="9"/>
      <c r="AK120" s="9"/>
    </row>
    <row r="121" spans="2:37" ht="12" hidden="1" customHeight="1" outlineLevel="1" x14ac:dyDescent="0.25">
      <c r="B121" s="143" t="str">
        <f t="shared" si="38"/>
        <v/>
      </c>
      <c r="C121" s="15">
        <f t="shared" si="39"/>
        <v>799060.77001106413</v>
      </c>
      <c r="D121" s="15">
        <f t="shared" si="47"/>
        <v>3542.0254675421393</v>
      </c>
      <c r="E121" s="15">
        <f t="shared" si="48"/>
        <v>-433.2110889720181</v>
      </c>
      <c r="F121" s="15">
        <f t="shared" si="49"/>
        <v>-212.04654379442883</v>
      </c>
      <c r="G121" s="15">
        <f t="shared" si="40"/>
        <v>0</v>
      </c>
      <c r="H121" s="15">
        <v>0</v>
      </c>
      <c r="I121" s="15">
        <v>0</v>
      </c>
      <c r="J121" s="15">
        <v>0</v>
      </c>
      <c r="K121" s="15">
        <f t="shared" si="41"/>
        <v>-2622.054407072922</v>
      </c>
      <c r="L121" s="15">
        <f t="shared" si="42"/>
        <v>645.25763276644693</v>
      </c>
      <c r="M121" s="15">
        <f t="shared" si="30"/>
        <v>3267.3120398393689</v>
      </c>
      <c r="N121" s="15">
        <f t="shared" si="31"/>
        <v>634.34436597812191</v>
      </c>
      <c r="O121" s="15">
        <f t="shared" si="32"/>
        <v>2896.7678347756923</v>
      </c>
      <c r="P121" s="15">
        <f t="shared" si="43"/>
        <v>339546.37660078652</v>
      </c>
      <c r="Q121" s="15">
        <f t="shared" si="33"/>
        <v>459514.39341027761</v>
      </c>
      <c r="R121" s="15">
        <f t="shared" si="34"/>
        <v>422.29782218369309</v>
      </c>
      <c r="S121" s="15" cm="1">
        <f t="array" ref="S121">Y121*tax_rate</f>
        <v>0</v>
      </c>
      <c r="T121" s="15">
        <f t="shared" si="44"/>
        <v>92886.346466341522</v>
      </c>
      <c r="U121" s="15">
        <f t="shared" si="35"/>
        <v>552400.73987661907</v>
      </c>
      <c r="V121" s="15"/>
      <c r="W121" s="144">
        <f t="shared" si="45"/>
        <v>0.2088832798992668</v>
      </c>
      <c r="X121" s="144" t="str">
        <f t="shared" si="51"/>
        <v/>
      </c>
      <c r="Y121" s="146"/>
      <c r="Z121" s="139">
        <f t="shared" si="36"/>
        <v>2896.7678347756923</v>
      </c>
      <c r="AA121" s="114">
        <v>94</v>
      </c>
      <c r="AB121" s="46">
        <f t="shared" si="46"/>
        <v>-2125.2697578127913</v>
      </c>
      <c r="AC121" s="47"/>
      <c r="AD121" s="47">
        <f t="shared" si="50"/>
        <v>5278.1774395520333</v>
      </c>
      <c r="AE121" s="86"/>
      <c r="AF121" s="140"/>
      <c r="AG121" s="140"/>
      <c r="AH121" s="140">
        <f t="shared" si="37"/>
        <v>504457.0936759552</v>
      </c>
      <c r="AI121" s="15"/>
      <c r="AJ121" s="9"/>
      <c r="AK121" s="9"/>
    </row>
    <row r="122" spans="2:37" ht="12" hidden="1" customHeight="1" outlineLevel="1" x14ac:dyDescent="0.25">
      <c r="B122" s="143" t="str">
        <f t="shared" si="38"/>
        <v/>
      </c>
      <c r="C122" s="15">
        <f t="shared" si="39"/>
        <v>803056.07386111934</v>
      </c>
      <c r="D122" s="15">
        <f t="shared" si="47"/>
        <v>3542.0254675421393</v>
      </c>
      <c r="E122" s="15">
        <f t="shared" si="48"/>
        <v>-433.2110889720181</v>
      </c>
      <c r="F122" s="15">
        <f t="shared" si="49"/>
        <v>-212.04654379442883</v>
      </c>
      <c r="G122" s="15">
        <f t="shared" si="40"/>
        <v>0</v>
      </c>
      <c r="H122" s="15">
        <v>0</v>
      </c>
      <c r="I122" s="15">
        <v>0</v>
      </c>
      <c r="J122" s="15">
        <v>0</v>
      </c>
      <c r="K122" s="15">
        <f t="shared" si="41"/>
        <v>-2622.054407072922</v>
      </c>
      <c r="L122" s="15">
        <f t="shared" si="42"/>
        <v>645.25763276644693</v>
      </c>
      <c r="M122" s="15">
        <f t="shared" si="30"/>
        <v>3267.3120398393689</v>
      </c>
      <c r="N122" s="15">
        <f t="shared" si="31"/>
        <v>634.34436597812191</v>
      </c>
      <c r="O122" s="15">
        <f t="shared" si="32"/>
        <v>2896.7678347756923</v>
      </c>
      <c r="P122" s="15">
        <f t="shared" si="43"/>
        <v>339046.48704746849</v>
      </c>
      <c r="Q122" s="15">
        <f t="shared" si="33"/>
        <v>464009.58681365085</v>
      </c>
      <c r="R122" s="15">
        <f t="shared" si="34"/>
        <v>422.29782218369309</v>
      </c>
      <c r="S122" s="15" cm="1">
        <f t="array" ref="S122">Y122*tax_rate</f>
        <v>0</v>
      </c>
      <c r="T122" s="15">
        <f t="shared" si="44"/>
        <v>93695.670732134968</v>
      </c>
      <c r="U122" s="15">
        <f t="shared" si="35"/>
        <v>557705.25754578586</v>
      </c>
      <c r="V122" s="15"/>
      <c r="W122" s="144">
        <f t="shared" si="45"/>
        <v>0.20792908644414809</v>
      </c>
      <c r="X122" s="144" t="str">
        <f t="shared" si="51"/>
        <v/>
      </c>
      <c r="Y122" s="146"/>
      <c r="Z122" s="139">
        <f t="shared" si="36"/>
        <v>2896.7678347756923</v>
      </c>
      <c r="AA122" s="114">
        <v>95</v>
      </c>
      <c r="AB122" s="46">
        <f t="shared" si="46"/>
        <v>-2122.1648537549154</v>
      </c>
      <c r="AC122" s="47"/>
      <c r="AD122" s="47">
        <f t="shared" si="50"/>
        <v>5304.5176691667875</v>
      </c>
      <c r="AE122" s="86"/>
      <c r="AF122" s="140"/>
      <c r="AG122" s="140"/>
      <c r="AH122" s="140">
        <f t="shared" si="37"/>
        <v>509521.89311411872</v>
      </c>
      <c r="AI122" s="15"/>
      <c r="AJ122" s="9"/>
      <c r="AK122" s="9"/>
    </row>
    <row r="123" spans="2:37" ht="15" customHeight="1" collapsed="1" x14ac:dyDescent="0.25">
      <c r="B123" s="143">
        <f t="shared" si="38"/>
        <v>8</v>
      </c>
      <c r="C123" s="15">
        <f t="shared" si="39"/>
        <v>807071.35423042485</v>
      </c>
      <c r="D123" s="15">
        <f t="shared" si="47"/>
        <v>3542.0254675421393</v>
      </c>
      <c r="E123" s="15">
        <f t="shared" si="48"/>
        <v>-433.2110889720181</v>
      </c>
      <c r="F123" s="15">
        <f t="shared" si="49"/>
        <v>-212.04654379442883</v>
      </c>
      <c r="G123" s="15">
        <f t="shared" si="40"/>
        <v>0</v>
      </c>
      <c r="H123" s="15">
        <v>0</v>
      </c>
      <c r="I123" s="15">
        <v>0</v>
      </c>
      <c r="J123" s="15">
        <v>0</v>
      </c>
      <c r="K123" s="15">
        <f t="shared" si="41"/>
        <v>-2622.054407072922</v>
      </c>
      <c r="L123" s="15">
        <f t="shared" si="42"/>
        <v>645.25763276644693</v>
      </c>
      <c r="M123" s="15">
        <f t="shared" si="30"/>
        <v>3267.3120398393689</v>
      </c>
      <c r="N123" s="15">
        <f t="shared" si="31"/>
        <v>634.34436597812191</v>
      </c>
      <c r="O123" s="15">
        <f t="shared" si="32"/>
        <v>2896.7678347756923</v>
      </c>
      <c r="P123" s="15">
        <f t="shared" si="43"/>
        <v>338543.47318444226</v>
      </c>
      <c r="Q123" s="15">
        <f t="shared" si="33"/>
        <v>468527.88104598259</v>
      </c>
      <c r="R123" s="15">
        <f t="shared" si="34"/>
        <v>422.29782218369309</v>
      </c>
      <c r="S123" s="15" cm="1">
        <f t="array" ref="S123">Y123*tax_rate</f>
        <v>9982.383051085324</v>
      </c>
      <c r="T123" s="15">
        <f t="shared" si="44"/>
        <v>104490.75023345456</v>
      </c>
      <c r="U123" s="15">
        <f t="shared" si="35"/>
        <v>573018.6312794371</v>
      </c>
      <c r="V123" s="15">
        <f>U123-U111</f>
        <v>72235.934346968308</v>
      </c>
      <c r="W123" s="144">
        <f t="shared" si="45"/>
        <v>0.20964334719496736</v>
      </c>
      <c r="X123" s="144">
        <f t="shared" si="51"/>
        <v>0.14424606678594851</v>
      </c>
      <c r="Y123" s="145">
        <f>(((Sale_Price*0.8)+Improvement_Costs+Closing_Costs_Total)/27.5)+(-E123*12)+-AC123</f>
        <v>45374.468414024203</v>
      </c>
      <c r="Z123" s="139">
        <f t="shared" si="36"/>
        <v>2896.7678347756923</v>
      </c>
      <c r="AA123" s="114">
        <v>96</v>
      </c>
      <c r="AB123" s="46">
        <f t="shared" si="46"/>
        <v>-2119.040544046678</v>
      </c>
      <c r="AC123" s="46">
        <f>SUM(AB112:AB123)</f>
        <v>-25630.480800905436</v>
      </c>
      <c r="AD123" s="47">
        <f t="shared" si="50"/>
        <v>15313.373733651242</v>
      </c>
      <c r="AE123" s="86">
        <f>D123*12</f>
        <v>42504.305610505675</v>
      </c>
      <c r="AF123" s="140"/>
      <c r="AG123" s="140">
        <f>R123*12</f>
        <v>5067.5738662043168</v>
      </c>
      <c r="AH123" s="140">
        <f t="shared" si="37"/>
        <v>524594.35002561158</v>
      </c>
      <c r="AI123" s="15">
        <f>AI111*(1+Comparison_Rate_of_Return)</f>
        <v>267948.60125000018</v>
      </c>
      <c r="AJ123" s="9"/>
      <c r="AK123" s="9"/>
    </row>
    <row r="124" spans="2:37" ht="12" hidden="1" customHeight="1" outlineLevel="1" x14ac:dyDescent="0.25">
      <c r="B124" s="143" t="str">
        <f t="shared" si="38"/>
        <v/>
      </c>
      <c r="C124" s="15">
        <f t="shared" si="39"/>
        <v>811106.71100157686</v>
      </c>
      <c r="D124" s="15">
        <f t="shared" si="47"/>
        <v>3665.996358906114</v>
      </c>
      <c r="E124" s="15">
        <f t="shared" si="48"/>
        <v>-448.37347708603869</v>
      </c>
      <c r="F124" s="15">
        <f t="shared" si="49"/>
        <v>-219.46817282723381</v>
      </c>
      <c r="G124" s="15">
        <f t="shared" si="40"/>
        <v>0</v>
      </c>
      <c r="H124" s="15">
        <v>0</v>
      </c>
      <c r="I124" s="15">
        <v>0</v>
      </c>
      <c r="J124" s="15">
        <v>0</v>
      </c>
      <c r="K124" s="15">
        <f t="shared" si="41"/>
        <v>-2622.054407072922</v>
      </c>
      <c r="L124" s="15">
        <f t="shared" si="42"/>
        <v>667.84164991327248</v>
      </c>
      <c r="M124" s="15">
        <f t="shared" si="30"/>
        <v>3289.8960569861947</v>
      </c>
      <c r="N124" s="15">
        <f t="shared" si="31"/>
        <v>748.31832303490819</v>
      </c>
      <c r="O124" s="15">
        <f t="shared" si="32"/>
        <v>2998.1547089928413</v>
      </c>
      <c r="P124" s="15">
        <f t="shared" si="43"/>
        <v>338037.31548477209</v>
      </c>
      <c r="Q124" s="15">
        <f t="shared" si="33"/>
        <v>473069.39551680477</v>
      </c>
      <c r="R124" s="15">
        <f t="shared" si="34"/>
        <v>528.85015020767435</v>
      </c>
      <c r="S124" s="15" cm="1">
        <f t="array" ref="S124">Y124*tax_rate</f>
        <v>0</v>
      </c>
      <c r="T124" s="15">
        <f t="shared" si="44"/>
        <v>105454.97850963495</v>
      </c>
      <c r="U124" s="15">
        <f t="shared" si="35"/>
        <v>578524.37402643973</v>
      </c>
      <c r="V124" s="15"/>
      <c r="W124" s="144">
        <f t="shared" si="45"/>
        <v>0.20870123756527872</v>
      </c>
      <c r="X124" s="144" t="str">
        <f t="shared" si="51"/>
        <v/>
      </c>
      <c r="Y124" s="146"/>
      <c r="Z124" s="139">
        <f t="shared" si="36"/>
        <v>2998.1547089928413</v>
      </c>
      <c r="AA124" s="114">
        <v>97</v>
      </c>
      <c r="AB124" s="46">
        <f t="shared" si="46"/>
        <v>-2115.8967074027642</v>
      </c>
      <c r="AC124" s="47"/>
      <c r="AD124" s="47">
        <f t="shared" si="50"/>
        <v>5505.7427470026305</v>
      </c>
      <c r="AE124" s="86"/>
      <c r="AF124" s="140"/>
      <c r="AG124" s="140"/>
      <c r="AH124" s="140">
        <f t="shared" si="37"/>
        <v>529857.97136634518</v>
      </c>
      <c r="AI124" s="15"/>
      <c r="AJ124" s="9"/>
      <c r="AK124" s="9"/>
    </row>
    <row r="125" spans="2:37" ht="12" hidden="1" customHeight="1" outlineLevel="1" x14ac:dyDescent="0.25">
      <c r="B125" s="143" t="str">
        <f t="shared" si="38"/>
        <v/>
      </c>
      <c r="C125" s="15">
        <f t="shared" si="39"/>
        <v>815162.24455658463</v>
      </c>
      <c r="D125" s="15">
        <f t="shared" si="47"/>
        <v>3665.996358906114</v>
      </c>
      <c r="E125" s="15">
        <f t="shared" si="48"/>
        <v>-448.37347708603869</v>
      </c>
      <c r="F125" s="15">
        <f t="shared" si="49"/>
        <v>-219.46817282723381</v>
      </c>
      <c r="G125" s="15">
        <f t="shared" si="40"/>
        <v>0</v>
      </c>
      <c r="H125" s="15">
        <v>0</v>
      </c>
      <c r="I125" s="15">
        <v>0</v>
      </c>
      <c r="J125" s="15">
        <v>0</v>
      </c>
      <c r="K125" s="15">
        <f t="shared" si="41"/>
        <v>-2622.054407072922</v>
      </c>
      <c r="L125" s="15">
        <f t="shared" si="42"/>
        <v>667.84164991327248</v>
      </c>
      <c r="M125" s="15">
        <f t="shared" si="30"/>
        <v>3289.8960569861947</v>
      </c>
      <c r="N125" s="15">
        <f t="shared" si="31"/>
        <v>748.31832303490819</v>
      </c>
      <c r="O125" s="15">
        <f t="shared" si="32"/>
        <v>2998.1547089928413</v>
      </c>
      <c r="P125" s="15">
        <f t="shared" si="43"/>
        <v>337527.994299479</v>
      </c>
      <c r="Q125" s="15">
        <f t="shared" si="33"/>
        <v>477634.25025710562</v>
      </c>
      <c r="R125" s="15">
        <f t="shared" si="34"/>
        <v>528.85015020767435</v>
      </c>
      <c r="S125" s="15" cm="1">
        <f t="array" ref="S125">Y125*tax_rate</f>
        <v>0</v>
      </c>
      <c r="T125" s="15">
        <f t="shared" si="44"/>
        <v>106423.22440363276</v>
      </c>
      <c r="U125" s="15">
        <f t="shared" si="35"/>
        <v>584057.47466073837</v>
      </c>
      <c r="V125" s="15"/>
      <c r="W125" s="144">
        <f t="shared" si="45"/>
        <v>0.20777259842225665</v>
      </c>
      <c r="X125" s="144" t="str">
        <f t="shared" si="51"/>
        <v/>
      </c>
      <c r="Y125" s="146"/>
      <c r="Z125" s="139">
        <f t="shared" si="36"/>
        <v>2998.1547089928413</v>
      </c>
      <c r="AA125" s="114">
        <v>98</v>
      </c>
      <c r="AB125" s="46">
        <f t="shared" si="46"/>
        <v>-2112.7332217798253</v>
      </c>
      <c r="AC125" s="47"/>
      <c r="AD125" s="47">
        <f t="shared" si="50"/>
        <v>5533.1006342986366</v>
      </c>
      <c r="AE125" s="86"/>
      <c r="AF125" s="140"/>
      <c r="AG125" s="140"/>
      <c r="AH125" s="140">
        <f t="shared" si="37"/>
        <v>535147.73998734332</v>
      </c>
      <c r="AI125" s="15"/>
      <c r="AJ125" s="9"/>
      <c r="AK125" s="9"/>
    </row>
    <row r="126" spans="2:37" ht="12" hidden="1" customHeight="1" outlineLevel="1" x14ac:dyDescent="0.25">
      <c r="B126" s="143" t="str">
        <f t="shared" si="38"/>
        <v/>
      </c>
      <c r="C126" s="15">
        <f t="shared" si="39"/>
        <v>819238.05577936745</v>
      </c>
      <c r="D126" s="15">
        <f t="shared" si="47"/>
        <v>3665.996358906114</v>
      </c>
      <c r="E126" s="15">
        <f t="shared" si="48"/>
        <v>-448.37347708603869</v>
      </c>
      <c r="F126" s="15">
        <f t="shared" si="49"/>
        <v>-219.46817282723381</v>
      </c>
      <c r="G126" s="15">
        <f t="shared" si="40"/>
        <v>0</v>
      </c>
      <c r="H126" s="15">
        <v>0</v>
      </c>
      <c r="I126" s="15">
        <v>0</v>
      </c>
      <c r="J126" s="15">
        <v>0</v>
      </c>
      <c r="K126" s="15">
        <f t="shared" si="41"/>
        <v>-2622.054407072922</v>
      </c>
      <c r="L126" s="15">
        <f t="shared" si="42"/>
        <v>667.84164991327248</v>
      </c>
      <c r="M126" s="15">
        <f t="shared" si="30"/>
        <v>3289.8960569861947</v>
      </c>
      <c r="N126" s="15">
        <f t="shared" si="31"/>
        <v>748.31832303490819</v>
      </c>
      <c r="O126" s="15">
        <f t="shared" si="32"/>
        <v>2998.1547089928413</v>
      </c>
      <c r="P126" s="15">
        <f t="shared" si="43"/>
        <v>337015.48985677783</v>
      </c>
      <c r="Q126" s="15">
        <f t="shared" si="33"/>
        <v>482222.56592258962</v>
      </c>
      <c r="R126" s="15">
        <f t="shared" si="34"/>
        <v>528.85015020767435</v>
      </c>
      <c r="S126" s="15" cm="1">
        <f t="array" ref="S126">Y126*tax_rate</f>
        <v>0</v>
      </c>
      <c r="T126" s="15">
        <f t="shared" si="44"/>
        <v>107395.50465552224</v>
      </c>
      <c r="U126" s="15">
        <f t="shared" si="35"/>
        <v>589618.0705781118</v>
      </c>
      <c r="V126" s="15"/>
      <c r="W126" s="144">
        <f t="shared" si="45"/>
        <v>0.2068571039794723</v>
      </c>
      <c r="X126" s="144" t="str">
        <f t="shared" si="51"/>
        <v/>
      </c>
      <c r="Y126" s="146"/>
      <c r="Z126" s="139">
        <f t="shared" si="36"/>
        <v>2998.1547089928413</v>
      </c>
      <c r="AA126" s="114">
        <v>99</v>
      </c>
      <c r="AB126" s="46">
        <f t="shared" si="46"/>
        <v>-2109.5499643717435</v>
      </c>
      <c r="AC126" s="47"/>
      <c r="AD126" s="47">
        <f t="shared" si="50"/>
        <v>5560.59591737343</v>
      </c>
      <c r="AE126" s="86"/>
      <c r="AF126" s="140"/>
      <c r="AG126" s="140"/>
      <c r="AH126" s="140">
        <f t="shared" si="37"/>
        <v>540463.78723134974</v>
      </c>
      <c r="AI126" s="15"/>
      <c r="AJ126" s="9"/>
      <c r="AK126" s="9"/>
    </row>
    <row r="127" spans="2:37" ht="12" hidden="1" customHeight="1" outlineLevel="1" x14ac:dyDescent="0.25">
      <c r="B127" s="143" t="str">
        <f t="shared" si="38"/>
        <v/>
      </c>
      <c r="C127" s="15">
        <f t="shared" si="39"/>
        <v>823334.24605826417</v>
      </c>
      <c r="D127" s="15">
        <f t="shared" si="47"/>
        <v>3665.996358906114</v>
      </c>
      <c r="E127" s="15">
        <f t="shared" si="48"/>
        <v>-448.37347708603869</v>
      </c>
      <c r="F127" s="15">
        <f t="shared" si="49"/>
        <v>-219.46817282723381</v>
      </c>
      <c r="G127" s="15">
        <f t="shared" si="40"/>
        <v>0</v>
      </c>
      <c r="H127" s="15">
        <v>0</v>
      </c>
      <c r="I127" s="15">
        <v>0</v>
      </c>
      <c r="J127" s="15">
        <v>0</v>
      </c>
      <c r="K127" s="15">
        <f t="shared" si="41"/>
        <v>-2622.054407072922</v>
      </c>
      <c r="L127" s="15">
        <f t="shared" si="42"/>
        <v>667.84164991327248</v>
      </c>
      <c r="M127" s="15">
        <f t="shared" si="30"/>
        <v>3289.8960569861947</v>
      </c>
      <c r="N127" s="15">
        <f t="shared" si="31"/>
        <v>748.31832303490819</v>
      </c>
      <c r="O127" s="15">
        <f t="shared" si="32"/>
        <v>2998.1547089928413</v>
      </c>
      <c r="P127" s="15">
        <f t="shared" si="43"/>
        <v>336499.7822613098</v>
      </c>
      <c r="Q127" s="15">
        <f t="shared" si="33"/>
        <v>486834.46379695437</v>
      </c>
      <c r="R127" s="15">
        <f t="shared" si="34"/>
        <v>528.85015020767435</v>
      </c>
      <c r="S127" s="15" cm="1">
        <f t="array" ref="S127">Y127*tax_rate</f>
        <v>0</v>
      </c>
      <c r="T127" s="15">
        <f t="shared" si="44"/>
        <v>108371.83607512791</v>
      </c>
      <c r="U127" s="15">
        <f t="shared" si="35"/>
        <v>595206.29987208231</v>
      </c>
      <c r="V127" s="15"/>
      <c r="W127" s="144">
        <f t="shared" si="45"/>
        <v>0.2059544398325546</v>
      </c>
      <c r="X127" s="144" t="str">
        <f t="shared" si="51"/>
        <v/>
      </c>
      <c r="Y127" s="146"/>
      <c r="Z127" s="139">
        <f t="shared" si="36"/>
        <v>2998.1547089928413</v>
      </c>
      <c r="AA127" s="114">
        <v>100</v>
      </c>
      <c r="AB127" s="46">
        <f t="shared" si="46"/>
        <v>-2106.3468116048612</v>
      </c>
      <c r="AC127" s="47"/>
      <c r="AD127" s="47">
        <f t="shared" si="50"/>
        <v>5588.2292939705076</v>
      </c>
      <c r="AE127" s="86"/>
      <c r="AF127" s="140"/>
      <c r="AG127" s="140"/>
      <c r="AH127" s="140">
        <f t="shared" si="37"/>
        <v>545806.2451085865</v>
      </c>
      <c r="AI127" s="15"/>
      <c r="AJ127" s="9"/>
      <c r="AK127" s="9"/>
    </row>
    <row r="128" spans="2:37" ht="12" hidden="1" customHeight="1" outlineLevel="1" x14ac:dyDescent="0.25">
      <c r="B128" s="143" t="str">
        <f t="shared" si="38"/>
        <v/>
      </c>
      <c r="C128" s="15">
        <f t="shared" si="39"/>
        <v>827450.91728855541</v>
      </c>
      <c r="D128" s="15">
        <f t="shared" si="47"/>
        <v>3665.996358906114</v>
      </c>
      <c r="E128" s="15">
        <f t="shared" si="48"/>
        <v>-448.37347708603869</v>
      </c>
      <c r="F128" s="15">
        <f t="shared" si="49"/>
        <v>-219.46817282723381</v>
      </c>
      <c r="G128" s="15">
        <f t="shared" si="40"/>
        <v>0</v>
      </c>
      <c r="H128" s="15">
        <v>0</v>
      </c>
      <c r="I128" s="15">
        <v>0</v>
      </c>
      <c r="J128" s="15">
        <v>0</v>
      </c>
      <c r="K128" s="15">
        <f t="shared" si="41"/>
        <v>-2622.054407072922</v>
      </c>
      <c r="L128" s="15">
        <f t="shared" si="42"/>
        <v>667.84164991327248</v>
      </c>
      <c r="M128" s="15">
        <f t="shared" si="30"/>
        <v>3289.8960569861947</v>
      </c>
      <c r="N128" s="15">
        <f t="shared" si="31"/>
        <v>748.31832303490819</v>
      </c>
      <c r="O128" s="15">
        <f t="shared" si="32"/>
        <v>2998.1547089928413</v>
      </c>
      <c r="P128" s="15">
        <f t="shared" si="43"/>
        <v>335980.85149337008</v>
      </c>
      <c r="Q128" s="15">
        <f t="shared" si="33"/>
        <v>491470.06579518534</v>
      </c>
      <c r="R128" s="15">
        <f t="shared" si="34"/>
        <v>528.85015020767435</v>
      </c>
      <c r="S128" s="15" cm="1">
        <f t="array" ref="S128">Y128*tax_rate</f>
        <v>0</v>
      </c>
      <c r="T128" s="15">
        <f t="shared" si="44"/>
        <v>109352.23554231528</v>
      </c>
      <c r="U128" s="15">
        <f t="shared" si="35"/>
        <v>600822.30133750057</v>
      </c>
      <c r="V128" s="15"/>
      <c r="W128" s="144">
        <f t="shared" si="45"/>
        <v>0.20506430243813409</v>
      </c>
      <c r="X128" s="144" t="str">
        <f t="shared" si="51"/>
        <v/>
      </c>
      <c r="Y128" s="146"/>
      <c r="Z128" s="139">
        <f t="shared" si="36"/>
        <v>2998.1547089928413</v>
      </c>
      <c r="AA128" s="114">
        <v>101</v>
      </c>
      <c r="AB128" s="46">
        <f t="shared" si="46"/>
        <v>-2103.1236391331859</v>
      </c>
      <c r="AC128" s="47"/>
      <c r="AD128" s="47">
        <f t="shared" si="50"/>
        <v>5616.0014654182596</v>
      </c>
      <c r="AE128" s="86"/>
      <c r="AF128" s="140"/>
      <c r="AG128" s="140"/>
      <c r="AH128" s="140">
        <f t="shared" si="37"/>
        <v>551175.24630018719</v>
      </c>
      <c r="AI128" s="15"/>
      <c r="AJ128" s="9"/>
      <c r="AK128" s="9"/>
    </row>
    <row r="129" spans="2:37" ht="12" hidden="1" customHeight="1" outlineLevel="1" x14ac:dyDescent="0.25">
      <c r="B129" s="143" t="str">
        <f t="shared" si="38"/>
        <v/>
      </c>
      <c r="C129" s="15">
        <f t="shared" si="39"/>
        <v>831588.17187499814</v>
      </c>
      <c r="D129" s="15">
        <f t="shared" si="47"/>
        <v>3665.996358906114</v>
      </c>
      <c r="E129" s="15">
        <f t="shared" si="48"/>
        <v>-448.37347708603869</v>
      </c>
      <c r="F129" s="15">
        <f t="shared" si="49"/>
        <v>-219.46817282723381</v>
      </c>
      <c r="G129" s="15">
        <f t="shared" si="40"/>
        <v>0</v>
      </c>
      <c r="H129" s="15">
        <v>0</v>
      </c>
      <c r="I129" s="15">
        <v>0</v>
      </c>
      <c r="J129" s="15">
        <v>0</v>
      </c>
      <c r="K129" s="15">
        <f t="shared" si="41"/>
        <v>-2622.054407072922</v>
      </c>
      <c r="L129" s="15">
        <f t="shared" si="42"/>
        <v>667.84164991327248</v>
      </c>
      <c r="M129" s="15">
        <f t="shared" si="30"/>
        <v>3289.8960569861947</v>
      </c>
      <c r="N129" s="15">
        <f t="shared" si="31"/>
        <v>748.31832303490819</v>
      </c>
      <c r="O129" s="15">
        <f t="shared" si="32"/>
        <v>2998.1547089928413</v>
      </c>
      <c r="P129" s="15">
        <f t="shared" si="43"/>
        <v>335458.67740813072</v>
      </c>
      <c r="Q129" s="15">
        <f t="shared" si="33"/>
        <v>496129.49446686741</v>
      </c>
      <c r="R129" s="15">
        <f t="shared" si="34"/>
        <v>528.85015020767435</v>
      </c>
      <c r="S129" s="15" cm="1">
        <f t="array" ref="S129">Y129*tax_rate</f>
        <v>0</v>
      </c>
      <c r="T129" s="15">
        <f t="shared" si="44"/>
        <v>110336.72000728259</v>
      </c>
      <c r="U129" s="15">
        <f t="shared" si="35"/>
        <v>606466.21447414998</v>
      </c>
      <c r="V129" s="15"/>
      <c r="W129" s="144">
        <f t="shared" si="45"/>
        <v>0.20418639862214538</v>
      </c>
      <c r="X129" s="144" t="str">
        <f t="shared" si="51"/>
        <v/>
      </c>
      <c r="Y129" s="146"/>
      <c r="Z129" s="139">
        <f t="shared" si="36"/>
        <v>2998.1547089928413</v>
      </c>
      <c r="AA129" s="114">
        <v>102</v>
      </c>
      <c r="AB129" s="46">
        <f t="shared" si="46"/>
        <v>-2099.8803218335629</v>
      </c>
      <c r="AC129" s="47"/>
      <c r="AD129" s="47">
        <f t="shared" si="50"/>
        <v>5643.9131366494112</v>
      </c>
      <c r="AE129" s="86"/>
      <c r="AF129" s="140"/>
      <c r="AG129" s="140"/>
      <c r="AH129" s="140">
        <f t="shared" si="37"/>
        <v>556570.92416165012</v>
      </c>
      <c r="AI129" s="15"/>
      <c r="AJ129" s="9"/>
      <c r="AK129" s="9"/>
    </row>
    <row r="130" spans="2:37" ht="12" hidden="1" customHeight="1" outlineLevel="1" x14ac:dyDescent="0.25">
      <c r="B130" s="143" t="str">
        <f t="shared" si="38"/>
        <v/>
      </c>
      <c r="C130" s="15">
        <f t="shared" si="39"/>
        <v>835746.11273437308</v>
      </c>
      <c r="D130" s="15">
        <f t="shared" si="47"/>
        <v>3665.996358906114</v>
      </c>
      <c r="E130" s="15">
        <f t="shared" si="48"/>
        <v>-448.37347708603869</v>
      </c>
      <c r="F130" s="15">
        <f t="shared" si="49"/>
        <v>-219.46817282723381</v>
      </c>
      <c r="G130" s="15">
        <f t="shared" si="40"/>
        <v>0</v>
      </c>
      <c r="H130" s="15">
        <v>0</v>
      </c>
      <c r="I130" s="15">
        <v>0</v>
      </c>
      <c r="J130" s="15">
        <v>0</v>
      </c>
      <c r="K130" s="15">
        <f t="shared" si="41"/>
        <v>-2622.054407072922</v>
      </c>
      <c r="L130" s="15">
        <f t="shared" si="42"/>
        <v>667.84164991327248</v>
      </c>
      <c r="M130" s="15">
        <f t="shared" si="30"/>
        <v>3289.8960569861947</v>
      </c>
      <c r="N130" s="15">
        <f t="shared" si="31"/>
        <v>748.31832303490819</v>
      </c>
      <c r="O130" s="15">
        <f t="shared" si="32"/>
        <v>2998.1547089928413</v>
      </c>
      <c r="P130" s="15">
        <f t="shared" si="43"/>
        <v>334933.23973485862</v>
      </c>
      <c r="Q130" s="15">
        <f t="shared" si="33"/>
        <v>500812.87299951445</v>
      </c>
      <c r="R130" s="15">
        <f t="shared" si="34"/>
        <v>528.85015020767435</v>
      </c>
      <c r="S130" s="15" cm="1">
        <f t="array" ref="S130">Y130*tax_rate</f>
        <v>0</v>
      </c>
      <c r="T130" s="15">
        <f t="shared" si="44"/>
        <v>111325.30649085394</v>
      </c>
      <c r="U130" s="15">
        <f t="shared" si="35"/>
        <v>612138.17949036835</v>
      </c>
      <c r="V130" s="15"/>
      <c r="W130" s="144">
        <f t="shared" si="45"/>
        <v>0.20332044511553768</v>
      </c>
      <c r="X130" s="144" t="str">
        <f t="shared" si="51"/>
        <v/>
      </c>
      <c r="Y130" s="146"/>
      <c r="Z130" s="139">
        <f t="shared" si="36"/>
        <v>2998.1547089928413</v>
      </c>
      <c r="AA130" s="114">
        <v>103</v>
      </c>
      <c r="AB130" s="46">
        <f t="shared" si="46"/>
        <v>-2096.6167338008167</v>
      </c>
      <c r="AC130" s="47"/>
      <c r="AD130" s="47">
        <f t="shared" si="50"/>
        <v>5671.965016218368</v>
      </c>
      <c r="AE130" s="86"/>
      <c r="AF130" s="140"/>
      <c r="AG130" s="140"/>
      <c r="AH130" s="140">
        <f t="shared" si="37"/>
        <v>561993.41272630601</v>
      </c>
      <c r="AI130" s="15"/>
      <c r="AJ130" s="9"/>
      <c r="AK130" s="9"/>
    </row>
    <row r="131" spans="2:37" ht="12" hidden="1" customHeight="1" outlineLevel="1" x14ac:dyDescent="0.25">
      <c r="B131" s="143" t="str">
        <f t="shared" si="38"/>
        <v/>
      </c>
      <c r="C131" s="15">
        <f t="shared" si="39"/>
        <v>839924.84329804487</v>
      </c>
      <c r="D131" s="15">
        <f t="shared" si="47"/>
        <v>3665.996358906114</v>
      </c>
      <c r="E131" s="15">
        <f t="shared" si="48"/>
        <v>-448.37347708603869</v>
      </c>
      <c r="F131" s="15">
        <f t="shared" si="49"/>
        <v>-219.46817282723381</v>
      </c>
      <c r="G131" s="15">
        <f t="shared" si="40"/>
        <v>0</v>
      </c>
      <c r="H131" s="15">
        <v>0</v>
      </c>
      <c r="I131" s="15">
        <v>0</v>
      </c>
      <c r="J131" s="15">
        <v>0</v>
      </c>
      <c r="K131" s="15">
        <f t="shared" si="41"/>
        <v>-2622.054407072922</v>
      </c>
      <c r="L131" s="15">
        <f t="shared" si="42"/>
        <v>667.84164991327248</v>
      </c>
      <c r="M131" s="15">
        <f t="shared" si="30"/>
        <v>3289.8960569861947</v>
      </c>
      <c r="N131" s="15">
        <f t="shared" si="31"/>
        <v>748.31832303490819</v>
      </c>
      <c r="O131" s="15">
        <f t="shared" si="32"/>
        <v>2998.1547089928413</v>
      </c>
      <c r="P131" s="15">
        <f t="shared" si="43"/>
        <v>334404.51807612856</v>
      </c>
      <c r="Q131" s="15">
        <f t="shared" si="33"/>
        <v>505520.32522191631</v>
      </c>
      <c r="R131" s="15">
        <f t="shared" si="34"/>
        <v>528.85015020767435</v>
      </c>
      <c r="S131" s="15" cm="1">
        <f t="array" ref="S131">Y131*tax_rate</f>
        <v>0</v>
      </c>
      <c r="T131" s="15">
        <f t="shared" si="44"/>
        <v>112318.01208477349</v>
      </c>
      <c r="U131" s="15">
        <f t="shared" si="35"/>
        <v>617838.33730668982</v>
      </c>
      <c r="V131" s="15"/>
      <c r="W131" s="144">
        <f t="shared" si="45"/>
        <v>0.20246616811558799</v>
      </c>
      <c r="X131" s="144" t="str">
        <f t="shared" si="51"/>
        <v/>
      </c>
      <c r="Y131" s="146"/>
      <c r="Z131" s="139">
        <f t="shared" si="36"/>
        <v>2998.1547089928413</v>
      </c>
      <c r="AA131" s="114">
        <v>104</v>
      </c>
      <c r="AB131" s="46">
        <f t="shared" si="46"/>
        <v>-2093.3327483428661</v>
      </c>
      <c r="AC131" s="47"/>
      <c r="AD131" s="47">
        <f t="shared" si="50"/>
        <v>5700.1578163214726</v>
      </c>
      <c r="AE131" s="86"/>
      <c r="AF131" s="140"/>
      <c r="AG131" s="140"/>
      <c r="AH131" s="140">
        <f t="shared" si="37"/>
        <v>567442.84670880716</v>
      </c>
      <c r="AI131" s="15"/>
      <c r="AJ131" s="9"/>
      <c r="AK131" s="9"/>
    </row>
    <row r="132" spans="2:37" ht="12" hidden="1" customHeight="1" outlineLevel="1" x14ac:dyDescent="0.25">
      <c r="B132" s="143" t="str">
        <f t="shared" si="38"/>
        <v/>
      </c>
      <c r="C132" s="15">
        <f t="shared" si="39"/>
        <v>844124.46751453506</v>
      </c>
      <c r="D132" s="15">
        <f t="shared" si="47"/>
        <v>3665.996358906114</v>
      </c>
      <c r="E132" s="15">
        <f t="shared" si="48"/>
        <v>-448.37347708603869</v>
      </c>
      <c r="F132" s="15">
        <f t="shared" si="49"/>
        <v>-219.46817282723381</v>
      </c>
      <c r="G132" s="15">
        <f t="shared" si="40"/>
        <v>0</v>
      </c>
      <c r="H132" s="15">
        <v>0</v>
      </c>
      <c r="I132" s="15">
        <v>0</v>
      </c>
      <c r="J132" s="15">
        <v>0</v>
      </c>
      <c r="K132" s="15">
        <f t="shared" si="41"/>
        <v>-2622.054407072922</v>
      </c>
      <c r="L132" s="15">
        <f t="shared" si="42"/>
        <v>667.84164991327248</v>
      </c>
      <c r="M132" s="15">
        <f t="shared" si="30"/>
        <v>3289.8960569861947</v>
      </c>
      <c r="N132" s="15">
        <f t="shared" si="31"/>
        <v>748.31832303490819</v>
      </c>
      <c r="O132" s="15">
        <f t="shared" si="32"/>
        <v>2998.1547089928413</v>
      </c>
      <c r="P132" s="15">
        <f t="shared" si="43"/>
        <v>333872.49190703145</v>
      </c>
      <c r="Q132" s="15">
        <f t="shared" si="33"/>
        <v>510251.97560750361</v>
      </c>
      <c r="R132" s="15">
        <f t="shared" si="34"/>
        <v>528.85015020767435</v>
      </c>
      <c r="S132" s="15" cm="1">
        <f t="array" ref="S132">Y132*tax_rate</f>
        <v>0</v>
      </c>
      <c r="T132" s="15">
        <f t="shared" si="44"/>
        <v>113314.85395200105</v>
      </c>
      <c r="U132" s="15">
        <f t="shared" si="35"/>
        <v>623566.82955950464</v>
      </c>
      <c r="V132" s="15"/>
      <c r="W132" s="144">
        <f t="shared" si="45"/>
        <v>0.20162330287114941</v>
      </c>
      <c r="X132" s="144" t="str">
        <f t="shared" si="51"/>
        <v/>
      </c>
      <c r="Y132" s="146"/>
      <c r="Z132" s="139">
        <f t="shared" si="36"/>
        <v>2998.1547089928413</v>
      </c>
      <c r="AA132" s="114">
        <v>105</v>
      </c>
      <c r="AB132" s="46">
        <f t="shared" si="46"/>
        <v>-2090.0282379758032</v>
      </c>
      <c r="AC132" s="47"/>
      <c r="AD132" s="47">
        <f t="shared" si="50"/>
        <v>5728.4922528148163</v>
      </c>
      <c r="AE132" s="86"/>
      <c r="AF132" s="140"/>
      <c r="AG132" s="140"/>
      <c r="AH132" s="140">
        <f t="shared" si="37"/>
        <v>572919.36150863254</v>
      </c>
      <c r="AI132" s="15"/>
      <c r="AJ132" s="9"/>
      <c r="AK132" s="9"/>
    </row>
    <row r="133" spans="2:37" ht="12" hidden="1" customHeight="1" outlineLevel="1" x14ac:dyDescent="0.25">
      <c r="B133" s="143" t="str">
        <f t="shared" si="38"/>
        <v/>
      </c>
      <c r="C133" s="15">
        <f t="shared" si="39"/>
        <v>848345.08985210769</v>
      </c>
      <c r="D133" s="15">
        <f t="shared" si="47"/>
        <v>3665.996358906114</v>
      </c>
      <c r="E133" s="15">
        <f t="shared" si="48"/>
        <v>-448.37347708603869</v>
      </c>
      <c r="F133" s="15">
        <f t="shared" si="49"/>
        <v>-219.46817282723381</v>
      </c>
      <c r="G133" s="15">
        <f t="shared" si="40"/>
        <v>0</v>
      </c>
      <c r="H133" s="15">
        <v>0</v>
      </c>
      <c r="I133" s="15">
        <v>0</v>
      </c>
      <c r="J133" s="15">
        <v>0</v>
      </c>
      <c r="K133" s="15">
        <f t="shared" si="41"/>
        <v>-2622.054407072922</v>
      </c>
      <c r="L133" s="15">
        <f t="shared" si="42"/>
        <v>667.84164991327248</v>
      </c>
      <c r="M133" s="15">
        <f t="shared" si="30"/>
        <v>3289.8960569861947</v>
      </c>
      <c r="N133" s="15">
        <f t="shared" si="31"/>
        <v>748.31832303490819</v>
      </c>
      <c r="O133" s="15">
        <f t="shared" si="32"/>
        <v>2998.1547089928413</v>
      </c>
      <c r="P133" s="15">
        <f t="shared" si="43"/>
        <v>333337.1405743775</v>
      </c>
      <c r="Q133" s="15">
        <f t="shared" si="33"/>
        <v>515007.94927773019</v>
      </c>
      <c r="R133" s="15">
        <f t="shared" si="34"/>
        <v>528.85015020767435</v>
      </c>
      <c r="S133" s="15" cm="1">
        <f t="array" ref="S133">Y133*tax_rate</f>
        <v>0</v>
      </c>
      <c r="T133" s="15">
        <f t="shared" si="44"/>
        <v>114315.84932700872</v>
      </c>
      <c r="U133" s="15">
        <f t="shared" si="35"/>
        <v>629323.7986047389</v>
      </c>
      <c r="V133" s="15"/>
      <c r="W133" s="144">
        <f t="shared" si="45"/>
        <v>0.20079159329029311</v>
      </c>
      <c r="X133" s="144" t="str">
        <f t="shared" si="51"/>
        <v/>
      </c>
      <c r="Y133" s="146"/>
      <c r="Z133" s="139">
        <f t="shared" si="36"/>
        <v>2998.1547089928413</v>
      </c>
      <c r="AA133" s="114">
        <v>106</v>
      </c>
      <c r="AB133" s="46">
        <f t="shared" si="46"/>
        <v>-2086.7030744189465</v>
      </c>
      <c r="AC133" s="47"/>
      <c r="AD133" s="47">
        <f t="shared" si="50"/>
        <v>5756.969045234262</v>
      </c>
      <c r="AE133" s="86"/>
      <c r="AF133" s="140"/>
      <c r="AG133" s="140"/>
      <c r="AH133" s="140">
        <f t="shared" si="37"/>
        <v>578423.09321361245</v>
      </c>
      <c r="AI133" s="15"/>
      <c r="AJ133" s="9"/>
      <c r="AK133" s="9"/>
    </row>
    <row r="134" spans="2:37" ht="12" hidden="1" customHeight="1" outlineLevel="1" x14ac:dyDescent="0.25">
      <c r="B134" s="143" t="str">
        <f t="shared" si="38"/>
        <v/>
      </c>
      <c r="C134" s="15">
        <f t="shared" si="39"/>
        <v>852586.81530136813</v>
      </c>
      <c r="D134" s="15">
        <f t="shared" si="47"/>
        <v>3665.996358906114</v>
      </c>
      <c r="E134" s="15">
        <f t="shared" si="48"/>
        <v>-448.37347708603869</v>
      </c>
      <c r="F134" s="15">
        <f t="shared" si="49"/>
        <v>-219.46817282723381</v>
      </c>
      <c r="G134" s="15">
        <f t="shared" si="40"/>
        <v>0</v>
      </c>
      <c r="H134" s="15">
        <v>0</v>
      </c>
      <c r="I134" s="15">
        <v>0</v>
      </c>
      <c r="J134" s="15">
        <v>0</v>
      </c>
      <c r="K134" s="15">
        <f t="shared" si="41"/>
        <v>-2622.054407072922</v>
      </c>
      <c r="L134" s="15">
        <f t="shared" si="42"/>
        <v>667.84164991327248</v>
      </c>
      <c r="M134" s="15">
        <f t="shared" si="30"/>
        <v>3289.8960569861947</v>
      </c>
      <c r="N134" s="15">
        <f t="shared" si="31"/>
        <v>748.31832303490819</v>
      </c>
      <c r="O134" s="15">
        <f t="shared" si="32"/>
        <v>2998.1547089928413</v>
      </c>
      <c r="P134" s="15">
        <f t="shared" si="43"/>
        <v>332798.44329589442</v>
      </c>
      <c r="Q134" s="15">
        <f t="shared" si="33"/>
        <v>519788.37200547371</v>
      </c>
      <c r="R134" s="15">
        <f t="shared" si="34"/>
        <v>528.85015020767435</v>
      </c>
      <c r="S134" s="15" cm="1">
        <f t="array" ref="S134">Y134*tax_rate</f>
        <v>0</v>
      </c>
      <c r="T134" s="15">
        <f t="shared" si="44"/>
        <v>115321.01551607893</v>
      </c>
      <c r="U134" s="15">
        <f t="shared" si="35"/>
        <v>635109.38752155262</v>
      </c>
      <c r="V134" s="15"/>
      <c r="W134" s="144">
        <f t="shared" si="45"/>
        <v>0.1999707915689144</v>
      </c>
      <c r="X134" s="144" t="str">
        <f t="shared" si="51"/>
        <v/>
      </c>
      <c r="Y134" s="146"/>
      <c r="Z134" s="139">
        <f t="shared" si="36"/>
        <v>2998.1547089928413</v>
      </c>
      <c r="AA134" s="114">
        <v>107</v>
      </c>
      <c r="AB134" s="46">
        <f t="shared" si="46"/>
        <v>-2083.3571285898593</v>
      </c>
      <c r="AC134" s="47"/>
      <c r="AD134" s="47">
        <f t="shared" si="50"/>
        <v>5785.5889168137219</v>
      </c>
      <c r="AE134" s="86"/>
      <c r="AF134" s="140"/>
      <c r="AG134" s="140"/>
      <c r="AH134" s="140">
        <f t="shared" si="37"/>
        <v>583954.17860347056</v>
      </c>
      <c r="AI134" s="15"/>
      <c r="AJ134" s="9"/>
      <c r="AK134" s="9"/>
    </row>
    <row r="135" spans="2:37" ht="15" customHeight="1" collapsed="1" x14ac:dyDescent="0.25">
      <c r="B135" s="143">
        <f t="shared" si="38"/>
        <v>9</v>
      </c>
      <c r="C135" s="16">
        <f t="shared" si="39"/>
        <v>856849.74937787489</v>
      </c>
      <c r="D135" s="16">
        <f t="shared" si="47"/>
        <v>3665.996358906114</v>
      </c>
      <c r="E135" s="16">
        <f t="shared" si="48"/>
        <v>-448.37347708603869</v>
      </c>
      <c r="F135" s="16">
        <f t="shared" si="49"/>
        <v>-219.46817282723381</v>
      </c>
      <c r="G135" s="16">
        <f t="shared" si="40"/>
        <v>0</v>
      </c>
      <c r="H135" s="16">
        <v>0</v>
      </c>
      <c r="I135" s="16">
        <v>0</v>
      </c>
      <c r="J135" s="16">
        <v>0</v>
      </c>
      <c r="K135" s="16">
        <f t="shared" si="41"/>
        <v>-2622.054407072922</v>
      </c>
      <c r="L135" s="16">
        <f t="shared" si="42"/>
        <v>667.84164991327248</v>
      </c>
      <c r="M135" s="16">
        <f t="shared" si="30"/>
        <v>3289.8960569861947</v>
      </c>
      <c r="N135" s="16">
        <f t="shared" si="31"/>
        <v>748.31832303490819</v>
      </c>
      <c r="O135" s="16">
        <f t="shared" si="32"/>
        <v>2998.1547089928413</v>
      </c>
      <c r="P135" s="16">
        <f t="shared" si="43"/>
        <v>332256.37915942085</v>
      </c>
      <c r="Q135" s="16">
        <f t="shared" si="33"/>
        <v>524593.37021845405</v>
      </c>
      <c r="R135" s="16">
        <f t="shared" si="34"/>
        <v>528.85015020767435</v>
      </c>
      <c r="S135" s="16" cm="1">
        <f t="array" ref="S135">Y135*tax_rate</f>
        <v>9922.7689286749282</v>
      </c>
      <c r="T135" s="16">
        <f t="shared" si="44"/>
        <v>126253.13882627852</v>
      </c>
      <c r="U135" s="16">
        <f t="shared" si="35"/>
        <v>650846.50904473255</v>
      </c>
      <c r="V135" s="16">
        <f>U135-U123</f>
        <v>77827.877765295445</v>
      </c>
      <c r="W135" s="144">
        <f t="shared" si="45"/>
        <v>0.20120942088385854</v>
      </c>
      <c r="X135" s="144">
        <f t="shared" si="51"/>
        <v>0.13582085034743321</v>
      </c>
      <c r="Y135" s="145">
        <f>(((Sale_Price*0.8)+Improvement_Costs+Closing_Costs_Total)/27.5)+(-E135*12)+-AC135</f>
        <v>45103.495130340583</v>
      </c>
      <c r="Z135" s="139">
        <f t="shared" si="36"/>
        <v>2998.1547089928413</v>
      </c>
      <c r="AA135" s="114">
        <v>108</v>
      </c>
      <c r="AB135" s="48">
        <f t="shared" si="46"/>
        <v>-2079.99027059934</v>
      </c>
      <c r="AC135" s="48">
        <f>SUM(AB124:AB135)</f>
        <v>-25177.558859853572</v>
      </c>
      <c r="AD135" s="49">
        <f t="shared" si="50"/>
        <v>15737.121523179929</v>
      </c>
      <c r="AE135" s="50">
        <f>D135*12</f>
        <v>43991.95630687337</v>
      </c>
      <c r="AF135" s="140"/>
      <c r="AG135" s="140">
        <f>R135*12</f>
        <v>6346.2018024920926</v>
      </c>
      <c r="AH135" s="140">
        <f t="shared" si="37"/>
        <v>599435.52408206009</v>
      </c>
      <c r="AI135" s="15">
        <f>AI123*(1+Comparison_Rate_of_Return)</f>
        <v>294743.46137500025</v>
      </c>
      <c r="AJ135" s="9"/>
      <c r="AK135" s="9"/>
    </row>
    <row r="136" spans="2:37" ht="12" hidden="1" customHeight="1" outlineLevel="1" x14ac:dyDescent="0.25">
      <c r="B136" s="143" t="str">
        <f t="shared" si="38"/>
        <v/>
      </c>
      <c r="C136" s="16">
        <f t="shared" si="39"/>
        <v>861133.99812476418</v>
      </c>
      <c r="D136" s="16">
        <f t="shared" si="47"/>
        <v>3794.3062314678277</v>
      </c>
      <c r="E136" s="16">
        <f t="shared" si="48"/>
        <v>-464.06654878404998</v>
      </c>
      <c r="F136" s="16">
        <f t="shared" si="49"/>
        <v>-227.14955887618697</v>
      </c>
      <c r="G136" s="16">
        <f t="shared" si="40"/>
        <v>0</v>
      </c>
      <c r="H136" s="16">
        <v>0</v>
      </c>
      <c r="I136" s="16">
        <v>0</v>
      </c>
      <c r="J136" s="16">
        <v>0</v>
      </c>
      <c r="K136" s="16">
        <f t="shared" si="41"/>
        <v>-2622.054407072922</v>
      </c>
      <c r="L136" s="16">
        <f t="shared" si="42"/>
        <v>691.21610766023696</v>
      </c>
      <c r="M136" s="16">
        <f t="shared" si="30"/>
        <v>3313.270514733159</v>
      </c>
      <c r="N136" s="16">
        <f t="shared" si="31"/>
        <v>866.28136858868174</v>
      </c>
      <c r="O136" s="16">
        <f t="shared" si="32"/>
        <v>3103.0901238075908</v>
      </c>
      <c r="P136" s="16">
        <f t="shared" si="43"/>
        <v>331710.92712209432</v>
      </c>
      <c r="Q136" s="16">
        <f t="shared" si="33"/>
        <v>529423.07100266987</v>
      </c>
      <c r="R136" s="16">
        <f t="shared" si="34"/>
        <v>639.13180971249471</v>
      </c>
      <c r="S136" s="16" cm="1">
        <f t="array" ref="S136">Y136*tax_rate</f>
        <v>0</v>
      </c>
      <c r="T136" s="16">
        <f t="shared" si="44"/>
        <v>127418.3253811005</v>
      </c>
      <c r="U136" s="16">
        <f t="shared" si="35"/>
        <v>656841.39638377039</v>
      </c>
      <c r="V136" s="16"/>
      <c r="W136" s="144">
        <f t="shared" si="45"/>
        <v>0.20040186321061063</v>
      </c>
      <c r="X136" s="144" t="str">
        <f t="shared" si="51"/>
        <v/>
      </c>
      <c r="Y136" s="146"/>
      <c r="Z136" s="139">
        <f t="shared" si="36"/>
        <v>3103.0901238075908</v>
      </c>
      <c r="AA136" s="114">
        <v>109</v>
      </c>
      <c r="AB136" s="48">
        <f t="shared" si="46"/>
        <v>-2076.6023697463802</v>
      </c>
      <c r="AC136" s="49"/>
      <c r="AD136" s="49">
        <f t="shared" si="50"/>
        <v>5994.887339037843</v>
      </c>
      <c r="AE136" s="50"/>
      <c r="AF136" s="140"/>
      <c r="AG136" s="140"/>
      <c r="AH136" s="140">
        <f t="shared" si="37"/>
        <v>605173.35649628448</v>
      </c>
      <c r="AI136" s="15"/>
      <c r="AJ136" s="9"/>
      <c r="AK136" s="9"/>
    </row>
    <row r="137" spans="2:37" ht="12" hidden="1" customHeight="1" outlineLevel="1" x14ac:dyDescent="0.25">
      <c r="B137" s="143" t="str">
        <f t="shared" si="38"/>
        <v/>
      </c>
      <c r="C137" s="16">
        <f t="shared" si="39"/>
        <v>865439.6681153879</v>
      </c>
      <c r="D137" s="16">
        <f t="shared" si="47"/>
        <v>3794.3062314678277</v>
      </c>
      <c r="E137" s="16">
        <f t="shared" si="48"/>
        <v>-464.06654878404998</v>
      </c>
      <c r="F137" s="16">
        <f t="shared" si="49"/>
        <v>-227.14955887618697</v>
      </c>
      <c r="G137" s="16">
        <f t="shared" si="40"/>
        <v>0</v>
      </c>
      <c r="H137" s="16">
        <v>0</v>
      </c>
      <c r="I137" s="16">
        <v>0</v>
      </c>
      <c r="J137" s="16">
        <v>0</v>
      </c>
      <c r="K137" s="16">
        <f t="shared" si="41"/>
        <v>-2622.054407072922</v>
      </c>
      <c r="L137" s="16">
        <f t="shared" si="42"/>
        <v>691.21610766023696</v>
      </c>
      <c r="M137" s="16">
        <f t="shared" si="30"/>
        <v>3313.270514733159</v>
      </c>
      <c r="N137" s="16">
        <f t="shared" si="31"/>
        <v>866.28136858868174</v>
      </c>
      <c r="O137" s="16">
        <f t="shared" si="32"/>
        <v>3103.0901238075908</v>
      </c>
      <c r="P137" s="16">
        <f t="shared" si="43"/>
        <v>331162.06600953446</v>
      </c>
      <c r="Q137" s="16">
        <f t="shared" si="33"/>
        <v>534277.60210585338</v>
      </c>
      <c r="R137" s="16">
        <f t="shared" si="34"/>
        <v>639.13180971249471</v>
      </c>
      <c r="S137" s="16" cm="1">
        <f t="array" ref="S137">Y137*tax_rate</f>
        <v>0</v>
      </c>
      <c r="T137" s="16">
        <f t="shared" si="44"/>
        <v>128588.3668799009</v>
      </c>
      <c r="U137" s="16">
        <f t="shared" si="35"/>
        <v>662865.9689857543</v>
      </c>
      <c r="V137" s="16"/>
      <c r="W137" s="144">
        <f t="shared" si="45"/>
        <v>0.19960447582994087</v>
      </c>
      <c r="X137" s="144" t="str">
        <f t="shared" si="51"/>
        <v/>
      </c>
      <c r="Y137" s="146"/>
      <c r="Z137" s="139">
        <f t="shared" si="36"/>
        <v>3103.0901238075908</v>
      </c>
      <c r="AA137" s="114">
        <v>110</v>
      </c>
      <c r="AB137" s="48">
        <f t="shared" si="46"/>
        <v>-2073.1932945130893</v>
      </c>
      <c r="AC137" s="49"/>
      <c r="AD137" s="49">
        <f t="shared" si="50"/>
        <v>6024.5726019839058</v>
      </c>
      <c r="AE137" s="50"/>
      <c r="AF137" s="140"/>
      <c r="AG137" s="140"/>
      <c r="AH137" s="140">
        <f t="shared" si="37"/>
        <v>610939.58889883105</v>
      </c>
      <c r="AI137" s="15"/>
      <c r="AJ137" s="9"/>
      <c r="AK137" s="9"/>
    </row>
    <row r="138" spans="2:37" ht="12" hidden="1" customHeight="1" outlineLevel="1" x14ac:dyDescent="0.25">
      <c r="B138" s="143" t="str">
        <f t="shared" si="38"/>
        <v/>
      </c>
      <c r="C138" s="16">
        <f t="shared" si="39"/>
        <v>869766.86645596474</v>
      </c>
      <c r="D138" s="16">
        <f t="shared" si="47"/>
        <v>3794.3062314678277</v>
      </c>
      <c r="E138" s="16">
        <f t="shared" si="48"/>
        <v>-464.06654878404998</v>
      </c>
      <c r="F138" s="16">
        <f t="shared" si="49"/>
        <v>-227.14955887618697</v>
      </c>
      <c r="G138" s="16">
        <f t="shared" si="40"/>
        <v>0</v>
      </c>
      <c r="H138" s="16">
        <v>0</v>
      </c>
      <c r="I138" s="16">
        <v>0</v>
      </c>
      <c r="J138" s="16">
        <v>0</v>
      </c>
      <c r="K138" s="16">
        <f t="shared" si="41"/>
        <v>-2622.054407072922</v>
      </c>
      <c r="L138" s="16">
        <f t="shared" si="42"/>
        <v>691.21610766023696</v>
      </c>
      <c r="M138" s="16">
        <f t="shared" si="30"/>
        <v>3313.270514733159</v>
      </c>
      <c r="N138" s="16">
        <f t="shared" si="31"/>
        <v>866.28136858868174</v>
      </c>
      <c r="O138" s="16">
        <f t="shared" si="32"/>
        <v>3103.0901238075908</v>
      </c>
      <c r="P138" s="16">
        <f t="shared" si="43"/>
        <v>330609.77451502113</v>
      </c>
      <c r="Q138" s="16">
        <f t="shared" si="33"/>
        <v>539157.09194094362</v>
      </c>
      <c r="R138" s="16">
        <f t="shared" si="34"/>
        <v>639.13180971249471</v>
      </c>
      <c r="S138" s="16" cm="1">
        <f t="array" ref="S138">Y138*tax_rate</f>
        <v>0</v>
      </c>
      <c r="T138" s="16">
        <f t="shared" si="44"/>
        <v>129763.28355161297</v>
      </c>
      <c r="U138" s="16">
        <f t="shared" si="35"/>
        <v>668920.3754925566</v>
      </c>
      <c r="V138" s="16"/>
      <c r="W138" s="144">
        <f t="shared" si="45"/>
        <v>0.19881704554002769</v>
      </c>
      <c r="X138" s="144" t="str">
        <f t="shared" si="51"/>
        <v/>
      </c>
      <c r="Y138" s="146"/>
      <c r="Z138" s="139">
        <f t="shared" si="36"/>
        <v>3103.0901238075908</v>
      </c>
      <c r="AA138" s="114">
        <v>111</v>
      </c>
      <c r="AB138" s="48">
        <f t="shared" si="46"/>
        <v>-2069.7629125595904</v>
      </c>
      <c r="AC138" s="49"/>
      <c r="AD138" s="49">
        <f t="shared" si="50"/>
        <v>6054.4065068023046</v>
      </c>
      <c r="AE138" s="50"/>
      <c r="AF138" s="140"/>
      <c r="AG138" s="140"/>
      <c r="AH138" s="140">
        <f t="shared" si="37"/>
        <v>616734.36350519874</v>
      </c>
      <c r="AI138" s="15"/>
      <c r="AJ138" s="9"/>
      <c r="AK138" s="9"/>
    </row>
    <row r="139" spans="2:37" ht="12" hidden="1" customHeight="1" outlineLevel="1" x14ac:dyDescent="0.25">
      <c r="B139" s="143" t="str">
        <f t="shared" si="38"/>
        <v/>
      </c>
      <c r="C139" s="16">
        <f t="shared" si="39"/>
        <v>874115.70078824449</v>
      </c>
      <c r="D139" s="16">
        <f t="shared" si="47"/>
        <v>3794.3062314678277</v>
      </c>
      <c r="E139" s="16">
        <f t="shared" si="48"/>
        <v>-464.06654878404998</v>
      </c>
      <c r="F139" s="16">
        <f t="shared" si="49"/>
        <v>-227.14955887618697</v>
      </c>
      <c r="G139" s="16">
        <f t="shared" si="40"/>
        <v>0</v>
      </c>
      <c r="H139" s="16">
        <v>0</v>
      </c>
      <c r="I139" s="16">
        <v>0</v>
      </c>
      <c r="J139" s="16">
        <v>0</v>
      </c>
      <c r="K139" s="16">
        <f t="shared" si="41"/>
        <v>-2622.054407072922</v>
      </c>
      <c r="L139" s="16">
        <f t="shared" si="42"/>
        <v>691.21610766023696</v>
      </c>
      <c r="M139" s="16">
        <f t="shared" si="30"/>
        <v>3313.270514733159</v>
      </c>
      <c r="N139" s="16">
        <f t="shared" si="31"/>
        <v>866.28136858868174</v>
      </c>
      <c r="O139" s="16">
        <f t="shared" si="32"/>
        <v>3103.0901238075908</v>
      </c>
      <c r="P139" s="16">
        <f t="shared" si="43"/>
        <v>330054.03119866707</v>
      </c>
      <c r="Q139" s="16">
        <f t="shared" si="33"/>
        <v>544061.66958957748</v>
      </c>
      <c r="R139" s="16">
        <f t="shared" si="34"/>
        <v>639.13180971249471</v>
      </c>
      <c r="S139" s="16" cm="1">
        <f t="array" ref="S139">Y139*tax_rate</f>
        <v>0</v>
      </c>
      <c r="T139" s="16">
        <f t="shared" si="44"/>
        <v>130943.09570945718</v>
      </c>
      <c r="U139" s="16">
        <f t="shared" si="35"/>
        <v>675004.76529903465</v>
      </c>
      <c r="V139" s="16"/>
      <c r="W139" s="144">
        <f t="shared" si="45"/>
        <v>0.19803936557179616</v>
      </c>
      <c r="X139" s="144" t="str">
        <f t="shared" si="51"/>
        <v/>
      </c>
      <c r="Y139" s="146"/>
      <c r="Z139" s="139">
        <f t="shared" si="36"/>
        <v>3103.0901238075908</v>
      </c>
      <c r="AA139" s="114">
        <v>112</v>
      </c>
      <c r="AB139" s="48">
        <f t="shared" si="46"/>
        <v>-2066.311090718882</v>
      </c>
      <c r="AC139" s="49"/>
      <c r="AD139" s="49">
        <f t="shared" si="50"/>
        <v>6084.3898064780515</v>
      </c>
      <c r="AE139" s="50"/>
      <c r="AF139" s="140"/>
      <c r="AG139" s="140"/>
      <c r="AH139" s="140">
        <f t="shared" si="37"/>
        <v>622557.82325173996</v>
      </c>
      <c r="AI139" s="15"/>
      <c r="AJ139" s="9"/>
      <c r="AK139" s="9"/>
    </row>
    <row r="140" spans="2:37" ht="12" hidden="1" customHeight="1" outlineLevel="1" x14ac:dyDescent="0.25">
      <c r="B140" s="143" t="str">
        <f t="shared" si="38"/>
        <v/>
      </c>
      <c r="C140" s="16">
        <f t="shared" si="39"/>
        <v>878486.27929218567</v>
      </c>
      <c r="D140" s="16">
        <f t="shared" si="47"/>
        <v>3794.3062314678277</v>
      </c>
      <c r="E140" s="16">
        <f t="shared" si="48"/>
        <v>-464.06654878404998</v>
      </c>
      <c r="F140" s="16">
        <f t="shared" si="49"/>
        <v>-227.14955887618697</v>
      </c>
      <c r="G140" s="16">
        <f t="shared" si="40"/>
        <v>0</v>
      </c>
      <c r="H140" s="16">
        <v>0</v>
      </c>
      <c r="I140" s="16">
        <v>0</v>
      </c>
      <c r="J140" s="16">
        <v>0</v>
      </c>
      <c r="K140" s="16">
        <f t="shared" si="41"/>
        <v>-2622.054407072922</v>
      </c>
      <c r="L140" s="16">
        <f t="shared" si="42"/>
        <v>691.21610766023696</v>
      </c>
      <c r="M140" s="16">
        <f t="shared" si="30"/>
        <v>3313.270514733159</v>
      </c>
      <c r="N140" s="16">
        <f t="shared" si="31"/>
        <v>866.28136858868174</v>
      </c>
      <c r="O140" s="16">
        <f t="shared" si="32"/>
        <v>3103.0901238075908</v>
      </c>
      <c r="P140" s="16">
        <f t="shared" si="43"/>
        <v>329494.81448658579</v>
      </c>
      <c r="Q140" s="16">
        <f t="shared" si="33"/>
        <v>548991.46480559988</v>
      </c>
      <c r="R140" s="16">
        <f t="shared" si="34"/>
        <v>639.13180971249471</v>
      </c>
      <c r="S140" s="16" cm="1">
        <f t="array" ref="S140">Y140*tax_rate</f>
        <v>0</v>
      </c>
      <c r="T140" s="16">
        <f t="shared" si="44"/>
        <v>132127.82375129242</v>
      </c>
      <c r="U140" s="16">
        <f t="shared" si="35"/>
        <v>681119.28855689231</v>
      </c>
      <c r="V140" s="16"/>
      <c r="W140" s="144">
        <f t="shared" si="45"/>
        <v>0.19727123533378152</v>
      </c>
      <c r="X140" s="144" t="str">
        <f t="shared" si="51"/>
        <v/>
      </c>
      <c r="Y140" s="146"/>
      <c r="Z140" s="139">
        <f t="shared" si="36"/>
        <v>3103.0901238075908</v>
      </c>
      <c r="AA140" s="114">
        <v>113</v>
      </c>
      <c r="AB140" s="48">
        <f t="shared" si="46"/>
        <v>-2062.8376949916692</v>
      </c>
      <c r="AC140" s="49"/>
      <c r="AD140" s="49">
        <f t="shared" si="50"/>
        <v>6114.5232578576542</v>
      </c>
      <c r="AE140" s="50"/>
      <c r="AF140" s="140"/>
      <c r="AG140" s="140"/>
      <c r="AH140" s="140">
        <f t="shared" si="37"/>
        <v>628410.11179936118</v>
      </c>
      <c r="AI140" s="15"/>
      <c r="AJ140" s="9"/>
      <c r="AK140" s="9"/>
    </row>
    <row r="141" spans="2:37" ht="12" hidden="1" customHeight="1" outlineLevel="1" x14ac:dyDescent="0.25">
      <c r="B141" s="143" t="str">
        <f t="shared" si="38"/>
        <v/>
      </c>
      <c r="C141" s="16">
        <f t="shared" si="39"/>
        <v>882878.71068864653</v>
      </c>
      <c r="D141" s="16">
        <f t="shared" si="47"/>
        <v>3794.3062314678277</v>
      </c>
      <c r="E141" s="16">
        <f t="shared" si="48"/>
        <v>-464.06654878404998</v>
      </c>
      <c r="F141" s="16">
        <f t="shared" si="49"/>
        <v>-227.14955887618697</v>
      </c>
      <c r="G141" s="16">
        <f t="shared" si="40"/>
        <v>0</v>
      </c>
      <c r="H141" s="16">
        <v>0</v>
      </c>
      <c r="I141" s="16">
        <v>0</v>
      </c>
      <c r="J141" s="16">
        <v>0</v>
      </c>
      <c r="K141" s="16">
        <f t="shared" si="41"/>
        <v>-2622.054407072922</v>
      </c>
      <c r="L141" s="16">
        <f t="shared" si="42"/>
        <v>691.21610766023696</v>
      </c>
      <c r="M141" s="16">
        <f t="shared" si="30"/>
        <v>3313.270514733159</v>
      </c>
      <c r="N141" s="16">
        <f t="shared" si="31"/>
        <v>866.28136858868174</v>
      </c>
      <c r="O141" s="16">
        <f t="shared" si="32"/>
        <v>3103.0901238075908</v>
      </c>
      <c r="P141" s="16">
        <f t="shared" si="43"/>
        <v>328932.10267005401</v>
      </c>
      <c r="Q141" s="16">
        <f t="shared" si="33"/>
        <v>553946.60801859247</v>
      </c>
      <c r="R141" s="16">
        <f t="shared" si="34"/>
        <v>639.13180971249471</v>
      </c>
      <c r="S141" s="16" cm="1">
        <f t="array" ref="S141">Y141*tax_rate</f>
        <v>0</v>
      </c>
      <c r="T141" s="16">
        <f t="shared" si="44"/>
        <v>133317.48815996863</v>
      </c>
      <c r="U141" s="16">
        <f t="shared" si="35"/>
        <v>687264.0961785611</v>
      </c>
      <c r="V141" s="16"/>
      <c r="W141" s="144">
        <f t="shared" si="45"/>
        <v>0.19651246016952184</v>
      </c>
      <c r="X141" s="144" t="str">
        <f t="shared" si="51"/>
        <v/>
      </c>
      <c r="Y141" s="146"/>
      <c r="Z141" s="139">
        <f t="shared" si="36"/>
        <v>3103.0901238075908</v>
      </c>
      <c r="AA141" s="114">
        <v>114</v>
      </c>
      <c r="AB141" s="48">
        <f t="shared" si="46"/>
        <v>-2059.3425905411609</v>
      </c>
      <c r="AC141" s="49"/>
      <c r="AD141" s="49">
        <f t="shared" si="50"/>
        <v>6144.8076216687914</v>
      </c>
      <c r="AE141" s="50"/>
      <c r="AF141" s="140"/>
      <c r="AG141" s="140"/>
      <c r="AH141" s="140">
        <f t="shared" si="37"/>
        <v>634291.3735372423</v>
      </c>
      <c r="AI141" s="15"/>
      <c r="AJ141" s="9"/>
      <c r="AK141" s="9"/>
    </row>
    <row r="142" spans="2:37" ht="12" hidden="1" customHeight="1" outlineLevel="1" x14ac:dyDescent="0.25">
      <c r="B142" s="143" t="str">
        <f t="shared" si="38"/>
        <v/>
      </c>
      <c r="C142" s="16">
        <f t="shared" si="39"/>
        <v>887293.10424208967</v>
      </c>
      <c r="D142" s="16">
        <f t="shared" si="47"/>
        <v>3794.3062314678277</v>
      </c>
      <c r="E142" s="16">
        <f t="shared" si="48"/>
        <v>-464.06654878404998</v>
      </c>
      <c r="F142" s="16">
        <f t="shared" si="49"/>
        <v>-227.14955887618697</v>
      </c>
      <c r="G142" s="16">
        <f t="shared" si="40"/>
        <v>0</v>
      </c>
      <c r="H142" s="16">
        <v>0</v>
      </c>
      <c r="I142" s="16">
        <v>0</v>
      </c>
      <c r="J142" s="16">
        <v>0</v>
      </c>
      <c r="K142" s="16">
        <f t="shared" si="41"/>
        <v>-2622.054407072922</v>
      </c>
      <c r="L142" s="16">
        <f t="shared" si="42"/>
        <v>691.21610766023696</v>
      </c>
      <c r="M142" s="16">
        <f t="shared" si="30"/>
        <v>3313.270514733159</v>
      </c>
      <c r="N142" s="16">
        <f t="shared" si="31"/>
        <v>866.28136858868174</v>
      </c>
      <c r="O142" s="16">
        <f t="shared" si="32"/>
        <v>3103.0901238075908</v>
      </c>
      <c r="P142" s="16">
        <f t="shared" si="43"/>
        <v>328365.8739046689</v>
      </c>
      <c r="Q142" s="16">
        <f t="shared" si="33"/>
        <v>558927.23033742071</v>
      </c>
      <c r="R142" s="16">
        <f t="shared" si="34"/>
        <v>639.13180971249471</v>
      </c>
      <c r="S142" s="16" cm="1">
        <f t="array" ref="S142">Y142*tax_rate</f>
        <v>0</v>
      </c>
      <c r="T142" s="16">
        <f t="shared" si="44"/>
        <v>134512.10950368101</v>
      </c>
      <c r="U142" s="16">
        <f t="shared" si="35"/>
        <v>693439.33984110178</v>
      </c>
      <c r="V142" s="16"/>
      <c r="W142" s="144">
        <f t="shared" si="45"/>
        <v>0.19576285112675498</v>
      </c>
      <c r="X142" s="144" t="str">
        <f t="shared" si="51"/>
        <v/>
      </c>
      <c r="Y142" s="146"/>
      <c r="Z142" s="139">
        <f t="shared" si="36"/>
        <v>3103.0901238075908</v>
      </c>
      <c r="AA142" s="114">
        <v>115</v>
      </c>
      <c r="AB142" s="48">
        <f t="shared" si="46"/>
        <v>-2055.8256416878376</v>
      </c>
      <c r="AC142" s="49"/>
      <c r="AD142" s="49">
        <f t="shared" si="50"/>
        <v>6175.2436625406845</v>
      </c>
      <c r="AE142" s="50"/>
      <c r="AF142" s="140"/>
      <c r="AG142" s="140"/>
      <c r="AH142" s="140">
        <f t="shared" si="37"/>
        <v>640201.75358657644</v>
      </c>
      <c r="AI142" s="15"/>
      <c r="AJ142" s="9"/>
      <c r="AK142" s="9"/>
    </row>
    <row r="143" spans="2:37" ht="12" hidden="1" customHeight="1" outlineLevel="1" x14ac:dyDescent="0.25">
      <c r="B143" s="143" t="str">
        <f t="shared" si="38"/>
        <v/>
      </c>
      <c r="C143" s="16">
        <f t="shared" si="39"/>
        <v>891729.56976330001</v>
      </c>
      <c r="D143" s="16">
        <f t="shared" si="47"/>
        <v>3794.3062314678277</v>
      </c>
      <c r="E143" s="16">
        <f t="shared" si="48"/>
        <v>-464.06654878404998</v>
      </c>
      <c r="F143" s="16">
        <f t="shared" si="49"/>
        <v>-227.14955887618697</v>
      </c>
      <c r="G143" s="16">
        <f t="shared" si="40"/>
        <v>0</v>
      </c>
      <c r="H143" s="16">
        <v>0</v>
      </c>
      <c r="I143" s="16">
        <v>0</v>
      </c>
      <c r="J143" s="16">
        <v>0</v>
      </c>
      <c r="K143" s="16">
        <f t="shared" si="41"/>
        <v>-2622.054407072922</v>
      </c>
      <c r="L143" s="16">
        <f t="shared" si="42"/>
        <v>691.21610766023696</v>
      </c>
      <c r="M143" s="16">
        <f t="shared" si="30"/>
        <v>3313.270514733159</v>
      </c>
      <c r="N143" s="16">
        <f t="shared" si="31"/>
        <v>866.28136858868174</v>
      </c>
      <c r="O143" s="16">
        <f t="shared" si="32"/>
        <v>3103.0901238075908</v>
      </c>
      <c r="P143" s="16">
        <f t="shared" si="43"/>
        <v>327796.10620950017</v>
      </c>
      <c r="Q143" s="16">
        <f t="shared" si="33"/>
        <v>563933.46355379978</v>
      </c>
      <c r="R143" s="16">
        <f t="shared" si="34"/>
        <v>639.13180971249471</v>
      </c>
      <c r="S143" s="16" cm="1">
        <f t="array" ref="S143">Y143*tax_rate</f>
        <v>0</v>
      </c>
      <c r="T143" s="16">
        <f t="shared" si="44"/>
        <v>135711.70843632551</v>
      </c>
      <c r="U143" s="16">
        <f t="shared" si="35"/>
        <v>699645.17199012532</v>
      </c>
      <c r="V143" s="16"/>
      <c r="W143" s="144">
        <f t="shared" si="45"/>
        <v>0.19502222473773076</v>
      </c>
      <c r="X143" s="144" t="str">
        <f t="shared" si="51"/>
        <v/>
      </c>
      <c r="Y143" s="146"/>
      <c r="Z143" s="139">
        <f t="shared" si="36"/>
        <v>3103.0901238075908</v>
      </c>
      <c r="AA143" s="114">
        <v>116</v>
      </c>
      <c r="AB143" s="48">
        <f t="shared" si="46"/>
        <v>-2052.2867119041803</v>
      </c>
      <c r="AC143" s="49"/>
      <c r="AD143" s="49">
        <f t="shared" si="50"/>
        <v>6205.8321490235394</v>
      </c>
      <c r="AE143" s="50"/>
      <c r="AF143" s="140"/>
      <c r="AG143" s="140"/>
      <c r="AH143" s="140">
        <f t="shared" si="37"/>
        <v>646141.39780432731</v>
      </c>
      <c r="AI143" s="15"/>
      <c r="AJ143" s="9"/>
      <c r="AK143" s="9"/>
    </row>
    <row r="144" spans="2:37" ht="12" hidden="1" customHeight="1" outlineLevel="1" x14ac:dyDescent="0.25">
      <c r="B144" s="143" t="str">
        <f t="shared" si="38"/>
        <v/>
      </c>
      <c r="C144" s="16">
        <f t="shared" si="39"/>
        <v>896188.21761211636</v>
      </c>
      <c r="D144" s="16">
        <f t="shared" si="47"/>
        <v>3794.3062314678277</v>
      </c>
      <c r="E144" s="16">
        <f t="shared" si="48"/>
        <v>-464.06654878404998</v>
      </c>
      <c r="F144" s="16">
        <f t="shared" si="49"/>
        <v>-227.14955887618697</v>
      </c>
      <c r="G144" s="16">
        <f t="shared" si="40"/>
        <v>0</v>
      </c>
      <c r="H144" s="16">
        <v>0</v>
      </c>
      <c r="I144" s="16">
        <v>0</v>
      </c>
      <c r="J144" s="16">
        <v>0</v>
      </c>
      <c r="K144" s="16">
        <f t="shared" si="41"/>
        <v>-2622.054407072922</v>
      </c>
      <c r="L144" s="16">
        <f t="shared" si="42"/>
        <v>691.21610766023696</v>
      </c>
      <c r="M144" s="16">
        <f t="shared" si="30"/>
        <v>3313.270514733159</v>
      </c>
      <c r="N144" s="16">
        <f t="shared" si="31"/>
        <v>866.28136858868174</v>
      </c>
      <c r="O144" s="16">
        <f t="shared" si="32"/>
        <v>3103.0901238075908</v>
      </c>
      <c r="P144" s="16">
        <f t="shared" si="43"/>
        <v>327222.77746623661</v>
      </c>
      <c r="Q144" s="16">
        <f t="shared" si="33"/>
        <v>568965.44014587975</v>
      </c>
      <c r="R144" s="16">
        <f t="shared" si="34"/>
        <v>639.13180971249471</v>
      </c>
      <c r="S144" s="16" cm="1">
        <f t="array" ref="S144">Y144*tax_rate</f>
        <v>0</v>
      </c>
      <c r="T144" s="16">
        <f t="shared" si="44"/>
        <v>136916.30569785603</v>
      </c>
      <c r="U144" s="16">
        <f t="shared" si="35"/>
        <v>705881.74584373576</v>
      </c>
      <c r="V144" s="16"/>
      <c r="W144" s="144">
        <f t="shared" si="45"/>
        <v>0.19429040281000814</v>
      </c>
      <c r="X144" s="144" t="str">
        <f t="shared" si="51"/>
        <v/>
      </c>
      <c r="Y144" s="146"/>
      <c r="Z144" s="139">
        <f t="shared" si="36"/>
        <v>3103.0901238075908</v>
      </c>
      <c r="AA144" s="114">
        <v>117</v>
      </c>
      <c r="AB144" s="48">
        <f t="shared" si="46"/>
        <v>-2048.7256638093759</v>
      </c>
      <c r="AC144" s="49"/>
      <c r="AD144" s="49">
        <f t="shared" si="50"/>
        <v>6236.5738536104327</v>
      </c>
      <c r="AE144" s="50"/>
      <c r="AF144" s="140"/>
      <c r="AG144" s="140"/>
      <c r="AH144" s="140">
        <f t="shared" si="37"/>
        <v>652110.45278700884</v>
      </c>
      <c r="AI144" s="15"/>
      <c r="AJ144" s="9"/>
      <c r="AK144" s="9"/>
    </row>
    <row r="145" spans="2:37" ht="12" hidden="1" customHeight="1" outlineLevel="1" x14ac:dyDescent="0.25">
      <c r="B145" s="143" t="str">
        <f t="shared" si="38"/>
        <v/>
      </c>
      <c r="C145" s="16">
        <f t="shared" si="39"/>
        <v>900669.15870017686</v>
      </c>
      <c r="D145" s="16">
        <f t="shared" si="47"/>
        <v>3794.3062314678277</v>
      </c>
      <c r="E145" s="16">
        <f t="shared" si="48"/>
        <v>-464.06654878404998</v>
      </c>
      <c r="F145" s="16">
        <f t="shared" si="49"/>
        <v>-227.14955887618697</v>
      </c>
      <c r="G145" s="16">
        <f t="shared" si="40"/>
        <v>0</v>
      </c>
      <c r="H145" s="16">
        <v>0</v>
      </c>
      <c r="I145" s="16">
        <v>0</v>
      </c>
      <c r="J145" s="16">
        <v>0</v>
      </c>
      <c r="K145" s="16">
        <f t="shared" si="41"/>
        <v>-2622.054407072922</v>
      </c>
      <c r="L145" s="16">
        <f t="shared" si="42"/>
        <v>691.21610766023696</v>
      </c>
      <c r="M145" s="16">
        <f t="shared" si="30"/>
        <v>3313.270514733159</v>
      </c>
      <c r="N145" s="16">
        <f t="shared" si="31"/>
        <v>866.28136858868174</v>
      </c>
      <c r="O145" s="16">
        <f t="shared" si="32"/>
        <v>3103.0901238075908</v>
      </c>
      <c r="P145" s="16">
        <f t="shared" si="43"/>
        <v>326645.86541832768</v>
      </c>
      <c r="Q145" s="16">
        <f t="shared" si="33"/>
        <v>574023.29328184924</v>
      </c>
      <c r="R145" s="16">
        <f t="shared" si="34"/>
        <v>639.13180971249471</v>
      </c>
      <c r="S145" s="16" cm="1">
        <f t="array" ref="S145">Y145*tax_rate</f>
        <v>0</v>
      </c>
      <c r="T145" s="16">
        <f t="shared" si="44"/>
        <v>138125.92211464295</v>
      </c>
      <c r="U145" s="16">
        <f t="shared" si="35"/>
        <v>712149.21539649216</v>
      </c>
      <c r="V145" s="16"/>
      <c r="W145" s="144">
        <f t="shared" si="45"/>
        <v>0.19356721222713782</v>
      </c>
      <c r="X145" s="144" t="str">
        <f t="shared" si="51"/>
        <v/>
      </c>
      <c r="Y145" s="146"/>
      <c r="Z145" s="139">
        <f t="shared" si="36"/>
        <v>3103.0901238075908</v>
      </c>
      <c r="AA145" s="114">
        <v>118</v>
      </c>
      <c r="AB145" s="48">
        <f t="shared" si="46"/>
        <v>-2045.1423591639787</v>
      </c>
      <c r="AC145" s="49"/>
      <c r="AD145" s="49">
        <f t="shared" si="50"/>
        <v>6267.4695527564036</v>
      </c>
      <c r="AE145" s="50"/>
      <c r="AF145" s="140"/>
      <c r="AG145" s="140"/>
      <c r="AH145" s="140">
        <f t="shared" si="37"/>
        <v>658109.06587448157</v>
      </c>
      <c r="AI145" s="15"/>
      <c r="AJ145" s="9"/>
      <c r="AK145" s="9"/>
    </row>
    <row r="146" spans="2:37" ht="12" hidden="1" customHeight="1" outlineLevel="1" x14ac:dyDescent="0.25">
      <c r="B146" s="143" t="str">
        <f t="shared" si="38"/>
        <v/>
      </c>
      <c r="C146" s="16">
        <f t="shared" si="39"/>
        <v>905172.50449367764</v>
      </c>
      <c r="D146" s="16">
        <f t="shared" si="47"/>
        <v>3794.3062314678277</v>
      </c>
      <c r="E146" s="16">
        <f t="shared" si="48"/>
        <v>-464.06654878404998</v>
      </c>
      <c r="F146" s="16">
        <f t="shared" si="49"/>
        <v>-227.14955887618697</v>
      </c>
      <c r="G146" s="16">
        <f t="shared" si="40"/>
        <v>0</v>
      </c>
      <c r="H146" s="16">
        <v>0</v>
      </c>
      <c r="I146" s="16">
        <v>0</v>
      </c>
      <c r="J146" s="16">
        <v>0</v>
      </c>
      <c r="K146" s="16">
        <f t="shared" si="41"/>
        <v>-2622.054407072922</v>
      </c>
      <c r="L146" s="16">
        <f t="shared" si="42"/>
        <v>691.21610766023696</v>
      </c>
      <c r="M146" s="16">
        <f t="shared" si="30"/>
        <v>3313.270514733159</v>
      </c>
      <c r="N146" s="16">
        <f t="shared" si="31"/>
        <v>866.28136858868174</v>
      </c>
      <c r="O146" s="16">
        <f t="shared" si="32"/>
        <v>3103.0901238075908</v>
      </c>
      <c r="P146" s="16">
        <f t="shared" si="43"/>
        <v>326065.34767011931</v>
      </c>
      <c r="Q146" s="16">
        <f t="shared" si="33"/>
        <v>579107.15682355827</v>
      </c>
      <c r="R146" s="16">
        <f t="shared" si="34"/>
        <v>639.13180971249471</v>
      </c>
      <c r="S146" s="16" cm="1">
        <f t="array" ref="S146">Y146*tax_rate</f>
        <v>0</v>
      </c>
      <c r="T146" s="16">
        <f t="shared" si="44"/>
        <v>139340.57859983313</v>
      </c>
      <c r="U146" s="16">
        <f t="shared" si="35"/>
        <v>718447.73542339145</v>
      </c>
      <c r="V146" s="16"/>
      <c r="W146" s="144">
        <f t="shared" si="45"/>
        <v>0.19285248475867781</v>
      </c>
      <c r="X146" s="144" t="str">
        <f t="shared" si="51"/>
        <v/>
      </c>
      <c r="Y146" s="146"/>
      <c r="Z146" s="139">
        <f t="shared" si="36"/>
        <v>3103.0901238075908</v>
      </c>
      <c r="AA146" s="114">
        <v>119</v>
      </c>
      <c r="AB146" s="48">
        <f t="shared" si="46"/>
        <v>-2041.5366588645479</v>
      </c>
      <c r="AC146" s="49"/>
      <c r="AD146" s="49">
        <f t="shared" si="50"/>
        <v>6298.5200268992921</v>
      </c>
      <c r="AE146" s="50"/>
      <c r="AF146" s="140"/>
      <c r="AG146" s="140"/>
      <c r="AH146" s="140">
        <f t="shared" si="37"/>
        <v>664137.3851537708</v>
      </c>
      <c r="AI146" s="15"/>
      <c r="AJ146" s="9"/>
      <c r="AK146" s="9"/>
    </row>
    <row r="147" spans="2:37" ht="15" customHeight="1" collapsed="1" x14ac:dyDescent="0.25">
      <c r="B147" s="143">
        <f t="shared" si="38"/>
        <v>10</v>
      </c>
      <c r="C147" s="16">
        <f t="shared" si="39"/>
        <v>909698.36701614596</v>
      </c>
      <c r="D147" s="16">
        <f t="shared" si="47"/>
        <v>3794.3062314678277</v>
      </c>
      <c r="E147" s="16">
        <f t="shared" si="48"/>
        <v>-464.06654878404998</v>
      </c>
      <c r="F147" s="16">
        <f t="shared" si="49"/>
        <v>-227.14955887618697</v>
      </c>
      <c r="G147" s="16">
        <f t="shared" si="40"/>
        <v>0</v>
      </c>
      <c r="H147" s="16">
        <v>0</v>
      </c>
      <c r="I147" s="16">
        <v>0</v>
      </c>
      <c r="J147" s="16">
        <v>0</v>
      </c>
      <c r="K147" s="16">
        <f t="shared" si="41"/>
        <v>-2622.054407072922</v>
      </c>
      <c r="L147" s="16">
        <f t="shared" si="42"/>
        <v>691.21610766023696</v>
      </c>
      <c r="M147" s="16">
        <f t="shared" si="30"/>
        <v>3313.270514733159</v>
      </c>
      <c r="N147" s="16">
        <f t="shared" si="31"/>
        <v>866.28136858868174</v>
      </c>
      <c r="O147" s="16">
        <f t="shared" si="32"/>
        <v>3103.0901238075908</v>
      </c>
      <c r="P147" s="16">
        <f t="shared" si="43"/>
        <v>325481.20168598462</v>
      </c>
      <c r="Q147" s="16">
        <f t="shared" si="33"/>
        <v>584217.16533016134</v>
      </c>
      <c r="R147" s="16">
        <f t="shared" si="34"/>
        <v>639.13180971249471</v>
      </c>
      <c r="S147" s="16" cm="1">
        <f t="array" ref="S147">Y147*tax_rate</f>
        <v>9856.8202793064575</v>
      </c>
      <c r="T147" s="16">
        <f t="shared" si="44"/>
        <v>150417.11643301806</v>
      </c>
      <c r="U147" s="16">
        <f t="shared" si="35"/>
        <v>734634.28176317946</v>
      </c>
      <c r="V147" s="16">
        <f>U147-U135</f>
        <v>83787.772718446911</v>
      </c>
      <c r="W147" s="144">
        <f t="shared" si="45"/>
        <v>0.1937575127840083</v>
      </c>
      <c r="X147" s="144">
        <f t="shared" si="51"/>
        <v>0.12873660925280955</v>
      </c>
      <c r="Y147" s="145">
        <f>(((Sale_Price*0.8)+Improvement_Costs+Closing_Costs_Total)/27.5)+(-E147*12)+-AC147</f>
        <v>44803.72854230208</v>
      </c>
      <c r="Z147" s="139">
        <f t="shared" si="36"/>
        <v>3103.0901238075908</v>
      </c>
      <c r="AA147" s="114">
        <v>120</v>
      </c>
      <c r="AB147" s="48">
        <f t="shared" si="46"/>
        <v>-2037.9084229382456</v>
      </c>
      <c r="AC147" s="48">
        <f>SUM(AB136:AB147)</f>
        <v>-24689.475411438936</v>
      </c>
      <c r="AD147" s="49">
        <f t="shared" si="50"/>
        <v>16186.546339788008</v>
      </c>
      <c r="AE147" s="139">
        <f>D147*12</f>
        <v>45531.674777613931</v>
      </c>
      <c r="AF147" s="140"/>
      <c r="AG147" s="140">
        <f>O147+Q147-(C147*(Cost_of_Sale_Percentage))</f>
        <v>532738.35343300016</v>
      </c>
      <c r="AH147" s="140">
        <f t="shared" si="37"/>
        <v>680052.37974221073</v>
      </c>
      <c r="AI147" s="15">
        <f>AI135*(1+Comparison_Rate_of_Return)</f>
        <v>324217.80751250032</v>
      </c>
      <c r="AJ147" s="9"/>
      <c r="AK147" s="9"/>
    </row>
    <row r="148" spans="2:37" ht="12" hidden="1" customHeight="1" outlineLevel="1" x14ac:dyDescent="0.25">
      <c r="B148" s="8" t="str">
        <f t="shared" si="38"/>
        <v/>
      </c>
      <c r="C148" s="85">
        <f t="shared" si="39"/>
        <v>914246.85885122663</v>
      </c>
      <c r="D148" s="85">
        <f t="shared" si="47"/>
        <v>3927.1069495692013</v>
      </c>
      <c r="E148" s="85">
        <f t="shared" si="48"/>
        <v>-480.30887799149167</v>
      </c>
      <c r="F148" s="85">
        <f t="shared" si="49"/>
        <v>-235.0997934368535</v>
      </c>
      <c r="G148" s="85">
        <f t="shared" si="40"/>
        <v>0</v>
      </c>
      <c r="H148" s="85">
        <v>0</v>
      </c>
      <c r="I148" s="85">
        <v>0</v>
      </c>
      <c r="J148" s="85">
        <v>0</v>
      </c>
      <c r="K148" s="85">
        <f t="shared" si="41"/>
        <v>-2622.054407072922</v>
      </c>
      <c r="L148" s="85">
        <f t="shared" si="42"/>
        <v>715.4086714283452</v>
      </c>
      <c r="M148" s="85">
        <f t="shared" si="30"/>
        <v>3337.4630785012673</v>
      </c>
      <c r="N148" s="85">
        <f t="shared" si="31"/>
        <v>988.37312073683825</v>
      </c>
      <c r="O148" s="85">
        <f t="shared" si="32"/>
        <v>3211.6982781408565</v>
      </c>
      <c r="P148" s="85">
        <f t="shared" si="43"/>
        <v>324893.40478944912</v>
      </c>
      <c r="Q148" s="85">
        <f t="shared" si="33"/>
        <v>589353.45406177756</v>
      </c>
      <c r="R148" s="85">
        <f t="shared" si="34"/>
        <v>753.27332729998477</v>
      </c>
      <c r="S148" s="85" cm="1">
        <f t="array" ref="S148">Y148*tax_rate</f>
        <v>0</v>
      </c>
      <c r="T148" s="85">
        <f t="shared" si="44"/>
        <v>151797.1277454556</v>
      </c>
      <c r="U148" s="85">
        <f t="shared" si="35"/>
        <v>741150.58180723316</v>
      </c>
      <c r="V148" s="85"/>
      <c r="W148" s="138">
        <f t="shared" si="45"/>
        <v>0.19305593095486692</v>
      </c>
      <c r="X148" s="138" t="str">
        <f t="shared" si="51"/>
        <v/>
      </c>
      <c r="Y148" s="142"/>
      <c r="Z148" s="139">
        <f t="shared" si="36"/>
        <v>3211.6982781408565</v>
      </c>
      <c r="AA148" s="114">
        <v>121</v>
      </c>
      <c r="AB148" s="48">
        <f t="shared" si="46"/>
        <v>-2034.2575105374037</v>
      </c>
      <c r="AC148" s="49"/>
      <c r="AD148" s="49">
        <f t="shared" si="50"/>
        <v>6516.3000440536998</v>
      </c>
      <c r="AE148" s="50"/>
      <c r="AF148" s="140"/>
      <c r="AG148" s="140"/>
      <c r="AH148" s="140">
        <f t="shared" si="37"/>
        <v>686295.77027615951</v>
      </c>
      <c r="AI148" s="9"/>
      <c r="AJ148" s="9"/>
      <c r="AK148" s="9"/>
    </row>
    <row r="149" spans="2:37" ht="12" hidden="1" customHeight="1" outlineLevel="1" x14ac:dyDescent="0.25">
      <c r="B149" s="8" t="str">
        <f t="shared" si="38"/>
        <v/>
      </c>
      <c r="C149" s="85">
        <f t="shared" si="39"/>
        <v>918818.09314548271</v>
      </c>
      <c r="D149" s="85">
        <f t="shared" si="47"/>
        <v>3927.1069495692013</v>
      </c>
      <c r="E149" s="85">
        <f t="shared" si="48"/>
        <v>-480.30887799149167</v>
      </c>
      <c r="F149" s="85">
        <f t="shared" si="49"/>
        <v>-235.0997934368535</v>
      </c>
      <c r="G149" s="85">
        <f t="shared" si="40"/>
        <v>0</v>
      </c>
      <c r="H149" s="85">
        <v>0</v>
      </c>
      <c r="I149" s="85">
        <v>0</v>
      </c>
      <c r="J149" s="85">
        <v>0</v>
      </c>
      <c r="K149" s="85">
        <f t="shared" si="41"/>
        <v>-2622.054407072922</v>
      </c>
      <c r="L149" s="85">
        <f t="shared" si="42"/>
        <v>715.4086714283452</v>
      </c>
      <c r="M149" s="85">
        <f t="shared" si="30"/>
        <v>3337.4630785012673</v>
      </c>
      <c r="N149" s="85">
        <f t="shared" si="31"/>
        <v>988.37312073683825</v>
      </c>
      <c r="O149" s="85">
        <f t="shared" si="32"/>
        <v>3211.6982781408565</v>
      </c>
      <c r="P149" s="85">
        <f t="shared" si="43"/>
        <v>324301.93416231027</v>
      </c>
      <c r="Q149" s="85">
        <f t="shared" si="33"/>
        <v>594516.15898317238</v>
      </c>
      <c r="R149" s="85">
        <f t="shared" si="34"/>
        <v>753.27332729998477</v>
      </c>
      <c r="S149" s="85" cm="1">
        <f t="array" ref="S149">Y149*tax_rate</f>
        <v>0</v>
      </c>
      <c r="T149" s="85">
        <f t="shared" si="44"/>
        <v>153182.8891050283</v>
      </c>
      <c r="U149" s="85">
        <f t="shared" si="35"/>
        <v>747699.04808820062</v>
      </c>
      <c r="V149" s="85"/>
      <c r="W149" s="138">
        <f t="shared" si="45"/>
        <v>0.19236223188268925</v>
      </c>
      <c r="X149" s="138" t="str">
        <f t="shared" si="51"/>
        <v/>
      </c>
      <c r="Y149" s="142"/>
      <c r="Z149" s="139">
        <f t="shared" si="36"/>
        <v>3211.6982781408565</v>
      </c>
      <c r="AA149" s="114">
        <v>122</v>
      </c>
      <c r="AB149" s="48">
        <f t="shared" si="46"/>
        <v>-2030.5837799340568</v>
      </c>
      <c r="AC149" s="49"/>
      <c r="AD149" s="49">
        <f t="shared" si="50"/>
        <v>6548.4662809674628</v>
      </c>
      <c r="AE149" s="50"/>
      <c r="AF149" s="140"/>
      <c r="AG149" s="140"/>
      <c r="AH149" s="140">
        <f t="shared" si="37"/>
        <v>692569.96249947161</v>
      </c>
      <c r="AI149" s="9"/>
      <c r="AJ149" s="9"/>
      <c r="AK149" s="9"/>
    </row>
    <row r="150" spans="2:37" ht="12" hidden="1" customHeight="1" outlineLevel="1" x14ac:dyDescent="0.25">
      <c r="B150" s="8" t="str">
        <f t="shared" si="38"/>
        <v/>
      </c>
      <c r="C150" s="85">
        <f t="shared" si="39"/>
        <v>923412.18361120997</v>
      </c>
      <c r="D150" s="85">
        <f t="shared" si="47"/>
        <v>3927.1069495692013</v>
      </c>
      <c r="E150" s="85">
        <f t="shared" si="48"/>
        <v>-480.30887799149167</v>
      </c>
      <c r="F150" s="85">
        <f t="shared" si="49"/>
        <v>-235.0997934368535</v>
      </c>
      <c r="G150" s="85">
        <f t="shared" si="40"/>
        <v>0</v>
      </c>
      <c r="H150" s="85">
        <v>0</v>
      </c>
      <c r="I150" s="85">
        <v>0</v>
      </c>
      <c r="J150" s="85">
        <v>0</v>
      </c>
      <c r="K150" s="85">
        <f t="shared" si="41"/>
        <v>-2622.054407072922</v>
      </c>
      <c r="L150" s="85">
        <f t="shared" si="42"/>
        <v>715.4086714283452</v>
      </c>
      <c r="M150" s="85">
        <f t="shared" si="30"/>
        <v>3337.4630785012673</v>
      </c>
      <c r="N150" s="85">
        <f t="shared" si="31"/>
        <v>988.37312073683825</v>
      </c>
      <c r="O150" s="85">
        <f t="shared" si="32"/>
        <v>3211.6982781408565</v>
      </c>
      <c r="P150" s="85">
        <f t="shared" si="43"/>
        <v>323706.76684375177</v>
      </c>
      <c r="Q150" s="85">
        <f t="shared" si="33"/>
        <v>599705.4167674582</v>
      </c>
      <c r="R150" s="85">
        <f t="shared" si="34"/>
        <v>753.27332729998477</v>
      </c>
      <c r="S150" s="85" cm="1">
        <f t="array" ref="S150">Y150*tax_rate</f>
        <v>0</v>
      </c>
      <c r="T150" s="85">
        <f t="shared" si="44"/>
        <v>154574.42447026589</v>
      </c>
      <c r="U150" s="85">
        <f t="shared" si="35"/>
        <v>754279.84123772406</v>
      </c>
      <c r="V150" s="85"/>
      <c r="W150" s="138">
        <f t="shared" si="45"/>
        <v>0.19167627065821116</v>
      </c>
      <c r="X150" s="138" t="str">
        <f t="shared" si="51"/>
        <v/>
      </c>
      <c r="Y150" s="142"/>
      <c r="Z150" s="139">
        <f t="shared" si="36"/>
        <v>3211.6982781408565</v>
      </c>
      <c r="AA150" s="114">
        <v>123</v>
      </c>
      <c r="AB150" s="48">
        <f t="shared" si="46"/>
        <v>-2026.887088514439</v>
      </c>
      <c r="AC150" s="49"/>
      <c r="AD150" s="49">
        <f t="shared" si="50"/>
        <v>6580.793149523437</v>
      </c>
      <c r="AE150" s="50"/>
      <c r="AF150" s="140"/>
      <c r="AG150" s="140"/>
      <c r="AH150" s="140">
        <f t="shared" si="37"/>
        <v>698875.11022105149</v>
      </c>
      <c r="AI150" s="9"/>
      <c r="AJ150" s="9"/>
      <c r="AK150" s="9"/>
    </row>
    <row r="151" spans="2:37" ht="12" hidden="1" customHeight="1" outlineLevel="1" x14ac:dyDescent="0.25">
      <c r="B151" s="8" t="str">
        <f t="shared" si="38"/>
        <v/>
      </c>
      <c r="C151" s="85">
        <f t="shared" si="39"/>
        <v>928029.24452926591</v>
      </c>
      <c r="D151" s="85">
        <f t="shared" si="47"/>
        <v>3927.1069495692013</v>
      </c>
      <c r="E151" s="85">
        <f t="shared" si="48"/>
        <v>-480.30887799149167</v>
      </c>
      <c r="F151" s="85">
        <f t="shared" si="49"/>
        <v>-235.0997934368535</v>
      </c>
      <c r="G151" s="85">
        <f t="shared" si="40"/>
        <v>0</v>
      </c>
      <c r="H151" s="85">
        <v>0</v>
      </c>
      <c r="I151" s="85">
        <v>0</v>
      </c>
      <c r="J151" s="85">
        <v>0</v>
      </c>
      <c r="K151" s="85">
        <f t="shared" si="41"/>
        <v>-2622.054407072922</v>
      </c>
      <c r="L151" s="85">
        <f t="shared" si="42"/>
        <v>715.4086714283452</v>
      </c>
      <c r="M151" s="85">
        <f t="shared" si="30"/>
        <v>3337.4630785012673</v>
      </c>
      <c r="N151" s="85">
        <f t="shared" si="31"/>
        <v>988.37312073683825</v>
      </c>
      <c r="O151" s="85">
        <f t="shared" si="32"/>
        <v>3211.6982781408565</v>
      </c>
      <c r="P151" s="85">
        <f t="shared" si="43"/>
        <v>323107.87972945231</v>
      </c>
      <c r="Q151" s="85">
        <f t="shared" si="33"/>
        <v>604921.3647998136</v>
      </c>
      <c r="R151" s="85">
        <f t="shared" si="34"/>
        <v>753.27332729998477</v>
      </c>
      <c r="S151" s="85" cm="1">
        <f t="array" ref="S151">Y151*tax_rate</f>
        <v>0</v>
      </c>
      <c r="T151" s="85">
        <f t="shared" si="44"/>
        <v>155971.75789952531</v>
      </c>
      <c r="U151" s="85">
        <f t="shared" si="35"/>
        <v>760893.12269933894</v>
      </c>
      <c r="V151" s="85"/>
      <c r="W151" s="138">
        <f t="shared" si="45"/>
        <v>0.19099790617852505</v>
      </c>
      <c r="X151" s="138" t="str">
        <f t="shared" si="51"/>
        <v/>
      </c>
      <c r="Y151" s="142"/>
      <c r="Z151" s="139">
        <f t="shared" si="36"/>
        <v>3211.6982781408565</v>
      </c>
      <c r="AA151" s="114">
        <v>124</v>
      </c>
      <c r="AB151" s="48">
        <f t="shared" si="46"/>
        <v>-2023.1672927734485</v>
      </c>
      <c r="AC151" s="49"/>
      <c r="AD151" s="49">
        <f t="shared" si="50"/>
        <v>6613.2814616148826</v>
      </c>
      <c r="AE151" s="50"/>
      <c r="AF151" s="140"/>
      <c r="AG151" s="140"/>
      <c r="AH151" s="140">
        <f t="shared" si="37"/>
        <v>705211.368027583</v>
      </c>
      <c r="AI151" s="9"/>
      <c r="AJ151" s="9"/>
      <c r="AK151" s="9"/>
    </row>
    <row r="152" spans="2:37" ht="12" hidden="1" customHeight="1" outlineLevel="1" x14ac:dyDescent="0.25">
      <c r="B152" s="8" t="str">
        <f t="shared" si="38"/>
        <v/>
      </c>
      <c r="C152" s="85">
        <f t="shared" si="39"/>
        <v>932669.39075191214</v>
      </c>
      <c r="D152" s="85">
        <f t="shared" si="47"/>
        <v>3927.1069495692013</v>
      </c>
      <c r="E152" s="85">
        <f t="shared" si="48"/>
        <v>-480.30887799149167</v>
      </c>
      <c r="F152" s="85">
        <f t="shared" si="49"/>
        <v>-235.0997934368535</v>
      </c>
      <c r="G152" s="85">
        <f t="shared" si="40"/>
        <v>0</v>
      </c>
      <c r="H152" s="85">
        <v>0</v>
      </c>
      <c r="I152" s="85">
        <v>0</v>
      </c>
      <c r="J152" s="85">
        <v>0</v>
      </c>
      <c r="K152" s="85">
        <f t="shared" si="41"/>
        <v>-2622.054407072922</v>
      </c>
      <c r="L152" s="85">
        <f t="shared" si="42"/>
        <v>715.4086714283452</v>
      </c>
      <c r="M152" s="85">
        <f t="shared" si="30"/>
        <v>3337.4630785012673</v>
      </c>
      <c r="N152" s="85">
        <f t="shared" si="31"/>
        <v>988.37312073683825</v>
      </c>
      <c r="O152" s="85">
        <f t="shared" si="32"/>
        <v>3211.6982781408565</v>
      </c>
      <c r="P152" s="85">
        <f t="shared" si="43"/>
        <v>322505.24957068847</v>
      </c>
      <c r="Q152" s="85">
        <f t="shared" si="33"/>
        <v>610164.14118122368</v>
      </c>
      <c r="R152" s="85">
        <f t="shared" si="34"/>
        <v>753.27332729998477</v>
      </c>
      <c r="S152" s="85" cm="1">
        <f t="array" ref="S152">Y152*tax_rate</f>
        <v>0</v>
      </c>
      <c r="T152" s="85">
        <f t="shared" si="44"/>
        <v>157374.91355140664</v>
      </c>
      <c r="U152" s="85">
        <f t="shared" si="35"/>
        <v>767539.05473263026</v>
      </c>
      <c r="V152" s="85"/>
      <c r="W152" s="138">
        <f t="shared" si="45"/>
        <v>0.19032700101576028</v>
      </c>
      <c r="X152" s="138" t="str">
        <f t="shared" si="51"/>
        <v/>
      </c>
      <c r="Y152" s="142"/>
      <c r="Z152" s="139">
        <f t="shared" si="36"/>
        <v>3211.6982781408565</v>
      </c>
      <c r="AA152" s="114">
        <v>125</v>
      </c>
      <c r="AB152" s="48">
        <f t="shared" si="46"/>
        <v>-2019.4242483090768</v>
      </c>
      <c r="AC152" s="49"/>
      <c r="AD152" s="49">
        <f t="shared" si="50"/>
        <v>6645.9320332913194</v>
      </c>
      <c r="AE152" s="50"/>
      <c r="AF152" s="140"/>
      <c r="AG152" s="140"/>
      <c r="AH152" s="140">
        <f t="shared" si="37"/>
        <v>711578.89128751552</v>
      </c>
      <c r="AI152" s="9"/>
      <c r="AJ152" s="9"/>
      <c r="AK152" s="9"/>
    </row>
    <row r="153" spans="2:37" ht="12" hidden="1" customHeight="1" outlineLevel="1" x14ac:dyDescent="0.25">
      <c r="B153" s="8" t="str">
        <f t="shared" si="38"/>
        <v/>
      </c>
      <c r="C153" s="85">
        <f t="shared" si="39"/>
        <v>937332.73770567158</v>
      </c>
      <c r="D153" s="85">
        <f t="shared" si="47"/>
        <v>3927.1069495692013</v>
      </c>
      <c r="E153" s="85">
        <f t="shared" si="48"/>
        <v>-480.30887799149167</v>
      </c>
      <c r="F153" s="85">
        <f t="shared" si="49"/>
        <v>-235.0997934368535</v>
      </c>
      <c r="G153" s="85">
        <f t="shared" si="40"/>
        <v>0</v>
      </c>
      <c r="H153" s="85">
        <v>0</v>
      </c>
      <c r="I153" s="85">
        <v>0</v>
      </c>
      <c r="J153" s="85">
        <v>0</v>
      </c>
      <c r="K153" s="85">
        <f t="shared" si="41"/>
        <v>-2622.054407072922</v>
      </c>
      <c r="L153" s="85">
        <f t="shared" si="42"/>
        <v>715.4086714283452</v>
      </c>
      <c r="M153" s="85">
        <f t="shared" si="30"/>
        <v>3337.4630785012673</v>
      </c>
      <c r="N153" s="85">
        <f t="shared" si="31"/>
        <v>988.37312073683825</v>
      </c>
      <c r="O153" s="85">
        <f t="shared" si="32"/>
        <v>3211.6982781408565</v>
      </c>
      <c r="P153" s="85">
        <f t="shared" si="43"/>
        <v>321898.85297343234</v>
      </c>
      <c r="Q153" s="85">
        <f t="shared" si="33"/>
        <v>615433.88473223918</v>
      </c>
      <c r="R153" s="85">
        <f t="shared" si="34"/>
        <v>753.27332729998477</v>
      </c>
      <c r="S153" s="85" cm="1">
        <f t="array" ref="S153">Y153*tax_rate</f>
        <v>0</v>
      </c>
      <c r="T153" s="85">
        <f t="shared" si="44"/>
        <v>158783.91568517082</v>
      </c>
      <c r="U153" s="85">
        <f t="shared" si="35"/>
        <v>774217.80041740998</v>
      </c>
      <c r="V153" s="85"/>
      <c r="W153" s="138">
        <f t="shared" si="45"/>
        <v>0.18966342129125172</v>
      </c>
      <c r="X153" s="138" t="str">
        <f t="shared" si="51"/>
        <v/>
      </c>
      <c r="Y153" s="142"/>
      <c r="Z153" s="139">
        <f t="shared" si="36"/>
        <v>3211.6982781408565</v>
      </c>
      <c r="AA153" s="114">
        <v>126</v>
      </c>
      <c r="AB153" s="48">
        <f t="shared" si="46"/>
        <v>-2015.6578098168027</v>
      </c>
      <c r="AC153" s="49"/>
      <c r="AD153" s="49">
        <f t="shared" si="50"/>
        <v>6678.7456847797148</v>
      </c>
      <c r="AE153" s="50"/>
      <c r="AF153" s="140"/>
      <c r="AG153" s="140"/>
      <c r="AH153" s="140">
        <f t="shared" si="37"/>
        <v>717977.83615506964</v>
      </c>
      <c r="AI153" s="9"/>
      <c r="AJ153" s="9"/>
      <c r="AK153" s="9"/>
    </row>
    <row r="154" spans="2:37" ht="12" hidden="1" customHeight="1" outlineLevel="1" x14ac:dyDescent="0.25">
      <c r="B154" s="8" t="str">
        <f t="shared" si="38"/>
        <v/>
      </c>
      <c r="C154" s="85">
        <f t="shared" si="39"/>
        <v>942019.40139419981</v>
      </c>
      <c r="D154" s="85">
        <f t="shared" si="47"/>
        <v>3927.1069495692013</v>
      </c>
      <c r="E154" s="85">
        <f t="shared" si="48"/>
        <v>-480.30887799149167</v>
      </c>
      <c r="F154" s="85">
        <f t="shared" si="49"/>
        <v>-235.0997934368535</v>
      </c>
      <c r="G154" s="85">
        <f t="shared" si="40"/>
        <v>0</v>
      </c>
      <c r="H154" s="85">
        <v>0</v>
      </c>
      <c r="I154" s="85">
        <v>0</v>
      </c>
      <c r="J154" s="85">
        <v>0</v>
      </c>
      <c r="K154" s="85">
        <f t="shared" si="41"/>
        <v>-2622.054407072922</v>
      </c>
      <c r="L154" s="85">
        <f t="shared" si="42"/>
        <v>715.4086714283452</v>
      </c>
      <c r="M154" s="85">
        <f t="shared" si="30"/>
        <v>3337.4630785012673</v>
      </c>
      <c r="N154" s="85">
        <f t="shared" si="31"/>
        <v>988.37312073683825</v>
      </c>
      <c r="O154" s="85">
        <f t="shared" si="32"/>
        <v>3211.6982781408565</v>
      </c>
      <c r="P154" s="85">
        <f t="shared" si="43"/>
        <v>321288.66639744339</v>
      </c>
      <c r="Q154" s="85">
        <f t="shared" si="33"/>
        <v>620730.73499675642</v>
      </c>
      <c r="R154" s="85">
        <f t="shared" si="34"/>
        <v>753.27332729998477</v>
      </c>
      <c r="S154" s="85" cm="1">
        <f t="array" ref="S154">Y154*tax_rate</f>
        <v>0</v>
      </c>
      <c r="T154" s="85">
        <f t="shared" si="44"/>
        <v>160198.78866115902</v>
      </c>
      <c r="U154" s="85">
        <f t="shared" si="35"/>
        <v>780929.52365791542</v>
      </c>
      <c r="V154" s="85"/>
      <c r="W154" s="138">
        <f t="shared" si="45"/>
        <v>0.18900703655520637</v>
      </c>
      <c r="X154" s="138" t="str">
        <f t="shared" si="51"/>
        <v/>
      </c>
      <c r="Y154" s="142"/>
      <c r="Z154" s="139">
        <f t="shared" si="36"/>
        <v>3211.6982781408565</v>
      </c>
      <c r="AA154" s="114">
        <v>127</v>
      </c>
      <c r="AB154" s="48">
        <f t="shared" si="46"/>
        <v>-2011.8678310839518</v>
      </c>
      <c r="AC154" s="49"/>
      <c r="AD154" s="49">
        <f t="shared" si="50"/>
        <v>6711.7232405054383</v>
      </c>
      <c r="AE154" s="50"/>
      <c r="AF154" s="140"/>
      <c r="AG154" s="140"/>
      <c r="AH154" s="140">
        <f t="shared" si="37"/>
        <v>724408.35957426345</v>
      </c>
      <c r="AI154" s="9"/>
      <c r="AJ154" s="9"/>
      <c r="AK154" s="9"/>
    </row>
    <row r="155" spans="2:37" ht="12" hidden="1" customHeight="1" outlineLevel="1" x14ac:dyDescent="0.25">
      <c r="B155" s="8" t="str">
        <f t="shared" si="38"/>
        <v/>
      </c>
      <c r="C155" s="85">
        <f t="shared" si="39"/>
        <v>946729.49840117071</v>
      </c>
      <c r="D155" s="85">
        <f t="shared" si="47"/>
        <v>3927.1069495692013</v>
      </c>
      <c r="E155" s="85">
        <f t="shared" si="48"/>
        <v>-480.30887799149167</v>
      </c>
      <c r="F155" s="85">
        <f t="shared" si="49"/>
        <v>-235.0997934368535</v>
      </c>
      <c r="G155" s="85">
        <f t="shared" si="40"/>
        <v>0</v>
      </c>
      <c r="H155" s="85">
        <v>0</v>
      </c>
      <c r="I155" s="85">
        <v>0</v>
      </c>
      <c r="J155" s="85">
        <v>0</v>
      </c>
      <c r="K155" s="85">
        <f t="shared" si="41"/>
        <v>-2622.054407072922</v>
      </c>
      <c r="L155" s="85">
        <f t="shared" si="42"/>
        <v>715.4086714283452</v>
      </c>
      <c r="M155" s="85">
        <f t="shared" ref="M155:M218" si="52">-E155-F155-G155-H155-I155-J155-K155</f>
        <v>3337.4630785012673</v>
      </c>
      <c r="N155" s="85">
        <f t="shared" ref="N155:N218" si="53">(D155/Rent_Occupancy)+E155+G155+(H155+I155+J155)+K155</f>
        <v>988.37312073683825</v>
      </c>
      <c r="O155" s="85">
        <f t="shared" ref="O155:O218" si="54">D155+E155+F155+G155+(H155+I155+J155)</f>
        <v>3211.6982781408565</v>
      </c>
      <c r="P155" s="85">
        <f t="shared" si="43"/>
        <v>320674.66615535447</v>
      </c>
      <c r="Q155" s="85">
        <f t="shared" ref="Q155:Q218" si="55">C155-P155</f>
        <v>626054.83224581624</v>
      </c>
      <c r="R155" s="85">
        <f t="shared" ref="R155:R218" si="56">IF(Net_Income_Toward_Loan="No",N155+F155,IF((N155+F155)&lt;0,(N155+F155),IF((N155+F155)+PI_Payment&gt;P155,D155+E155-P155,0)))</f>
        <v>753.27332729998477</v>
      </c>
      <c r="S155" s="85" cm="1">
        <f t="array" ref="S155">Y155*tax_rate</f>
        <v>0</v>
      </c>
      <c r="T155" s="85">
        <f t="shared" si="44"/>
        <v>161619.55694121381</v>
      </c>
      <c r="U155" s="85">
        <f t="shared" ref="U155:U218" si="57">Q155+T155</f>
        <v>787674.38918703003</v>
      </c>
      <c r="V155" s="85"/>
      <c r="W155" s="138">
        <f t="shared" si="45"/>
        <v>0.18835771967137308</v>
      </c>
      <c r="X155" s="138" t="str">
        <f t="shared" si="51"/>
        <v/>
      </c>
      <c r="Y155" s="142"/>
      <c r="Z155" s="139">
        <f t="shared" ref="Z155:Z218" si="58">IF(D155+E155+F155+G155+H155+I155+J155&gt;-K155,D155+E155+F155+G155+H155+I155+J155,-K155)</f>
        <v>3211.6982781408565</v>
      </c>
      <c r="AA155" s="114">
        <v>128</v>
      </c>
      <c r="AB155" s="48">
        <f t="shared" si="46"/>
        <v>-2008.0541649840211</v>
      </c>
      <c r="AC155" s="49"/>
      <c r="AD155" s="49">
        <f t="shared" si="50"/>
        <v>6744.8655291146133</v>
      </c>
      <c r="AE155" s="50"/>
      <c r="AF155" s="140"/>
      <c r="AG155" s="140"/>
      <c r="AH155" s="140">
        <f t="shared" ref="AH155:AH218" si="59">U155-(C155*Cost_of_Sale_Percentage)</f>
        <v>730870.61928295973</v>
      </c>
      <c r="AI155" s="9"/>
      <c r="AJ155" s="9"/>
      <c r="AK155" s="9"/>
    </row>
    <row r="156" spans="2:37" ht="12" hidden="1" customHeight="1" outlineLevel="1" x14ac:dyDescent="0.25">
      <c r="B156" s="8" t="str">
        <f t="shared" ref="B156:B219" si="60">IF(MOD(AA156,12)=0,AA156/12,"")</f>
        <v/>
      </c>
      <c r="C156" s="85">
        <f t="shared" ref="C156:C219" si="61">C155*(1+(Annual_Appreciation_Percentage/12))</f>
        <v>951463.14589317644</v>
      </c>
      <c r="D156" s="85">
        <f t="shared" si="47"/>
        <v>3927.1069495692013</v>
      </c>
      <c r="E156" s="85">
        <f t="shared" si="48"/>
        <v>-480.30887799149167</v>
      </c>
      <c r="F156" s="85">
        <f t="shared" si="49"/>
        <v>-235.0997934368535</v>
      </c>
      <c r="G156" s="85">
        <f t="shared" ref="G156:G219" si="62">IF(Other_Monthly_Cost_Months&gt;=AA156,-Other_Fixed_Monthly_Cost,0)</f>
        <v>0</v>
      </c>
      <c r="H156" s="85">
        <v>0</v>
      </c>
      <c r="I156" s="85">
        <v>0</v>
      </c>
      <c r="J156" s="85">
        <v>0</v>
      </c>
      <c r="K156" s="85">
        <f t="shared" ref="K156:K219" si="63">IF(P155&gt;PI_Payment,-PI_Payment,-P155)</f>
        <v>-2622.054407072922</v>
      </c>
      <c r="L156" s="85">
        <f t="shared" ref="L156:L219" si="64">-E156-F156-G156</f>
        <v>715.4086714283452</v>
      </c>
      <c r="M156" s="85">
        <f t="shared" si="52"/>
        <v>3337.4630785012673</v>
      </c>
      <c r="N156" s="85">
        <f t="shared" si="53"/>
        <v>988.37312073683825</v>
      </c>
      <c r="O156" s="85">
        <f t="shared" si="54"/>
        <v>3211.6982781408565</v>
      </c>
      <c r="P156" s="85">
        <f t="shared" ref="P156:P219" si="65">IF(Net_Income_Toward_Loan="No",-IF(FV(Loan_Rate/12,1,(K156),P155,0)&lt;0,FV(Loan_Rate/12,1,(K156),P155,0),0),-IF(FV(Loan_Rate/12,1,(-Z156),P155,0)&lt;0,FV(Loan_Rate/12,1,(-Z156),P155,0),0))</f>
        <v>320056.82841175253</v>
      </c>
      <c r="Q156" s="85">
        <f t="shared" si="55"/>
        <v>631406.31748142396</v>
      </c>
      <c r="R156" s="85">
        <f t="shared" si="56"/>
        <v>753.27332729998477</v>
      </c>
      <c r="S156" s="85" cm="1">
        <f t="array" ref="S156">Y156*tax_rate</f>
        <v>0</v>
      </c>
      <c r="T156" s="85">
        <f t="shared" ref="T156:T219" si="66">T155*(1+Time_Value_of_Money_Percentage/12)+R156+S156</f>
        <v>163046.24508910219</v>
      </c>
      <c r="U156" s="85">
        <f t="shared" si="57"/>
        <v>794452.56257052615</v>
      </c>
      <c r="V156" s="85"/>
      <c r="W156" s="138">
        <f t="shared" ref="W156:W219" si="67">RATE(AA156/12,0,-Total_Initial_Investment,U156,0)</f>
        <v>0.18771534670654821</v>
      </c>
      <c r="X156" s="138" t="str">
        <f t="shared" si="51"/>
        <v/>
      </c>
      <c r="Y156" s="142"/>
      <c r="Z156" s="139">
        <f t="shared" si="58"/>
        <v>3211.6982781408565</v>
      </c>
      <c r="AA156" s="114">
        <v>129</v>
      </c>
      <c r="AB156" s="48">
        <f t="shared" ref="AB156:AB219" si="68">IF(AA156&lt;Loan_Term*12,IPMT(Loan_Rate/12,1,(Loan_Term*12)-AA155,P155,0),0)</f>
        <v>-2004.2166634709652</v>
      </c>
      <c r="AC156" s="49"/>
      <c r="AD156" s="49">
        <f t="shared" si="50"/>
        <v>6778.1733834961196</v>
      </c>
      <c r="AE156" s="50"/>
      <c r="AF156" s="140"/>
      <c r="AG156" s="140"/>
      <c r="AH156" s="140">
        <f t="shared" si="59"/>
        <v>737364.7738169356</v>
      </c>
      <c r="AI156" s="9"/>
      <c r="AJ156" s="9"/>
      <c r="AK156" s="9"/>
    </row>
    <row r="157" spans="2:37" ht="12" hidden="1" customHeight="1" outlineLevel="1" x14ac:dyDescent="0.25">
      <c r="B157" s="8" t="str">
        <f t="shared" si="60"/>
        <v/>
      </c>
      <c r="C157" s="85">
        <f t="shared" si="61"/>
        <v>956220.46162264224</v>
      </c>
      <c r="D157" s="85">
        <f t="shared" ref="D157:D220" si="69">IF(MOD(AA157-1,12)&gt;0,D156,D156*(1+Annual_Rent_Increase_Percentage))</f>
        <v>3927.1069495692013</v>
      </c>
      <c r="E157" s="85">
        <f t="shared" ref="E157:E220" si="70">IF(MOD($AA157-1,12)&gt;0,E156,E156*(1+Annual_Inflation_Percentage))</f>
        <v>-480.30887799149167</v>
      </c>
      <c r="F157" s="85">
        <f t="shared" ref="F157:F220" si="71">IF(MOD($AA157-1,12)&gt;0,F156,F156*(1+Annual_Inflation_Percentage))</f>
        <v>-235.0997934368535</v>
      </c>
      <c r="G157" s="85">
        <f t="shared" si="62"/>
        <v>0</v>
      </c>
      <c r="H157" s="85">
        <v>0</v>
      </c>
      <c r="I157" s="85">
        <v>0</v>
      </c>
      <c r="J157" s="85">
        <v>0</v>
      </c>
      <c r="K157" s="85">
        <f t="shared" si="63"/>
        <v>-2622.054407072922</v>
      </c>
      <c r="L157" s="85">
        <f t="shared" si="64"/>
        <v>715.4086714283452</v>
      </c>
      <c r="M157" s="85">
        <f t="shared" si="52"/>
        <v>3337.4630785012673</v>
      </c>
      <c r="N157" s="85">
        <f t="shared" si="53"/>
        <v>988.37312073683825</v>
      </c>
      <c r="O157" s="85">
        <f t="shared" si="54"/>
        <v>3211.6982781408565</v>
      </c>
      <c r="P157" s="85">
        <f t="shared" si="65"/>
        <v>319435.12918225309</v>
      </c>
      <c r="Q157" s="85">
        <f t="shared" si="55"/>
        <v>636785.33244038909</v>
      </c>
      <c r="R157" s="85">
        <f t="shared" si="56"/>
        <v>753.27332729998477</v>
      </c>
      <c r="S157" s="85" cm="1">
        <f t="array" ref="S157">Y157*tax_rate</f>
        <v>0</v>
      </c>
      <c r="T157" s="85">
        <f t="shared" si="66"/>
        <v>164478.87777094007</v>
      </c>
      <c r="U157" s="85">
        <f t="shared" si="57"/>
        <v>801264.21021132916</v>
      </c>
      <c r="V157" s="85"/>
      <c r="W157" s="138">
        <f t="shared" si="67"/>
        <v>0.187079796824662</v>
      </c>
      <c r="X157" s="138" t="str">
        <f t="shared" si="51"/>
        <v/>
      </c>
      <c r="Y157" s="142"/>
      <c r="Z157" s="139">
        <f t="shared" si="58"/>
        <v>3211.6982781408565</v>
      </c>
      <c r="AA157" s="114">
        <v>130</v>
      </c>
      <c r="AB157" s="48">
        <f t="shared" si="68"/>
        <v>-2000.3551775734531</v>
      </c>
      <c r="AC157" s="49"/>
      <c r="AD157" s="49">
        <f t="shared" ref="AD157:AD220" si="72">U157-U156</f>
        <v>6811.6476408030139</v>
      </c>
      <c r="AE157" s="50"/>
      <c r="AF157" s="140"/>
      <c r="AG157" s="140"/>
      <c r="AH157" s="140">
        <f t="shared" si="59"/>
        <v>743890.98251397058</v>
      </c>
      <c r="AI157" s="9"/>
      <c r="AJ157" s="9"/>
      <c r="AK157" s="9"/>
    </row>
    <row r="158" spans="2:37" ht="12" hidden="1" customHeight="1" outlineLevel="1" x14ac:dyDescent="0.25">
      <c r="B158" s="8" t="str">
        <f t="shared" si="60"/>
        <v/>
      </c>
      <c r="C158" s="85">
        <f t="shared" si="61"/>
        <v>961001.56393075536</v>
      </c>
      <c r="D158" s="85">
        <f t="shared" si="69"/>
        <v>3927.1069495692013</v>
      </c>
      <c r="E158" s="85">
        <f t="shared" si="70"/>
        <v>-480.30887799149167</v>
      </c>
      <c r="F158" s="85">
        <f t="shared" si="71"/>
        <v>-235.0997934368535</v>
      </c>
      <c r="G158" s="85">
        <f t="shared" si="62"/>
        <v>0</v>
      </c>
      <c r="H158" s="85">
        <v>0</v>
      </c>
      <c r="I158" s="85">
        <v>0</v>
      </c>
      <c r="J158" s="85">
        <v>0</v>
      </c>
      <c r="K158" s="85">
        <f t="shared" si="63"/>
        <v>-2622.054407072922</v>
      </c>
      <c r="L158" s="85">
        <f t="shared" si="64"/>
        <v>715.4086714283452</v>
      </c>
      <c r="M158" s="85">
        <f t="shared" si="52"/>
        <v>3337.4630785012673</v>
      </c>
      <c r="N158" s="85">
        <f t="shared" si="53"/>
        <v>988.37312073683825</v>
      </c>
      <c r="O158" s="85">
        <f t="shared" si="54"/>
        <v>3211.6982781408565</v>
      </c>
      <c r="P158" s="85">
        <f t="shared" si="65"/>
        <v>318809.54433256923</v>
      </c>
      <c r="Q158" s="85">
        <f t="shared" si="55"/>
        <v>642192.01959818613</v>
      </c>
      <c r="R158" s="85">
        <f t="shared" si="56"/>
        <v>753.27332729998477</v>
      </c>
      <c r="S158" s="85" cm="1">
        <f t="array" ref="S158">Y158*tax_rate</f>
        <v>0</v>
      </c>
      <c r="T158" s="85">
        <f t="shared" si="66"/>
        <v>165917.47975561896</v>
      </c>
      <c r="U158" s="85">
        <f t="shared" si="57"/>
        <v>808109.49935380509</v>
      </c>
      <c r="V158" s="85"/>
      <c r="W158" s="138">
        <f t="shared" si="67"/>
        <v>0.18645095218521768</v>
      </c>
      <c r="X158" s="138" t="str">
        <f t="shared" si="51"/>
        <v/>
      </c>
      <c r="Y158" s="142"/>
      <c r="Z158" s="139">
        <f t="shared" si="58"/>
        <v>3211.6982781408565</v>
      </c>
      <c r="AA158" s="114">
        <v>131</v>
      </c>
      <c r="AB158" s="48">
        <f t="shared" si="68"/>
        <v>-1996.4695573890817</v>
      </c>
      <c r="AC158" s="49"/>
      <c r="AD158" s="49">
        <f t="shared" si="72"/>
        <v>6845.2891424759291</v>
      </c>
      <c r="AE158" s="50"/>
      <c r="AF158" s="140"/>
      <c r="AG158" s="140"/>
      <c r="AH158" s="140">
        <f t="shared" si="59"/>
        <v>750449.40551795973</v>
      </c>
      <c r="AI158" s="9"/>
      <c r="AJ158" s="9"/>
      <c r="AK158" s="9"/>
    </row>
    <row r="159" spans="2:37" ht="15" customHeight="1" collapsed="1" x14ac:dyDescent="0.25">
      <c r="B159" s="8">
        <f t="shared" si="60"/>
        <v>11</v>
      </c>
      <c r="C159" s="85">
        <f t="shared" si="61"/>
        <v>965806.57175040909</v>
      </c>
      <c r="D159" s="85">
        <f t="shared" si="69"/>
        <v>3927.1069495692013</v>
      </c>
      <c r="E159" s="85">
        <f t="shared" si="70"/>
        <v>-480.30887799149167</v>
      </c>
      <c r="F159" s="85">
        <f t="shared" si="71"/>
        <v>-235.0997934368535</v>
      </c>
      <c r="G159" s="85">
        <f t="shared" si="62"/>
        <v>0</v>
      </c>
      <c r="H159" s="85">
        <v>0</v>
      </c>
      <c r="I159" s="85">
        <v>0</v>
      </c>
      <c r="J159" s="85">
        <v>0</v>
      </c>
      <c r="K159" s="85">
        <f t="shared" si="63"/>
        <v>-2622.054407072922</v>
      </c>
      <c r="L159" s="85">
        <f t="shared" si="64"/>
        <v>715.4086714283452</v>
      </c>
      <c r="M159" s="85">
        <f t="shared" si="52"/>
        <v>3337.4630785012673</v>
      </c>
      <c r="N159" s="85">
        <f t="shared" si="53"/>
        <v>988.37312073683825</v>
      </c>
      <c r="O159" s="85">
        <f t="shared" si="54"/>
        <v>3211.6982781408565</v>
      </c>
      <c r="P159" s="85">
        <f t="shared" si="65"/>
        <v>318180.04957757489</v>
      </c>
      <c r="Q159" s="85">
        <f t="shared" si="55"/>
        <v>647626.52217283426</v>
      </c>
      <c r="R159" s="85">
        <f t="shared" si="56"/>
        <v>753.27332729998477</v>
      </c>
      <c r="S159" s="85" cm="1">
        <f t="array" ref="S159">Y159*tax_rate</f>
        <v>9783.985608719895</v>
      </c>
      <c r="T159" s="85">
        <f t="shared" si="66"/>
        <v>177146.06152395392</v>
      </c>
      <c r="U159" s="85">
        <f t="shared" si="57"/>
        <v>824772.58369678818</v>
      </c>
      <c r="V159" s="85">
        <f>U159-U147</f>
        <v>90138.301933608716</v>
      </c>
      <c r="W159" s="138">
        <f t="shared" si="67"/>
        <v>0.18711586581151532</v>
      </c>
      <c r="X159" s="138">
        <f t="shared" si="51"/>
        <v>0.12269819714548275</v>
      </c>
      <c r="Y159" s="141">
        <f>(((Sale_Price*0.8)+Improvement_Costs+Closing_Costs_Total)/27.5)+(-E159*12)+-AC159</f>
        <v>44472.6618578177</v>
      </c>
      <c r="Z159" s="139">
        <f t="shared" si="58"/>
        <v>3211.6982781408565</v>
      </c>
      <c r="AA159" s="114">
        <v>132</v>
      </c>
      <c r="AB159" s="48">
        <f t="shared" si="68"/>
        <v>-1992.5596520785575</v>
      </c>
      <c r="AC159" s="48">
        <f>SUM(AB148:AB159)</f>
        <v>-24163.500776465258</v>
      </c>
      <c r="AD159" s="49">
        <f t="shared" si="72"/>
        <v>16663.084342983086</v>
      </c>
      <c r="AE159" s="50">
        <f>D159*12</f>
        <v>47125.283394830418</v>
      </c>
      <c r="AF159" s="140"/>
      <c r="AG159" s="140"/>
      <c r="AH159" s="140">
        <f t="shared" si="59"/>
        <v>766824.18939176365</v>
      </c>
      <c r="AI159" s="9">
        <f>AI147*(1+Comparison_Rate_of_Return)</f>
        <v>356639.58826375037</v>
      </c>
      <c r="AJ159" s="9"/>
      <c r="AK159" s="9"/>
    </row>
    <row r="160" spans="2:37" ht="12" hidden="1" customHeight="1" outlineLevel="1" x14ac:dyDescent="0.25">
      <c r="B160" s="8" t="str">
        <f t="shared" si="60"/>
        <v/>
      </c>
      <c r="C160" s="85">
        <f t="shared" si="61"/>
        <v>970635.60460916103</v>
      </c>
      <c r="D160" s="85">
        <f t="shared" si="69"/>
        <v>4064.5556928041233</v>
      </c>
      <c r="E160" s="85">
        <f t="shared" si="70"/>
        <v>-497.11968872119382</v>
      </c>
      <c r="F160" s="85">
        <f t="shared" si="71"/>
        <v>-243.32828620714335</v>
      </c>
      <c r="G160" s="85">
        <f t="shared" si="62"/>
        <v>0</v>
      </c>
      <c r="H160" s="85">
        <v>0</v>
      </c>
      <c r="I160" s="85">
        <v>0</v>
      </c>
      <c r="J160" s="85">
        <v>0</v>
      </c>
      <c r="K160" s="85">
        <f t="shared" si="63"/>
        <v>-2622.054407072922</v>
      </c>
      <c r="L160" s="85">
        <f t="shared" si="64"/>
        <v>740.4479749283372</v>
      </c>
      <c r="M160" s="85">
        <f t="shared" si="52"/>
        <v>3362.5023820012593</v>
      </c>
      <c r="N160" s="85">
        <f t="shared" si="53"/>
        <v>1114.7380842101793</v>
      </c>
      <c r="O160" s="85">
        <f t="shared" si="54"/>
        <v>3324.1077178757864</v>
      </c>
      <c r="P160" s="85">
        <f t="shared" si="65"/>
        <v>317546.6204803618</v>
      </c>
      <c r="Q160" s="85">
        <f t="shared" si="55"/>
        <v>653088.98412879929</v>
      </c>
      <c r="R160" s="85">
        <f t="shared" si="56"/>
        <v>871.40979800303592</v>
      </c>
      <c r="S160" s="85" cm="1">
        <f t="array" ref="S160">Y160*tax_rate</f>
        <v>0</v>
      </c>
      <c r="T160" s="85">
        <f t="shared" si="66"/>
        <v>178755.57991164009</v>
      </c>
      <c r="U160" s="85">
        <f t="shared" si="57"/>
        <v>831844.56404043944</v>
      </c>
      <c r="V160" s="85"/>
      <c r="W160" s="138">
        <f t="shared" si="67"/>
        <v>0.18649951274224105</v>
      </c>
      <c r="X160" s="138" t="str">
        <f t="shared" si="51"/>
        <v/>
      </c>
      <c r="Y160" s="142"/>
      <c r="Z160" s="139">
        <f t="shared" si="58"/>
        <v>3324.1077178757864</v>
      </c>
      <c r="AA160" s="114">
        <v>133</v>
      </c>
      <c r="AB160" s="48">
        <f t="shared" si="68"/>
        <v>-1988.6253098598429</v>
      </c>
      <c r="AC160" s="49"/>
      <c r="AD160" s="49">
        <f t="shared" si="72"/>
        <v>7071.9803436512593</v>
      </c>
      <c r="AE160" s="50"/>
      <c r="AF160" s="140"/>
      <c r="AG160" s="140"/>
      <c r="AH160" s="140">
        <f t="shared" si="59"/>
        <v>773606.42776388978</v>
      </c>
      <c r="AI160" s="9"/>
      <c r="AJ160" s="9"/>
      <c r="AK160" s="9"/>
    </row>
    <row r="161" spans="2:37" ht="12" hidden="1" customHeight="1" outlineLevel="1" x14ac:dyDescent="0.25">
      <c r="B161" s="8" t="str">
        <f t="shared" si="60"/>
        <v/>
      </c>
      <c r="C161" s="85">
        <f t="shared" si="61"/>
        <v>975488.78263220668</v>
      </c>
      <c r="D161" s="85">
        <f t="shared" si="69"/>
        <v>4064.5556928041233</v>
      </c>
      <c r="E161" s="85">
        <f t="shared" si="70"/>
        <v>-497.11968872119382</v>
      </c>
      <c r="F161" s="85">
        <f t="shared" si="71"/>
        <v>-243.32828620714335</v>
      </c>
      <c r="G161" s="85">
        <f t="shared" si="62"/>
        <v>0</v>
      </c>
      <c r="H161" s="85">
        <v>0</v>
      </c>
      <c r="I161" s="85">
        <v>0</v>
      </c>
      <c r="J161" s="85">
        <v>0</v>
      </c>
      <c r="K161" s="85">
        <f t="shared" si="63"/>
        <v>-2622.054407072922</v>
      </c>
      <c r="L161" s="85">
        <f t="shared" si="64"/>
        <v>740.4479749283372</v>
      </c>
      <c r="M161" s="85">
        <f t="shared" si="52"/>
        <v>3362.5023820012593</v>
      </c>
      <c r="N161" s="85">
        <f t="shared" si="53"/>
        <v>1114.7380842101793</v>
      </c>
      <c r="O161" s="85">
        <f t="shared" si="54"/>
        <v>3324.1077178757864</v>
      </c>
      <c r="P161" s="85">
        <f t="shared" si="65"/>
        <v>316909.23245129111</v>
      </c>
      <c r="Q161" s="85">
        <f t="shared" si="55"/>
        <v>658579.55018091551</v>
      </c>
      <c r="R161" s="85">
        <f t="shared" si="56"/>
        <v>871.40979800303592</v>
      </c>
      <c r="S161" s="85" cm="1">
        <f t="array" ref="S161">Y161*tax_rate</f>
        <v>0</v>
      </c>
      <c r="T161" s="85">
        <f t="shared" si="66"/>
        <v>180371.80462594162</v>
      </c>
      <c r="U161" s="85">
        <f t="shared" si="57"/>
        <v>838951.35480685718</v>
      </c>
      <c r="V161" s="85"/>
      <c r="W161" s="138">
        <f t="shared" si="67"/>
        <v>0.1858894024530568</v>
      </c>
      <c r="X161" s="138" t="str">
        <f t="shared" si="51"/>
        <v/>
      </c>
      <c r="Y161" s="142"/>
      <c r="Z161" s="139">
        <f t="shared" si="58"/>
        <v>3324.1077178757864</v>
      </c>
      <c r="AA161" s="114">
        <v>134</v>
      </c>
      <c r="AB161" s="48">
        <f t="shared" si="68"/>
        <v>-1984.6663780022611</v>
      </c>
      <c r="AC161" s="49"/>
      <c r="AD161" s="49">
        <f t="shared" si="72"/>
        <v>7106.7907664177474</v>
      </c>
      <c r="AE161" s="50"/>
      <c r="AF161" s="140"/>
      <c r="AG161" s="140"/>
      <c r="AH161" s="140">
        <f t="shared" si="59"/>
        <v>780422.02784892474</v>
      </c>
      <c r="AI161" s="9"/>
      <c r="AJ161" s="9"/>
      <c r="AK161" s="9"/>
    </row>
    <row r="162" spans="2:37" ht="12" hidden="1" customHeight="1" outlineLevel="1" x14ac:dyDescent="0.25">
      <c r="B162" s="8" t="str">
        <f t="shared" si="60"/>
        <v/>
      </c>
      <c r="C162" s="85">
        <f t="shared" si="61"/>
        <v>980366.22654536762</v>
      </c>
      <c r="D162" s="85">
        <f t="shared" si="69"/>
        <v>4064.5556928041233</v>
      </c>
      <c r="E162" s="85">
        <f t="shared" si="70"/>
        <v>-497.11968872119382</v>
      </c>
      <c r="F162" s="85">
        <f t="shared" si="71"/>
        <v>-243.32828620714335</v>
      </c>
      <c r="G162" s="85">
        <f t="shared" si="62"/>
        <v>0</v>
      </c>
      <c r="H162" s="85">
        <v>0</v>
      </c>
      <c r="I162" s="85">
        <v>0</v>
      </c>
      <c r="J162" s="85">
        <v>0</v>
      </c>
      <c r="K162" s="85">
        <f t="shared" si="63"/>
        <v>-2622.054407072922</v>
      </c>
      <c r="L162" s="85">
        <f t="shared" si="64"/>
        <v>740.4479749283372</v>
      </c>
      <c r="M162" s="85">
        <f t="shared" si="52"/>
        <v>3362.5023820012593</v>
      </c>
      <c r="N162" s="85">
        <f t="shared" si="53"/>
        <v>1114.7380842101793</v>
      </c>
      <c r="O162" s="85">
        <f t="shared" si="54"/>
        <v>3324.1077178757864</v>
      </c>
      <c r="P162" s="85">
        <f t="shared" si="65"/>
        <v>316267.86074703874</v>
      </c>
      <c r="Q162" s="85">
        <f t="shared" si="55"/>
        <v>664098.36579832889</v>
      </c>
      <c r="R162" s="85">
        <f t="shared" si="56"/>
        <v>871.40979800303592</v>
      </c>
      <c r="S162" s="85" cm="1">
        <f t="array" ref="S162">Y162*tax_rate</f>
        <v>0</v>
      </c>
      <c r="T162" s="85">
        <f t="shared" si="66"/>
        <v>181994.76360988608</v>
      </c>
      <c r="U162" s="85">
        <f t="shared" si="57"/>
        <v>846093.12940821494</v>
      </c>
      <c r="V162" s="85"/>
      <c r="W162" s="138">
        <f t="shared" si="67"/>
        <v>0.18528543337158501</v>
      </c>
      <c r="X162" s="138" t="str">
        <f t="shared" si="51"/>
        <v/>
      </c>
      <c r="Y162" s="142"/>
      <c r="Z162" s="139">
        <f t="shared" si="58"/>
        <v>3324.1077178757864</v>
      </c>
      <c r="AA162" s="114">
        <v>135</v>
      </c>
      <c r="AB162" s="48">
        <f t="shared" si="68"/>
        <v>-1980.6827028205694</v>
      </c>
      <c r="AC162" s="49"/>
      <c r="AD162" s="49">
        <f t="shared" si="72"/>
        <v>7141.7746013577562</v>
      </c>
      <c r="AE162" s="50"/>
      <c r="AF162" s="140"/>
      <c r="AG162" s="140"/>
      <c r="AH162" s="140">
        <f t="shared" si="59"/>
        <v>787271.15581549285</v>
      </c>
      <c r="AI162" s="9"/>
      <c r="AJ162" s="9"/>
      <c r="AK162" s="9"/>
    </row>
    <row r="163" spans="2:37" ht="12" hidden="1" customHeight="1" outlineLevel="1" x14ac:dyDescent="0.25">
      <c r="B163" s="8" t="str">
        <f t="shared" si="60"/>
        <v/>
      </c>
      <c r="C163" s="85">
        <f t="shared" si="61"/>
        <v>985268.05767809437</v>
      </c>
      <c r="D163" s="85">
        <f t="shared" si="69"/>
        <v>4064.5556928041233</v>
      </c>
      <c r="E163" s="85">
        <f t="shared" si="70"/>
        <v>-497.11968872119382</v>
      </c>
      <c r="F163" s="85">
        <f t="shared" si="71"/>
        <v>-243.32828620714335</v>
      </c>
      <c r="G163" s="85">
        <f t="shared" si="62"/>
        <v>0</v>
      </c>
      <c r="H163" s="85">
        <v>0</v>
      </c>
      <c r="I163" s="85">
        <v>0</v>
      </c>
      <c r="J163" s="85">
        <v>0</v>
      </c>
      <c r="K163" s="85">
        <f t="shared" si="63"/>
        <v>-2622.054407072922</v>
      </c>
      <c r="L163" s="85">
        <f t="shared" si="64"/>
        <v>740.4479749283372</v>
      </c>
      <c r="M163" s="85">
        <f t="shared" si="52"/>
        <v>3362.5023820012593</v>
      </c>
      <c r="N163" s="85">
        <f t="shared" si="53"/>
        <v>1114.7380842101793</v>
      </c>
      <c r="O163" s="85">
        <f t="shared" si="54"/>
        <v>3324.1077178757864</v>
      </c>
      <c r="P163" s="85">
        <f t="shared" si="65"/>
        <v>315622.48046963481</v>
      </c>
      <c r="Q163" s="85">
        <f t="shared" si="55"/>
        <v>669645.57720845961</v>
      </c>
      <c r="R163" s="85">
        <f t="shared" si="56"/>
        <v>871.40979800303592</v>
      </c>
      <c r="S163" s="85" cm="1">
        <f t="array" ref="S163">Y163*tax_rate</f>
        <v>0</v>
      </c>
      <c r="T163" s="85">
        <f t="shared" si="66"/>
        <v>183624.48492293031</v>
      </c>
      <c r="U163" s="85">
        <f t="shared" si="57"/>
        <v>853270.06213138998</v>
      </c>
      <c r="V163" s="85"/>
      <c r="W163" s="138">
        <f t="shared" si="67"/>
        <v>0.18468750626051056</v>
      </c>
      <c r="X163" s="138" t="str">
        <f t="shared" si="51"/>
        <v/>
      </c>
      <c r="Y163" s="142"/>
      <c r="Z163" s="139">
        <f t="shared" si="58"/>
        <v>3324.1077178757864</v>
      </c>
      <c r="AA163" s="114">
        <v>136</v>
      </c>
      <c r="AB163" s="48">
        <f t="shared" si="68"/>
        <v>-1976.674129668992</v>
      </c>
      <c r="AC163" s="49"/>
      <c r="AD163" s="49">
        <f t="shared" si="72"/>
        <v>7176.9327231750358</v>
      </c>
      <c r="AE163" s="50"/>
      <c r="AF163" s="140"/>
      <c r="AG163" s="140"/>
      <c r="AH163" s="140">
        <f t="shared" si="59"/>
        <v>794153.97867070429</v>
      </c>
      <c r="AI163" s="9"/>
      <c r="AJ163" s="9"/>
      <c r="AK163" s="9"/>
    </row>
    <row r="164" spans="2:37" ht="12" hidden="1" customHeight="1" outlineLevel="1" x14ac:dyDescent="0.25">
      <c r="B164" s="8" t="str">
        <f t="shared" si="60"/>
        <v/>
      </c>
      <c r="C164" s="85">
        <f t="shared" si="61"/>
        <v>990194.39796648477</v>
      </c>
      <c r="D164" s="85">
        <f t="shared" si="69"/>
        <v>4064.5556928041233</v>
      </c>
      <c r="E164" s="85">
        <f t="shared" si="70"/>
        <v>-497.11968872119382</v>
      </c>
      <c r="F164" s="85">
        <f t="shared" si="71"/>
        <v>-243.32828620714335</v>
      </c>
      <c r="G164" s="85">
        <f t="shared" si="62"/>
        <v>0</v>
      </c>
      <c r="H164" s="85">
        <v>0</v>
      </c>
      <c r="I164" s="85">
        <v>0</v>
      </c>
      <c r="J164" s="85">
        <v>0</v>
      </c>
      <c r="K164" s="85">
        <f t="shared" si="63"/>
        <v>-2622.054407072922</v>
      </c>
      <c r="L164" s="85">
        <f t="shared" si="64"/>
        <v>740.4479749283372</v>
      </c>
      <c r="M164" s="85">
        <f t="shared" si="52"/>
        <v>3362.5023820012593</v>
      </c>
      <c r="N164" s="85">
        <f t="shared" si="53"/>
        <v>1114.7380842101793</v>
      </c>
      <c r="O164" s="85">
        <f t="shared" si="54"/>
        <v>3324.1077178757864</v>
      </c>
      <c r="P164" s="85">
        <f t="shared" si="65"/>
        <v>314973.06656549708</v>
      </c>
      <c r="Q164" s="85">
        <f t="shared" si="55"/>
        <v>675221.33140098769</v>
      </c>
      <c r="R164" s="85">
        <f t="shared" si="56"/>
        <v>871.40979800303592</v>
      </c>
      <c r="S164" s="85" cm="1">
        <f t="array" ref="S164">Y164*tax_rate</f>
        <v>0</v>
      </c>
      <c r="T164" s="85">
        <f t="shared" si="66"/>
        <v>185260.99674144556</v>
      </c>
      <c r="U164" s="85">
        <f t="shared" si="57"/>
        <v>860482.32814243319</v>
      </c>
      <c r="V164" s="85"/>
      <c r="W164" s="138">
        <f t="shared" si="67"/>
        <v>0.18409552414742852</v>
      </c>
      <c r="X164" s="138" t="str">
        <f t="shared" si="51"/>
        <v/>
      </c>
      <c r="Y164" s="142"/>
      <c r="Z164" s="139">
        <f t="shared" si="58"/>
        <v>3324.1077178757864</v>
      </c>
      <c r="AA164" s="114">
        <v>137</v>
      </c>
      <c r="AB164" s="48">
        <f t="shared" si="68"/>
        <v>-1972.6405029352175</v>
      </c>
      <c r="AC164" s="49"/>
      <c r="AD164" s="49">
        <f t="shared" si="72"/>
        <v>7212.2660110432189</v>
      </c>
      <c r="AE164" s="50"/>
      <c r="AF164" s="140"/>
      <c r="AG164" s="140"/>
      <c r="AH164" s="140">
        <f t="shared" si="59"/>
        <v>801070.66426444415</v>
      </c>
      <c r="AI164" s="9"/>
      <c r="AJ164" s="9"/>
      <c r="AK164" s="9"/>
    </row>
    <row r="165" spans="2:37" ht="12" hidden="1" customHeight="1" outlineLevel="1" x14ac:dyDescent="0.25">
      <c r="B165" s="8" t="str">
        <f t="shared" si="60"/>
        <v/>
      </c>
      <c r="C165" s="85">
        <f t="shared" si="61"/>
        <v>995145.36995631712</v>
      </c>
      <c r="D165" s="85">
        <f t="shared" si="69"/>
        <v>4064.5556928041233</v>
      </c>
      <c r="E165" s="85">
        <f t="shared" si="70"/>
        <v>-497.11968872119382</v>
      </c>
      <c r="F165" s="85">
        <f t="shared" si="71"/>
        <v>-243.32828620714335</v>
      </c>
      <c r="G165" s="85">
        <f t="shared" si="62"/>
        <v>0</v>
      </c>
      <c r="H165" s="85">
        <v>0</v>
      </c>
      <c r="I165" s="85">
        <v>0</v>
      </c>
      <c r="J165" s="85">
        <v>0</v>
      </c>
      <c r="K165" s="85">
        <f t="shared" si="63"/>
        <v>-2622.054407072922</v>
      </c>
      <c r="L165" s="85">
        <f t="shared" si="64"/>
        <v>740.4479749283372</v>
      </c>
      <c r="M165" s="85">
        <f t="shared" si="52"/>
        <v>3362.5023820012593</v>
      </c>
      <c r="N165" s="85">
        <f t="shared" si="53"/>
        <v>1114.7380842101793</v>
      </c>
      <c r="O165" s="85">
        <f t="shared" si="54"/>
        <v>3324.1077178757864</v>
      </c>
      <c r="P165" s="85">
        <f t="shared" si="65"/>
        <v>314319.59382445854</v>
      </c>
      <c r="Q165" s="85">
        <f t="shared" si="55"/>
        <v>680825.77613185858</v>
      </c>
      <c r="R165" s="85">
        <f t="shared" si="56"/>
        <v>871.40979800303592</v>
      </c>
      <c r="S165" s="85" cm="1">
        <f t="array" ref="S165">Y165*tax_rate</f>
        <v>0</v>
      </c>
      <c r="T165" s="85">
        <f t="shared" si="66"/>
        <v>186904.32735920462</v>
      </c>
      <c r="U165" s="85">
        <f t="shared" si="57"/>
        <v>867730.10349106323</v>
      </c>
      <c r="V165" s="85"/>
      <c r="W165" s="138">
        <f t="shared" si="67"/>
        <v>0.18350939225731117</v>
      </c>
      <c r="X165" s="138" t="str">
        <f t="shared" si="51"/>
        <v/>
      </c>
      <c r="Y165" s="142"/>
      <c r="Z165" s="139">
        <f t="shared" si="58"/>
        <v>3324.1077178757864</v>
      </c>
      <c r="AA165" s="114">
        <v>138</v>
      </c>
      <c r="AB165" s="48">
        <f t="shared" si="68"/>
        <v>-1968.5816660343567</v>
      </c>
      <c r="AC165" s="49"/>
      <c r="AD165" s="49">
        <f t="shared" si="72"/>
        <v>7247.7753486300353</v>
      </c>
      <c r="AE165" s="50"/>
      <c r="AF165" s="140"/>
      <c r="AG165" s="140"/>
      <c r="AH165" s="140">
        <f t="shared" si="59"/>
        <v>808021.38129368424</v>
      </c>
      <c r="AI165" s="9"/>
      <c r="AJ165" s="9"/>
      <c r="AK165" s="9"/>
    </row>
    <row r="166" spans="2:37" ht="12" hidden="1" customHeight="1" outlineLevel="1" x14ac:dyDescent="0.25">
      <c r="B166" s="8" t="str">
        <f t="shared" si="60"/>
        <v/>
      </c>
      <c r="C166" s="85">
        <f t="shared" si="61"/>
        <v>1000121.0968060986</v>
      </c>
      <c r="D166" s="85">
        <f t="shared" si="69"/>
        <v>4064.5556928041233</v>
      </c>
      <c r="E166" s="85">
        <f t="shared" si="70"/>
        <v>-497.11968872119382</v>
      </c>
      <c r="F166" s="85">
        <f t="shared" si="71"/>
        <v>-243.32828620714335</v>
      </c>
      <c r="G166" s="85">
        <f t="shared" si="62"/>
        <v>0</v>
      </c>
      <c r="H166" s="85">
        <v>0</v>
      </c>
      <c r="I166" s="85">
        <v>0</v>
      </c>
      <c r="J166" s="85">
        <v>0</v>
      </c>
      <c r="K166" s="85">
        <f t="shared" si="63"/>
        <v>-2622.054407072922</v>
      </c>
      <c r="L166" s="85">
        <f t="shared" si="64"/>
        <v>740.4479749283372</v>
      </c>
      <c r="M166" s="85">
        <f t="shared" si="52"/>
        <v>3362.5023820012593</v>
      </c>
      <c r="N166" s="85">
        <f t="shared" si="53"/>
        <v>1114.7380842101793</v>
      </c>
      <c r="O166" s="85">
        <f t="shared" si="54"/>
        <v>3324.1077178757864</v>
      </c>
      <c r="P166" s="85">
        <f t="shared" si="65"/>
        <v>313662.03687878849</v>
      </c>
      <c r="Q166" s="85">
        <f t="shared" si="55"/>
        <v>686459.0599273101</v>
      </c>
      <c r="R166" s="85">
        <f t="shared" si="56"/>
        <v>871.40979800303592</v>
      </c>
      <c r="S166" s="85" cm="1">
        <f t="array" ref="S166">Y166*tax_rate</f>
        <v>0</v>
      </c>
      <c r="T166" s="85">
        <f t="shared" si="66"/>
        <v>188554.50518787099</v>
      </c>
      <c r="U166" s="85">
        <f t="shared" si="57"/>
        <v>875013.56511518103</v>
      </c>
      <c r="V166" s="85"/>
      <c r="W166" s="138">
        <f t="shared" si="67"/>
        <v>0.18292901794747643</v>
      </c>
      <c r="X166" s="138" t="str">
        <f t="shared" si="51"/>
        <v/>
      </c>
      <c r="Y166" s="142"/>
      <c r="Z166" s="139">
        <f t="shared" si="58"/>
        <v>3324.1077178757864</v>
      </c>
      <c r="AA166" s="114">
        <v>139</v>
      </c>
      <c r="AB166" s="48">
        <f t="shared" si="68"/>
        <v>-1964.4974614028656</v>
      </c>
      <c r="AC166" s="49"/>
      <c r="AD166" s="49">
        <f t="shared" si="72"/>
        <v>7283.461624117801</v>
      </c>
      <c r="AE166" s="50"/>
      <c r="AF166" s="140"/>
      <c r="AG166" s="140"/>
      <c r="AH166" s="140">
        <f t="shared" si="59"/>
        <v>815006.29930681514</v>
      </c>
      <c r="AI166" s="9"/>
      <c r="AJ166" s="9"/>
      <c r="AK166" s="9"/>
    </row>
    <row r="167" spans="2:37" ht="12" hidden="1" customHeight="1" outlineLevel="1" x14ac:dyDescent="0.25">
      <c r="B167" s="8" t="str">
        <f t="shared" si="60"/>
        <v/>
      </c>
      <c r="C167" s="85">
        <f t="shared" si="61"/>
        <v>1005121.702290129</v>
      </c>
      <c r="D167" s="85">
        <f t="shared" si="69"/>
        <v>4064.5556928041233</v>
      </c>
      <c r="E167" s="85">
        <f t="shared" si="70"/>
        <v>-497.11968872119382</v>
      </c>
      <c r="F167" s="85">
        <f t="shared" si="71"/>
        <v>-243.32828620714335</v>
      </c>
      <c r="G167" s="85">
        <f t="shared" si="62"/>
        <v>0</v>
      </c>
      <c r="H167" s="85">
        <v>0</v>
      </c>
      <c r="I167" s="85">
        <v>0</v>
      </c>
      <c r="J167" s="85">
        <v>0</v>
      </c>
      <c r="K167" s="85">
        <f t="shared" si="63"/>
        <v>-2622.054407072922</v>
      </c>
      <c r="L167" s="85">
        <f t="shared" si="64"/>
        <v>740.4479749283372</v>
      </c>
      <c r="M167" s="85">
        <f t="shared" si="52"/>
        <v>3362.5023820012593</v>
      </c>
      <c r="N167" s="85">
        <f t="shared" si="53"/>
        <v>1114.7380842101793</v>
      </c>
      <c r="O167" s="85">
        <f t="shared" si="54"/>
        <v>3324.1077178757864</v>
      </c>
      <c r="P167" s="85">
        <f t="shared" si="65"/>
        <v>313000.370202208</v>
      </c>
      <c r="Q167" s="85">
        <f t="shared" si="55"/>
        <v>692121.33208792098</v>
      </c>
      <c r="R167" s="85">
        <f t="shared" si="56"/>
        <v>871.40979800303592</v>
      </c>
      <c r="S167" s="85" cm="1">
        <f t="array" ref="S167">Y167*tax_rate</f>
        <v>0</v>
      </c>
      <c r="T167" s="85">
        <f t="shared" si="66"/>
        <v>190211.55875749016</v>
      </c>
      <c r="U167" s="85">
        <f t="shared" si="57"/>
        <v>882332.89084541111</v>
      </c>
      <c r="V167" s="85"/>
      <c r="W167" s="138">
        <f t="shared" si="67"/>
        <v>0.1823543106449505</v>
      </c>
      <c r="X167" s="138" t="str">
        <f t="shared" si="51"/>
        <v/>
      </c>
      <c r="Y167" s="142"/>
      <c r="Z167" s="139">
        <f t="shared" si="58"/>
        <v>3324.1077178757864</v>
      </c>
      <c r="AA167" s="114">
        <v>140</v>
      </c>
      <c r="AB167" s="48">
        <f t="shared" si="68"/>
        <v>-1960.3877304924279</v>
      </c>
      <c r="AC167" s="49"/>
      <c r="AD167" s="49">
        <f t="shared" si="72"/>
        <v>7319.3257302300772</v>
      </c>
      <c r="AE167" s="50"/>
      <c r="AF167" s="140"/>
      <c r="AG167" s="140"/>
      <c r="AH167" s="140">
        <f t="shared" si="59"/>
        <v>822025.5887080034</v>
      </c>
      <c r="AI167" s="9"/>
      <c r="AJ167" s="9"/>
      <c r="AK167" s="9"/>
    </row>
    <row r="168" spans="2:37" ht="12" hidden="1" customHeight="1" outlineLevel="1" x14ac:dyDescent="0.25">
      <c r="B168" s="8" t="str">
        <f t="shared" si="60"/>
        <v/>
      </c>
      <c r="C168" s="85">
        <f t="shared" si="61"/>
        <v>1010147.3108015796</v>
      </c>
      <c r="D168" s="85">
        <f t="shared" si="69"/>
        <v>4064.5556928041233</v>
      </c>
      <c r="E168" s="85">
        <f t="shared" si="70"/>
        <v>-497.11968872119382</v>
      </c>
      <c r="F168" s="85">
        <f t="shared" si="71"/>
        <v>-243.32828620714335</v>
      </c>
      <c r="G168" s="85">
        <f t="shared" si="62"/>
        <v>0</v>
      </c>
      <c r="H168" s="85">
        <v>0</v>
      </c>
      <c r="I168" s="85">
        <v>0</v>
      </c>
      <c r="J168" s="85">
        <v>0</v>
      </c>
      <c r="K168" s="85">
        <f t="shared" si="63"/>
        <v>-2622.054407072922</v>
      </c>
      <c r="L168" s="85">
        <f t="shared" si="64"/>
        <v>740.4479749283372</v>
      </c>
      <c r="M168" s="85">
        <f t="shared" si="52"/>
        <v>3362.5023820012593</v>
      </c>
      <c r="N168" s="85">
        <f t="shared" si="53"/>
        <v>1114.7380842101793</v>
      </c>
      <c r="O168" s="85">
        <f t="shared" si="54"/>
        <v>3324.1077178757864</v>
      </c>
      <c r="P168" s="85">
        <f t="shared" si="65"/>
        <v>312334.56810889888</v>
      </c>
      <c r="Q168" s="85">
        <f t="shared" si="55"/>
        <v>697812.7426926808</v>
      </c>
      <c r="R168" s="85">
        <f t="shared" si="56"/>
        <v>871.40979800303592</v>
      </c>
      <c r="S168" s="85" cm="1">
        <f t="array" ref="S168">Y168*tax_rate</f>
        <v>0</v>
      </c>
      <c r="T168" s="85">
        <f t="shared" si="66"/>
        <v>191875.51671698273</v>
      </c>
      <c r="U168" s="85">
        <f t="shared" si="57"/>
        <v>889688.2594096635</v>
      </c>
      <c r="V168" s="85"/>
      <c r="W168" s="138">
        <f t="shared" si="67"/>
        <v>0.18178518178611172</v>
      </c>
      <c r="X168" s="138" t="str">
        <f t="shared" ref="X168:X231" si="73">IF(V168=0,"",V168/U156)</f>
        <v/>
      </c>
      <c r="Y168" s="142"/>
      <c r="Z168" s="139">
        <f t="shared" si="58"/>
        <v>3324.1077178757864</v>
      </c>
      <c r="AA168" s="114">
        <v>141</v>
      </c>
      <c r="AB168" s="48">
        <f t="shared" si="68"/>
        <v>-1956.2523137637997</v>
      </c>
      <c r="AC168" s="49"/>
      <c r="AD168" s="49">
        <f t="shared" si="72"/>
        <v>7355.3685642523924</v>
      </c>
      <c r="AE168" s="50"/>
      <c r="AF168" s="140"/>
      <c r="AG168" s="140"/>
      <c r="AH168" s="140">
        <f t="shared" si="59"/>
        <v>829079.4207615687</v>
      </c>
      <c r="AI168" s="9"/>
      <c r="AJ168" s="9"/>
      <c r="AK168" s="9"/>
    </row>
    <row r="169" spans="2:37" ht="12" hidden="1" customHeight="1" outlineLevel="1" x14ac:dyDescent="0.25">
      <c r="B169" s="8" t="str">
        <f t="shared" si="60"/>
        <v/>
      </c>
      <c r="C169" s="85">
        <f t="shared" si="61"/>
        <v>1015198.0473555874</v>
      </c>
      <c r="D169" s="85">
        <f t="shared" si="69"/>
        <v>4064.5556928041233</v>
      </c>
      <c r="E169" s="85">
        <f t="shared" si="70"/>
        <v>-497.11968872119382</v>
      </c>
      <c r="F169" s="85">
        <f t="shared" si="71"/>
        <v>-243.32828620714335</v>
      </c>
      <c r="G169" s="85">
        <f t="shared" si="62"/>
        <v>0</v>
      </c>
      <c r="H169" s="85">
        <v>0</v>
      </c>
      <c r="I169" s="85">
        <v>0</v>
      </c>
      <c r="J169" s="85">
        <v>0</v>
      </c>
      <c r="K169" s="85">
        <f t="shared" si="63"/>
        <v>-2622.054407072922</v>
      </c>
      <c r="L169" s="85">
        <f t="shared" si="64"/>
        <v>740.4479749283372</v>
      </c>
      <c r="M169" s="85">
        <f t="shared" si="52"/>
        <v>3362.5023820012593</v>
      </c>
      <c r="N169" s="85">
        <f t="shared" si="53"/>
        <v>1114.7380842101793</v>
      </c>
      <c r="O169" s="85">
        <f t="shared" si="54"/>
        <v>3324.1077178757864</v>
      </c>
      <c r="P169" s="85">
        <f t="shared" si="65"/>
        <v>311664.6047525066</v>
      </c>
      <c r="Q169" s="85">
        <f t="shared" si="55"/>
        <v>703533.44260308077</v>
      </c>
      <c r="R169" s="85">
        <f t="shared" si="56"/>
        <v>871.40979800303592</v>
      </c>
      <c r="S169" s="85" cm="1">
        <f t="array" ref="S169">Y169*tax_rate</f>
        <v>0</v>
      </c>
      <c r="T169" s="85">
        <f t="shared" si="66"/>
        <v>193546.40783463986</v>
      </c>
      <c r="U169" s="85">
        <f t="shared" si="57"/>
        <v>897079.85043772066</v>
      </c>
      <c r="V169" s="85"/>
      <c r="W169" s="138">
        <f t="shared" si="67"/>
        <v>0.18122154475852442</v>
      </c>
      <c r="X169" s="138" t="str">
        <f t="shared" si="73"/>
        <v/>
      </c>
      <c r="Y169" s="142"/>
      <c r="Z169" s="139">
        <f t="shared" si="58"/>
        <v>3324.1077178757864</v>
      </c>
      <c r="AA169" s="114">
        <v>142</v>
      </c>
      <c r="AB169" s="48">
        <f t="shared" si="68"/>
        <v>-1952.0910506806179</v>
      </c>
      <c r="AC169" s="49"/>
      <c r="AD169" s="49">
        <f t="shared" si="72"/>
        <v>7391.5910280571552</v>
      </c>
      <c r="AE169" s="50"/>
      <c r="AF169" s="140"/>
      <c r="AG169" s="140"/>
      <c r="AH169" s="140">
        <f t="shared" si="59"/>
        <v>836167.9675963854</v>
      </c>
      <c r="AI169" s="9"/>
      <c r="AJ169" s="9"/>
      <c r="AK169" s="9"/>
    </row>
    <row r="170" spans="2:37" ht="12" hidden="1" customHeight="1" outlineLevel="1" x14ac:dyDescent="0.25">
      <c r="B170" s="8" t="str">
        <f t="shared" si="60"/>
        <v/>
      </c>
      <c r="C170" s="85">
        <f t="shared" si="61"/>
        <v>1020274.0375923652</v>
      </c>
      <c r="D170" s="85">
        <f t="shared" si="69"/>
        <v>4064.5556928041233</v>
      </c>
      <c r="E170" s="85">
        <f t="shared" si="70"/>
        <v>-497.11968872119382</v>
      </c>
      <c r="F170" s="85">
        <f t="shared" si="71"/>
        <v>-243.32828620714335</v>
      </c>
      <c r="G170" s="85">
        <f t="shared" si="62"/>
        <v>0</v>
      </c>
      <c r="H170" s="85">
        <v>0</v>
      </c>
      <c r="I170" s="85">
        <v>0</v>
      </c>
      <c r="J170" s="85">
        <v>0</v>
      </c>
      <c r="K170" s="85">
        <f t="shared" si="63"/>
        <v>-2622.054407072922</v>
      </c>
      <c r="L170" s="85">
        <f t="shared" si="64"/>
        <v>740.4479749283372</v>
      </c>
      <c r="M170" s="85">
        <f t="shared" si="52"/>
        <v>3362.5023820012593</v>
      </c>
      <c r="N170" s="85">
        <f t="shared" si="53"/>
        <v>1114.7380842101793</v>
      </c>
      <c r="O170" s="85">
        <f t="shared" si="54"/>
        <v>3324.1077178757864</v>
      </c>
      <c r="P170" s="85">
        <f t="shared" si="65"/>
        <v>310990.45412513684</v>
      </c>
      <c r="Q170" s="85">
        <f t="shared" si="55"/>
        <v>709283.58346722834</v>
      </c>
      <c r="R170" s="85">
        <f t="shared" si="56"/>
        <v>871.40979800303592</v>
      </c>
      <c r="S170" s="85" cm="1">
        <f t="array" ref="S170">Y170*tax_rate</f>
        <v>0</v>
      </c>
      <c r="T170" s="85">
        <f t="shared" si="66"/>
        <v>195224.26099862056</v>
      </c>
      <c r="U170" s="85">
        <f t="shared" si="57"/>
        <v>904507.84446584887</v>
      </c>
      <c r="V170" s="85"/>
      <c r="W170" s="138">
        <f t="shared" si="67"/>
        <v>0.18066331484486076</v>
      </c>
      <c r="X170" s="138" t="str">
        <f t="shared" si="73"/>
        <v/>
      </c>
      <c r="Y170" s="142"/>
      <c r="Z170" s="139">
        <f t="shared" si="58"/>
        <v>3324.1077178757864</v>
      </c>
      <c r="AA170" s="114">
        <v>143</v>
      </c>
      <c r="AB170" s="48">
        <f t="shared" si="68"/>
        <v>-1947.903779703166</v>
      </c>
      <c r="AC170" s="49"/>
      <c r="AD170" s="49">
        <f t="shared" si="72"/>
        <v>7427.9940281282179</v>
      </c>
      <c r="AE170" s="50"/>
      <c r="AF170" s="140"/>
      <c r="AG170" s="140"/>
      <c r="AH170" s="140">
        <f t="shared" si="59"/>
        <v>843291.40221030696</v>
      </c>
      <c r="AI170" s="9"/>
      <c r="AJ170" s="9"/>
      <c r="AK170" s="9"/>
    </row>
    <row r="171" spans="2:37" ht="15" customHeight="1" collapsed="1" x14ac:dyDescent="0.25">
      <c r="B171" s="8">
        <f t="shared" si="60"/>
        <v>12</v>
      </c>
      <c r="C171" s="85">
        <f t="shared" si="61"/>
        <v>1025375.4077803269</v>
      </c>
      <c r="D171" s="85">
        <f t="shared" si="69"/>
        <v>4064.5556928041233</v>
      </c>
      <c r="E171" s="85">
        <f t="shared" si="70"/>
        <v>-497.11968872119382</v>
      </c>
      <c r="F171" s="85">
        <f t="shared" si="71"/>
        <v>-243.32828620714335</v>
      </c>
      <c r="G171" s="85">
        <f t="shared" si="62"/>
        <v>0</v>
      </c>
      <c r="H171" s="85">
        <v>0</v>
      </c>
      <c r="I171" s="85">
        <v>0</v>
      </c>
      <c r="J171" s="85">
        <v>0</v>
      </c>
      <c r="K171" s="85">
        <f t="shared" si="63"/>
        <v>-2622.054407072922</v>
      </c>
      <c r="L171" s="85">
        <f t="shared" si="64"/>
        <v>740.4479749283372</v>
      </c>
      <c r="M171" s="85">
        <f t="shared" si="52"/>
        <v>3362.5023820012593</v>
      </c>
      <c r="N171" s="85">
        <f t="shared" si="53"/>
        <v>1114.7380842101793</v>
      </c>
      <c r="O171" s="85">
        <f t="shared" si="54"/>
        <v>3324.1077178757864</v>
      </c>
      <c r="P171" s="85">
        <f t="shared" si="65"/>
        <v>310312.09005634603</v>
      </c>
      <c r="Q171" s="85">
        <f t="shared" si="55"/>
        <v>715063.31772398087</v>
      </c>
      <c r="R171" s="85">
        <f t="shared" si="56"/>
        <v>871.40979800303592</v>
      </c>
      <c r="S171" s="85" cm="1">
        <f t="array" ref="S171">Y171*tax_rate</f>
        <v>9703.6685182261208</v>
      </c>
      <c r="T171" s="85">
        <f t="shared" si="66"/>
        <v>206612.7737356773</v>
      </c>
      <c r="U171" s="85">
        <f t="shared" si="57"/>
        <v>921676.09145965823</v>
      </c>
      <c r="V171" s="85">
        <f>U171-U159</f>
        <v>96903.507762870053</v>
      </c>
      <c r="W171" s="138">
        <f>RATE(AA171/12,0,-Total_Initial_Investment,U171,0)</f>
        <v>0.18115173549030095</v>
      </c>
      <c r="X171" s="138">
        <f t="shared" si="73"/>
        <v>0.11749118445296766</v>
      </c>
      <c r="Y171" s="141">
        <f>(((Sale_Price*0.8)+Improvement_Costs+Closing_Costs_Total)/27.5)+(-E171*12)+-AC171</f>
        <v>44107.584173755095</v>
      </c>
      <c r="Z171" s="139">
        <f t="shared" si="58"/>
        <v>3324.1077178757864</v>
      </c>
      <c r="AA171" s="114">
        <v>144</v>
      </c>
      <c r="AB171" s="48">
        <f t="shared" si="68"/>
        <v>-1943.6903382821051</v>
      </c>
      <c r="AC171" s="48">
        <f>SUM(AB160:AB171)</f>
        <v>-23596.69336364622</v>
      </c>
      <c r="AD171" s="49">
        <f t="shared" si="72"/>
        <v>17168.246993809356</v>
      </c>
      <c r="AE171" s="50">
        <f>D171*12</f>
        <v>48774.668313649483</v>
      </c>
      <c r="AF171" s="140"/>
      <c r="AG171" s="140"/>
      <c r="AH171" s="140">
        <f t="shared" si="59"/>
        <v>860153.56699283863</v>
      </c>
      <c r="AI171" s="9">
        <f>AI159*(1+Comparison_Rate_of_Return)</f>
        <v>392303.54709012544</v>
      </c>
      <c r="AJ171" s="9"/>
      <c r="AK171" s="9"/>
    </row>
    <row r="172" spans="2:37" ht="12" hidden="1" customHeight="1" outlineLevel="1" x14ac:dyDescent="0.25">
      <c r="B172" s="8" t="str">
        <f t="shared" si="60"/>
        <v/>
      </c>
      <c r="C172" s="85">
        <f t="shared" si="61"/>
        <v>1030502.2848192285</v>
      </c>
      <c r="D172" s="85">
        <f t="shared" si="69"/>
        <v>4206.8151420522672</v>
      </c>
      <c r="E172" s="85">
        <f t="shared" si="70"/>
        <v>-514.51887782643553</v>
      </c>
      <c r="F172" s="85">
        <f t="shared" si="71"/>
        <v>-251.84477622439334</v>
      </c>
      <c r="G172" s="85">
        <f t="shared" si="62"/>
        <v>0</v>
      </c>
      <c r="H172" s="85">
        <v>0</v>
      </c>
      <c r="I172" s="85">
        <v>0</v>
      </c>
      <c r="J172" s="85">
        <v>0</v>
      </c>
      <c r="K172" s="85">
        <f t="shared" si="63"/>
        <v>-2622.054407072922</v>
      </c>
      <c r="L172" s="85">
        <f t="shared" si="64"/>
        <v>766.36365405082893</v>
      </c>
      <c r="M172" s="85">
        <f t="shared" si="52"/>
        <v>3388.4180611237507</v>
      </c>
      <c r="N172" s="85">
        <f t="shared" si="53"/>
        <v>1245.5258214050873</v>
      </c>
      <c r="O172" s="85">
        <f t="shared" si="54"/>
        <v>3440.4514880014385</v>
      </c>
      <c r="P172" s="85">
        <f t="shared" si="65"/>
        <v>309629.48621212528</v>
      </c>
      <c r="Q172" s="85">
        <f t="shared" si="55"/>
        <v>720872.79860710318</v>
      </c>
      <c r="R172" s="85">
        <f t="shared" si="56"/>
        <v>993.6810451806939</v>
      </c>
      <c r="S172" s="85" cm="1">
        <f t="array" ref="S172">Y172*tax_rate</f>
        <v>0</v>
      </c>
      <c r="T172" s="85">
        <f t="shared" si="66"/>
        <v>208467.34133808996</v>
      </c>
      <c r="U172" s="85">
        <f t="shared" si="57"/>
        <v>929340.13994519319</v>
      </c>
      <c r="V172" s="85"/>
      <c r="W172" s="138">
        <f t="shared" si="67"/>
        <v>0.18060512288941216</v>
      </c>
      <c r="X172" s="138" t="str">
        <f t="shared" si="73"/>
        <v/>
      </c>
      <c r="Y172" s="142"/>
      <c r="Z172" s="139">
        <f t="shared" si="58"/>
        <v>3440.4514880014385</v>
      </c>
      <c r="AA172" s="114">
        <v>145</v>
      </c>
      <c r="AB172" s="48">
        <f t="shared" si="68"/>
        <v>-1939.4505628521624</v>
      </c>
      <c r="AC172" s="49"/>
      <c r="AD172" s="49">
        <f t="shared" si="72"/>
        <v>7664.0484855349641</v>
      </c>
      <c r="AE172" s="50"/>
      <c r="AF172" s="140"/>
      <c r="AG172" s="140"/>
      <c r="AH172" s="140">
        <f t="shared" si="59"/>
        <v>867510.00285603944</v>
      </c>
      <c r="AI172" s="9"/>
      <c r="AJ172" s="9"/>
      <c r="AK172" s="9"/>
    </row>
    <row r="173" spans="2:37" ht="12" hidden="1" customHeight="1" outlineLevel="1" x14ac:dyDescent="0.25">
      <c r="B173" s="8" t="str">
        <f t="shared" si="60"/>
        <v/>
      </c>
      <c r="C173" s="85">
        <f t="shared" si="61"/>
        <v>1035654.7962433245</v>
      </c>
      <c r="D173" s="85">
        <f t="shared" si="69"/>
        <v>4206.8151420522672</v>
      </c>
      <c r="E173" s="85">
        <f t="shared" si="70"/>
        <v>-514.51887782643553</v>
      </c>
      <c r="F173" s="85">
        <f t="shared" si="71"/>
        <v>-251.84477622439334</v>
      </c>
      <c r="G173" s="85">
        <f t="shared" si="62"/>
        <v>0</v>
      </c>
      <c r="H173" s="85">
        <v>0</v>
      </c>
      <c r="I173" s="85">
        <v>0</v>
      </c>
      <c r="J173" s="85">
        <v>0</v>
      </c>
      <c r="K173" s="85">
        <f t="shared" si="63"/>
        <v>-2622.054407072922</v>
      </c>
      <c r="L173" s="85">
        <f t="shared" si="64"/>
        <v>766.36365405082893</v>
      </c>
      <c r="M173" s="85">
        <f t="shared" si="52"/>
        <v>3388.4180611237507</v>
      </c>
      <c r="N173" s="85">
        <f t="shared" si="53"/>
        <v>1245.5258214050873</v>
      </c>
      <c r="O173" s="85">
        <f t="shared" si="54"/>
        <v>3440.4514880014385</v>
      </c>
      <c r="P173" s="85">
        <f t="shared" si="65"/>
        <v>308942.61609387811</v>
      </c>
      <c r="Q173" s="85">
        <f t="shared" si="55"/>
        <v>726712.18014944647</v>
      </c>
      <c r="R173" s="85">
        <f t="shared" si="56"/>
        <v>993.6810451806939</v>
      </c>
      <c r="S173" s="85" cm="1">
        <f t="array" ref="S173">Y173*tax_rate</f>
        <v>0</v>
      </c>
      <c r="T173" s="85">
        <f t="shared" si="66"/>
        <v>210329.63630551269</v>
      </c>
      <c r="U173" s="85">
        <f t="shared" si="57"/>
        <v>937041.8164549591</v>
      </c>
      <c r="V173" s="85"/>
      <c r="W173" s="138">
        <f t="shared" si="67"/>
        <v>0.18006354427285523</v>
      </c>
      <c r="X173" s="138" t="str">
        <f t="shared" si="73"/>
        <v/>
      </c>
      <c r="Y173" s="142"/>
      <c r="Z173" s="139">
        <f t="shared" si="58"/>
        <v>3440.4514880014385</v>
      </c>
      <c r="AA173" s="114">
        <v>146</v>
      </c>
      <c r="AB173" s="48">
        <f t="shared" si="68"/>
        <v>-1935.1842888257829</v>
      </c>
      <c r="AC173" s="49"/>
      <c r="AD173" s="49">
        <f t="shared" si="72"/>
        <v>7701.6765097659081</v>
      </c>
      <c r="AE173" s="50"/>
      <c r="AF173" s="140"/>
      <c r="AG173" s="140"/>
      <c r="AH173" s="140">
        <f t="shared" si="59"/>
        <v>874902.5286803596</v>
      </c>
      <c r="AI173" s="9"/>
      <c r="AJ173" s="9"/>
      <c r="AK173" s="9"/>
    </row>
    <row r="174" spans="2:37" ht="12" hidden="1" customHeight="1" outlineLevel="1" x14ac:dyDescent="0.25">
      <c r="B174" s="8" t="str">
        <f t="shared" si="60"/>
        <v/>
      </c>
      <c r="C174" s="85">
        <f t="shared" si="61"/>
        <v>1040833.070224541</v>
      </c>
      <c r="D174" s="85">
        <f t="shared" si="69"/>
        <v>4206.8151420522672</v>
      </c>
      <c r="E174" s="85">
        <f t="shared" si="70"/>
        <v>-514.51887782643553</v>
      </c>
      <c r="F174" s="85">
        <f t="shared" si="71"/>
        <v>-251.84477622439334</v>
      </c>
      <c r="G174" s="85">
        <f t="shared" si="62"/>
        <v>0</v>
      </c>
      <c r="H174" s="85">
        <v>0</v>
      </c>
      <c r="I174" s="85">
        <v>0</v>
      </c>
      <c r="J174" s="85">
        <v>0</v>
      </c>
      <c r="K174" s="85">
        <f t="shared" si="63"/>
        <v>-2622.054407072922</v>
      </c>
      <c r="L174" s="85">
        <f t="shared" si="64"/>
        <v>766.36365405082893</v>
      </c>
      <c r="M174" s="85">
        <f t="shared" si="52"/>
        <v>3388.4180611237507</v>
      </c>
      <c r="N174" s="85">
        <f t="shared" si="53"/>
        <v>1245.5258214050873</v>
      </c>
      <c r="O174" s="85">
        <f t="shared" si="54"/>
        <v>3440.4514880014385</v>
      </c>
      <c r="P174" s="85">
        <f t="shared" si="65"/>
        <v>308251.45303739194</v>
      </c>
      <c r="Q174" s="85">
        <f t="shared" si="55"/>
        <v>732581.61718714912</v>
      </c>
      <c r="R174" s="85">
        <f t="shared" si="56"/>
        <v>993.6810451806939</v>
      </c>
      <c r="S174" s="85" cm="1">
        <f t="array" ref="S174">Y174*tax_rate</f>
        <v>0</v>
      </c>
      <c r="T174" s="85">
        <f t="shared" si="66"/>
        <v>212199.69083529967</v>
      </c>
      <c r="U174" s="85">
        <f t="shared" si="57"/>
        <v>944781.30802244879</v>
      </c>
      <c r="V174" s="85"/>
      <c r="W174" s="138">
        <f t="shared" si="67"/>
        <v>0.17952692660485364</v>
      </c>
      <c r="X174" s="138" t="str">
        <f t="shared" si="73"/>
        <v/>
      </c>
      <c r="Y174" s="142"/>
      <c r="Z174" s="139">
        <f t="shared" si="58"/>
        <v>3440.4514880014385</v>
      </c>
      <c r="AA174" s="114">
        <v>147</v>
      </c>
      <c r="AB174" s="48">
        <f t="shared" si="68"/>
        <v>-1930.8913505867381</v>
      </c>
      <c r="AC174" s="49"/>
      <c r="AD174" s="49">
        <f t="shared" si="72"/>
        <v>7739.4915674896911</v>
      </c>
      <c r="AE174" s="50"/>
      <c r="AF174" s="140"/>
      <c r="AG174" s="140"/>
      <c r="AH174" s="140">
        <f t="shared" si="59"/>
        <v>882331.32380897633</v>
      </c>
      <c r="AI174" s="9"/>
      <c r="AJ174" s="9"/>
      <c r="AK174" s="9"/>
    </row>
    <row r="175" spans="2:37" ht="12" hidden="1" customHeight="1" outlineLevel="1" x14ac:dyDescent="0.25">
      <c r="B175" s="8" t="str">
        <f t="shared" si="60"/>
        <v/>
      </c>
      <c r="C175" s="85">
        <f t="shared" si="61"/>
        <v>1046037.2355756636</v>
      </c>
      <c r="D175" s="85">
        <f t="shared" si="69"/>
        <v>4206.8151420522672</v>
      </c>
      <c r="E175" s="85">
        <f t="shared" si="70"/>
        <v>-514.51887782643553</v>
      </c>
      <c r="F175" s="85">
        <f t="shared" si="71"/>
        <v>-251.84477622439334</v>
      </c>
      <c r="G175" s="85">
        <f t="shared" si="62"/>
        <v>0</v>
      </c>
      <c r="H175" s="85">
        <v>0</v>
      </c>
      <c r="I175" s="85">
        <v>0</v>
      </c>
      <c r="J175" s="85">
        <v>0</v>
      </c>
      <c r="K175" s="85">
        <f t="shared" si="63"/>
        <v>-2622.054407072922</v>
      </c>
      <c r="L175" s="85">
        <f t="shared" si="64"/>
        <v>766.36365405082893</v>
      </c>
      <c r="M175" s="85">
        <f t="shared" si="52"/>
        <v>3388.4180611237507</v>
      </c>
      <c r="N175" s="85">
        <f t="shared" si="53"/>
        <v>1245.5258214050873</v>
      </c>
      <c r="O175" s="85">
        <f t="shared" si="54"/>
        <v>3440.4514880014385</v>
      </c>
      <c r="P175" s="85">
        <f t="shared" si="65"/>
        <v>307555.97021180269</v>
      </c>
      <c r="Q175" s="85">
        <f t="shared" si="55"/>
        <v>738481.26536386088</v>
      </c>
      <c r="R175" s="85">
        <f t="shared" si="56"/>
        <v>993.6810451806939</v>
      </c>
      <c r="S175" s="85" cm="1">
        <f t="array" ref="S175">Y175*tax_rate</f>
        <v>0</v>
      </c>
      <c r="T175" s="85">
        <f t="shared" si="66"/>
        <v>214077.53725896077</v>
      </c>
      <c r="U175" s="85">
        <f t="shared" si="57"/>
        <v>952558.80262282165</v>
      </c>
      <c r="V175" s="85"/>
      <c r="W175" s="138">
        <f t="shared" si="67"/>
        <v>0.17899519832345701</v>
      </c>
      <c r="X175" s="138" t="str">
        <f t="shared" si="73"/>
        <v/>
      </c>
      <c r="Y175" s="142"/>
      <c r="Z175" s="139">
        <f t="shared" si="58"/>
        <v>3440.4514880014385</v>
      </c>
      <c r="AA175" s="114">
        <v>148</v>
      </c>
      <c r="AB175" s="48">
        <f t="shared" si="68"/>
        <v>-1926.5715814836994</v>
      </c>
      <c r="AC175" s="49"/>
      <c r="AD175" s="49">
        <f t="shared" si="72"/>
        <v>7777.4946003728546</v>
      </c>
      <c r="AE175" s="50"/>
      <c r="AF175" s="140"/>
      <c r="AG175" s="140"/>
      <c r="AH175" s="140">
        <f t="shared" si="59"/>
        <v>889796.5684882818</v>
      </c>
      <c r="AI175" s="9"/>
      <c r="AJ175" s="9"/>
      <c r="AK175" s="9"/>
    </row>
    <row r="176" spans="2:37" ht="12" hidden="1" customHeight="1" outlineLevel="1" x14ac:dyDescent="0.25">
      <c r="B176" s="8" t="str">
        <f t="shared" si="60"/>
        <v/>
      </c>
      <c r="C176" s="85">
        <f t="shared" si="61"/>
        <v>1051267.4217535418</v>
      </c>
      <c r="D176" s="85">
        <f t="shared" si="69"/>
        <v>4206.8151420522672</v>
      </c>
      <c r="E176" s="85">
        <f t="shared" si="70"/>
        <v>-514.51887782643553</v>
      </c>
      <c r="F176" s="85">
        <f t="shared" si="71"/>
        <v>-251.84477622439334</v>
      </c>
      <c r="G176" s="85">
        <f t="shared" si="62"/>
        <v>0</v>
      </c>
      <c r="H176" s="85">
        <v>0</v>
      </c>
      <c r="I176" s="85">
        <v>0</v>
      </c>
      <c r="J176" s="85">
        <v>0</v>
      </c>
      <c r="K176" s="85">
        <f t="shared" si="63"/>
        <v>-2622.054407072922</v>
      </c>
      <c r="L176" s="85">
        <f t="shared" si="64"/>
        <v>766.36365405082893</v>
      </c>
      <c r="M176" s="85">
        <f t="shared" si="52"/>
        <v>3388.4180611237507</v>
      </c>
      <c r="N176" s="85">
        <f t="shared" si="53"/>
        <v>1245.5258214050873</v>
      </c>
      <c r="O176" s="85">
        <f t="shared" si="54"/>
        <v>3440.4514880014385</v>
      </c>
      <c r="P176" s="85">
        <f t="shared" si="65"/>
        <v>306856.14061855356</v>
      </c>
      <c r="Q176" s="85">
        <f t="shared" si="55"/>
        <v>744411.28113498818</v>
      </c>
      <c r="R176" s="85">
        <f t="shared" si="56"/>
        <v>993.6810451806939</v>
      </c>
      <c r="S176" s="85" cm="1">
        <f t="array" ref="S176">Y176*tax_rate</f>
        <v>0</v>
      </c>
      <c r="T176" s="85">
        <f t="shared" si="66"/>
        <v>215963.20804272045</v>
      </c>
      <c r="U176" s="85">
        <f t="shared" si="57"/>
        <v>960374.48917770863</v>
      </c>
      <c r="V176" s="85"/>
      <c r="W176" s="138">
        <f t="shared" si="67"/>
        <v>0.17846828930217568</v>
      </c>
      <c r="X176" s="138" t="str">
        <f t="shared" si="73"/>
        <v/>
      </c>
      <c r="Y176" s="142"/>
      <c r="Z176" s="139">
        <f t="shared" si="58"/>
        <v>3440.4514880014385</v>
      </c>
      <c r="AA176" s="114">
        <v>149</v>
      </c>
      <c r="AB176" s="48">
        <f t="shared" si="68"/>
        <v>-1922.2248138237667</v>
      </c>
      <c r="AC176" s="49"/>
      <c r="AD176" s="49">
        <f t="shared" si="72"/>
        <v>7815.6865548869828</v>
      </c>
      <c r="AE176" s="50"/>
      <c r="AF176" s="140"/>
      <c r="AG176" s="140"/>
      <c r="AH176" s="140">
        <f t="shared" si="59"/>
        <v>897298.44387249614</v>
      </c>
      <c r="AI176" s="9"/>
      <c r="AJ176" s="9"/>
      <c r="AK176" s="9"/>
    </row>
    <row r="177" spans="2:37" ht="12" hidden="1" customHeight="1" outlineLevel="1" x14ac:dyDescent="0.25">
      <c r="B177" s="8" t="str">
        <f t="shared" si="60"/>
        <v/>
      </c>
      <c r="C177" s="85">
        <f t="shared" si="61"/>
        <v>1056523.7588623094</v>
      </c>
      <c r="D177" s="85">
        <f t="shared" si="69"/>
        <v>4206.8151420522672</v>
      </c>
      <c r="E177" s="85">
        <f t="shared" si="70"/>
        <v>-514.51887782643553</v>
      </c>
      <c r="F177" s="85">
        <f t="shared" si="71"/>
        <v>-251.84477622439334</v>
      </c>
      <c r="G177" s="85">
        <f t="shared" si="62"/>
        <v>0</v>
      </c>
      <c r="H177" s="85">
        <v>0</v>
      </c>
      <c r="I177" s="85">
        <v>0</v>
      </c>
      <c r="J177" s="85">
        <v>0</v>
      </c>
      <c r="K177" s="85">
        <f t="shared" si="63"/>
        <v>-2622.054407072922</v>
      </c>
      <c r="L177" s="85">
        <f t="shared" si="64"/>
        <v>766.36365405082893</v>
      </c>
      <c r="M177" s="85">
        <f t="shared" si="52"/>
        <v>3388.4180611237507</v>
      </c>
      <c r="N177" s="85">
        <f t="shared" si="53"/>
        <v>1245.5258214050873</v>
      </c>
      <c r="O177" s="85">
        <f t="shared" si="54"/>
        <v>3440.4514880014385</v>
      </c>
      <c r="P177" s="85">
        <f t="shared" si="65"/>
        <v>306151.93709034659</v>
      </c>
      <c r="Q177" s="85">
        <f t="shared" si="55"/>
        <v>750371.8217719628</v>
      </c>
      <c r="R177" s="85">
        <f t="shared" si="56"/>
        <v>993.6810451806939</v>
      </c>
      <c r="S177" s="85" cm="1">
        <f t="array" ref="S177">Y177*tax_rate</f>
        <v>0</v>
      </c>
      <c r="T177" s="85">
        <f t="shared" si="66"/>
        <v>217856.73578807912</v>
      </c>
      <c r="U177" s="85">
        <f t="shared" si="57"/>
        <v>968228.5575600419</v>
      </c>
      <c r="V177" s="85"/>
      <c r="W177" s="138">
        <f t="shared" si="67"/>
        <v>0.17794613081284649</v>
      </c>
      <c r="X177" s="138" t="str">
        <f t="shared" si="73"/>
        <v/>
      </c>
      <c r="Y177" s="142"/>
      <c r="Z177" s="139">
        <f t="shared" si="58"/>
        <v>3440.4514880014385</v>
      </c>
      <c r="AA177" s="114">
        <v>150</v>
      </c>
      <c r="AB177" s="48">
        <f t="shared" si="68"/>
        <v>-1917.8508788659597</v>
      </c>
      <c r="AC177" s="49"/>
      <c r="AD177" s="49">
        <f t="shared" si="72"/>
        <v>7854.0683823332656</v>
      </c>
      <c r="AE177" s="50"/>
      <c r="AF177" s="140"/>
      <c r="AG177" s="140"/>
      <c r="AH177" s="140">
        <f t="shared" si="59"/>
        <v>904837.13202830334</v>
      </c>
      <c r="AI177" s="9"/>
      <c r="AJ177" s="9"/>
      <c r="AK177" s="9"/>
    </row>
    <row r="178" spans="2:37" ht="12" hidden="1" customHeight="1" outlineLevel="1" x14ac:dyDescent="0.25">
      <c r="B178" s="8" t="str">
        <f t="shared" si="60"/>
        <v/>
      </c>
      <c r="C178" s="85">
        <f t="shared" si="61"/>
        <v>1061806.3776566209</v>
      </c>
      <c r="D178" s="85">
        <f t="shared" si="69"/>
        <v>4206.8151420522672</v>
      </c>
      <c r="E178" s="85">
        <f t="shared" si="70"/>
        <v>-514.51887782643553</v>
      </c>
      <c r="F178" s="85">
        <f t="shared" si="71"/>
        <v>-251.84477622439334</v>
      </c>
      <c r="G178" s="85">
        <f t="shared" si="62"/>
        <v>0</v>
      </c>
      <c r="H178" s="85">
        <v>0</v>
      </c>
      <c r="I178" s="85">
        <v>0</v>
      </c>
      <c r="J178" s="85">
        <v>0</v>
      </c>
      <c r="K178" s="85">
        <f t="shared" si="63"/>
        <v>-2622.054407072922</v>
      </c>
      <c r="L178" s="85">
        <f t="shared" si="64"/>
        <v>766.36365405082893</v>
      </c>
      <c r="M178" s="85">
        <f t="shared" si="52"/>
        <v>3388.4180611237507</v>
      </c>
      <c r="N178" s="85">
        <f t="shared" si="53"/>
        <v>1245.5258214050873</v>
      </c>
      <c r="O178" s="85">
        <f t="shared" si="54"/>
        <v>3440.4514880014385</v>
      </c>
      <c r="P178" s="85">
        <f t="shared" si="65"/>
        <v>305443.33229008835</v>
      </c>
      <c r="Q178" s="85">
        <f t="shared" si="55"/>
        <v>756363.04536653263</v>
      </c>
      <c r="R178" s="85">
        <f t="shared" si="56"/>
        <v>993.6810451806939</v>
      </c>
      <c r="S178" s="85" cm="1">
        <f t="array" ref="S178">Y178*tax_rate</f>
        <v>0</v>
      </c>
      <c r="T178" s="85">
        <f t="shared" si="66"/>
        <v>219758.15323237679</v>
      </c>
      <c r="U178" s="85">
        <f t="shared" si="57"/>
        <v>976121.19859890942</v>
      </c>
      <c r="V178" s="85"/>
      <c r="W178" s="138">
        <f t="shared" si="67"/>
        <v>0.17742865548967995</v>
      </c>
      <c r="X178" s="138" t="str">
        <f t="shared" si="73"/>
        <v/>
      </c>
      <c r="Y178" s="142"/>
      <c r="Z178" s="139">
        <f t="shared" si="58"/>
        <v>3440.4514880014385</v>
      </c>
      <c r="AA178" s="114">
        <v>151</v>
      </c>
      <c r="AB178" s="48">
        <f t="shared" si="68"/>
        <v>-1913.4496068146659</v>
      </c>
      <c r="AC178" s="49"/>
      <c r="AD178" s="49">
        <f t="shared" si="72"/>
        <v>7892.6410388675286</v>
      </c>
      <c r="AE178" s="50"/>
      <c r="AF178" s="140"/>
      <c r="AG178" s="140"/>
      <c r="AH178" s="140">
        <f t="shared" si="59"/>
        <v>912412.81593951222</v>
      </c>
      <c r="AI178" s="9"/>
      <c r="AJ178" s="9"/>
      <c r="AK178" s="9"/>
    </row>
    <row r="179" spans="2:37" ht="12" hidden="1" customHeight="1" outlineLevel="1" x14ac:dyDescent="0.25">
      <c r="B179" s="8" t="str">
        <f t="shared" si="60"/>
        <v/>
      </c>
      <c r="C179" s="85">
        <f t="shared" si="61"/>
        <v>1067115.409544904</v>
      </c>
      <c r="D179" s="85">
        <f t="shared" si="69"/>
        <v>4206.8151420522672</v>
      </c>
      <c r="E179" s="85">
        <f t="shared" si="70"/>
        <v>-514.51887782643553</v>
      </c>
      <c r="F179" s="85">
        <f t="shared" si="71"/>
        <v>-251.84477622439334</v>
      </c>
      <c r="G179" s="85">
        <f t="shared" si="62"/>
        <v>0</v>
      </c>
      <c r="H179" s="85">
        <v>0</v>
      </c>
      <c r="I179" s="85">
        <v>0</v>
      </c>
      <c r="J179" s="85">
        <v>0</v>
      </c>
      <c r="K179" s="85">
        <f t="shared" si="63"/>
        <v>-2622.054407072922</v>
      </c>
      <c r="L179" s="85">
        <f t="shared" si="64"/>
        <v>766.36365405082893</v>
      </c>
      <c r="M179" s="85">
        <f t="shared" si="52"/>
        <v>3388.4180611237507</v>
      </c>
      <c r="N179" s="85">
        <f t="shared" si="53"/>
        <v>1245.5258214050873</v>
      </c>
      <c r="O179" s="85">
        <f t="shared" si="54"/>
        <v>3440.4514880014385</v>
      </c>
      <c r="P179" s="85">
        <f t="shared" si="65"/>
        <v>304730.29870982846</v>
      </c>
      <c r="Q179" s="85">
        <f t="shared" si="55"/>
        <v>762385.11083507561</v>
      </c>
      <c r="R179" s="85">
        <f t="shared" si="56"/>
        <v>993.6810451806939</v>
      </c>
      <c r="S179" s="85" cm="1">
        <f t="array" ref="S179">Y179*tax_rate</f>
        <v>0</v>
      </c>
      <c r="T179" s="85">
        <f t="shared" si="66"/>
        <v>221667.49324935905</v>
      </c>
      <c r="U179" s="85">
        <f t="shared" si="57"/>
        <v>984052.60408443469</v>
      </c>
      <c r="V179" s="85"/>
      <c r="W179" s="138">
        <f t="shared" si="67"/>
        <v>0.17691579729444604</v>
      </c>
      <c r="X179" s="138" t="str">
        <f t="shared" si="73"/>
        <v/>
      </c>
      <c r="Y179" s="142"/>
      <c r="Z179" s="139">
        <f t="shared" si="58"/>
        <v>3440.4514880014385</v>
      </c>
      <c r="AA179" s="114">
        <v>152</v>
      </c>
      <c r="AB179" s="48">
        <f t="shared" si="68"/>
        <v>-1909.0208268130521</v>
      </c>
      <c r="AC179" s="49"/>
      <c r="AD179" s="49">
        <f t="shared" si="72"/>
        <v>7931.4054855252616</v>
      </c>
      <c r="AE179" s="50"/>
      <c r="AF179" s="140"/>
      <c r="AG179" s="140"/>
      <c r="AH179" s="140">
        <f t="shared" si="59"/>
        <v>920025.67951174045</v>
      </c>
      <c r="AI179" s="9"/>
      <c r="AJ179" s="9"/>
      <c r="AK179" s="9"/>
    </row>
    <row r="180" spans="2:37" ht="12" hidden="1" customHeight="1" outlineLevel="1" x14ac:dyDescent="0.25">
      <c r="B180" s="8" t="str">
        <f t="shared" si="60"/>
        <v/>
      </c>
      <c r="C180" s="85">
        <f t="shared" si="61"/>
        <v>1072450.9865926285</v>
      </c>
      <c r="D180" s="85">
        <f t="shared" si="69"/>
        <v>4206.8151420522672</v>
      </c>
      <c r="E180" s="85">
        <f t="shared" si="70"/>
        <v>-514.51887782643553</v>
      </c>
      <c r="F180" s="85">
        <f t="shared" si="71"/>
        <v>-251.84477622439334</v>
      </c>
      <c r="G180" s="85">
        <f t="shared" si="62"/>
        <v>0</v>
      </c>
      <c r="H180" s="85">
        <v>0</v>
      </c>
      <c r="I180" s="85">
        <v>0</v>
      </c>
      <c r="J180" s="85">
        <v>0</v>
      </c>
      <c r="K180" s="85">
        <f t="shared" si="63"/>
        <v>-2622.054407072922</v>
      </c>
      <c r="L180" s="85">
        <f t="shared" si="64"/>
        <v>766.36365405082893</v>
      </c>
      <c r="M180" s="85">
        <f t="shared" si="52"/>
        <v>3388.4180611237507</v>
      </c>
      <c r="N180" s="85">
        <f t="shared" si="53"/>
        <v>1245.5258214050873</v>
      </c>
      <c r="O180" s="85">
        <f t="shared" si="54"/>
        <v>3440.4514880014385</v>
      </c>
      <c r="P180" s="85">
        <f t="shared" si="65"/>
        <v>304012.80866969196</v>
      </c>
      <c r="Q180" s="85">
        <f t="shared" si="55"/>
        <v>768438.17792293662</v>
      </c>
      <c r="R180" s="85">
        <f t="shared" si="56"/>
        <v>993.6810451806939</v>
      </c>
      <c r="S180" s="85" cm="1">
        <f t="array" ref="S180">Y180*tax_rate</f>
        <v>0</v>
      </c>
      <c r="T180" s="85">
        <f t="shared" si="66"/>
        <v>223584.78884974538</v>
      </c>
      <c r="U180" s="85">
        <f t="shared" si="57"/>
        <v>992022.96677268203</v>
      </c>
      <c r="V180" s="85"/>
      <c r="W180" s="138">
        <f t="shared" si="67"/>
        <v>0.17640749148275378</v>
      </c>
      <c r="X180" s="138" t="str">
        <f t="shared" si="73"/>
        <v/>
      </c>
      <c r="Y180" s="142"/>
      <c r="Z180" s="139">
        <f t="shared" si="58"/>
        <v>3440.4514880014385</v>
      </c>
      <c r="AA180" s="114">
        <v>153</v>
      </c>
      <c r="AB180" s="48">
        <f t="shared" si="68"/>
        <v>-1904.5643669364279</v>
      </c>
      <c r="AC180" s="49"/>
      <c r="AD180" s="49">
        <f t="shared" si="72"/>
        <v>7970.3626882473473</v>
      </c>
      <c r="AE180" s="50"/>
      <c r="AF180" s="140"/>
      <c r="AG180" s="140"/>
      <c r="AH180" s="140">
        <f t="shared" si="59"/>
        <v>927675.90757712431</v>
      </c>
      <c r="AI180" s="9"/>
      <c r="AJ180" s="9"/>
      <c r="AK180" s="9"/>
    </row>
    <row r="181" spans="2:37" ht="12" hidden="1" customHeight="1" outlineLevel="1" x14ac:dyDescent="0.25">
      <c r="B181" s="8" t="str">
        <f t="shared" si="60"/>
        <v/>
      </c>
      <c r="C181" s="85">
        <f t="shared" si="61"/>
        <v>1077813.2415255916</v>
      </c>
      <c r="D181" s="85">
        <f t="shared" si="69"/>
        <v>4206.8151420522672</v>
      </c>
      <c r="E181" s="85">
        <f t="shared" si="70"/>
        <v>-514.51887782643553</v>
      </c>
      <c r="F181" s="85">
        <f t="shared" si="71"/>
        <v>-251.84477622439334</v>
      </c>
      <c r="G181" s="85">
        <f t="shared" si="62"/>
        <v>0</v>
      </c>
      <c r="H181" s="85">
        <v>0</v>
      </c>
      <c r="I181" s="85">
        <v>0</v>
      </c>
      <c r="J181" s="85">
        <v>0</v>
      </c>
      <c r="K181" s="85">
        <f t="shared" si="63"/>
        <v>-2622.054407072922</v>
      </c>
      <c r="L181" s="85">
        <f t="shared" si="64"/>
        <v>766.36365405082893</v>
      </c>
      <c r="M181" s="85">
        <f t="shared" si="52"/>
        <v>3388.4180611237507</v>
      </c>
      <c r="N181" s="85">
        <f t="shared" si="53"/>
        <v>1245.5258214050873</v>
      </c>
      <c r="O181" s="85">
        <f t="shared" si="54"/>
        <v>3440.4514880014385</v>
      </c>
      <c r="P181" s="85">
        <f t="shared" si="65"/>
        <v>303290.8343168046</v>
      </c>
      <c r="Q181" s="85">
        <f t="shared" si="55"/>
        <v>774522.40720878704</v>
      </c>
      <c r="R181" s="85">
        <f t="shared" si="56"/>
        <v>993.6810451806939</v>
      </c>
      <c r="S181" s="85" cm="1">
        <f t="array" ref="S181">Y181*tax_rate</f>
        <v>0</v>
      </c>
      <c r="T181" s="85">
        <f t="shared" si="66"/>
        <v>225510.07318179999</v>
      </c>
      <c r="U181" s="85">
        <f t="shared" si="57"/>
        <v>1000032.480390587</v>
      </c>
      <c r="V181" s="85"/>
      <c r="W181" s="138">
        <f t="shared" si="67"/>
        <v>0.17590367457138653</v>
      </c>
      <c r="X181" s="138" t="str">
        <f t="shared" si="73"/>
        <v/>
      </c>
      <c r="Y181" s="142"/>
      <c r="Z181" s="139">
        <f t="shared" si="58"/>
        <v>3440.4514880014385</v>
      </c>
      <c r="AA181" s="114">
        <v>154</v>
      </c>
      <c r="AB181" s="48">
        <f t="shared" si="68"/>
        <v>-1900.0800541855747</v>
      </c>
      <c r="AC181" s="49"/>
      <c r="AD181" s="49">
        <f t="shared" si="72"/>
        <v>8009.5136179049732</v>
      </c>
      <c r="AE181" s="50"/>
      <c r="AF181" s="140"/>
      <c r="AG181" s="140"/>
      <c r="AH181" s="140">
        <f t="shared" si="59"/>
        <v>935363.68589905149</v>
      </c>
      <c r="AI181" s="9"/>
      <c r="AJ181" s="9"/>
      <c r="AK181" s="9"/>
    </row>
    <row r="182" spans="2:37" ht="12" hidden="1" customHeight="1" outlineLevel="1" x14ac:dyDescent="0.25">
      <c r="B182" s="8" t="str">
        <f t="shared" si="60"/>
        <v/>
      </c>
      <c r="C182" s="85">
        <f t="shared" si="61"/>
        <v>1083202.3077332193</v>
      </c>
      <c r="D182" s="85">
        <f t="shared" si="69"/>
        <v>4206.8151420522672</v>
      </c>
      <c r="E182" s="85">
        <f t="shared" si="70"/>
        <v>-514.51887782643553</v>
      </c>
      <c r="F182" s="85">
        <f t="shared" si="71"/>
        <v>-251.84477622439334</v>
      </c>
      <c r="G182" s="85">
        <f t="shared" si="62"/>
        <v>0</v>
      </c>
      <c r="H182" s="85">
        <v>0</v>
      </c>
      <c r="I182" s="85">
        <v>0</v>
      </c>
      <c r="J182" s="85">
        <v>0</v>
      </c>
      <c r="K182" s="85">
        <f t="shared" si="63"/>
        <v>-2622.054407072922</v>
      </c>
      <c r="L182" s="85">
        <f t="shared" si="64"/>
        <v>766.36365405082893</v>
      </c>
      <c r="M182" s="85">
        <f t="shared" si="52"/>
        <v>3388.4180611237507</v>
      </c>
      <c r="N182" s="85">
        <f t="shared" si="53"/>
        <v>1245.5258214050873</v>
      </c>
      <c r="O182" s="85">
        <f t="shared" si="54"/>
        <v>3440.4514880014385</v>
      </c>
      <c r="P182" s="85">
        <f t="shared" si="65"/>
        <v>302564.34762421169</v>
      </c>
      <c r="Q182" s="85">
        <f t="shared" si="55"/>
        <v>780637.96010900766</v>
      </c>
      <c r="R182" s="85">
        <f t="shared" si="56"/>
        <v>993.6810451806939</v>
      </c>
      <c r="S182" s="85" cm="1">
        <f t="array" ref="S182">Y182*tax_rate</f>
        <v>0</v>
      </c>
      <c r="T182" s="85">
        <f t="shared" si="66"/>
        <v>227443.37953190482</v>
      </c>
      <c r="U182" s="85">
        <f t="shared" si="57"/>
        <v>1008081.3396409125</v>
      </c>
      <c r="V182" s="85"/>
      <c r="W182" s="138">
        <f t="shared" si="67"/>
        <v>0.17540428430664948</v>
      </c>
      <c r="X182" s="138" t="str">
        <f t="shared" si="73"/>
        <v/>
      </c>
      <c r="Y182" s="142"/>
      <c r="Z182" s="139">
        <f t="shared" si="58"/>
        <v>3440.4514880014385</v>
      </c>
      <c r="AA182" s="114">
        <v>155</v>
      </c>
      <c r="AB182" s="48">
        <f t="shared" si="68"/>
        <v>-1895.5677144800286</v>
      </c>
      <c r="AC182" s="49"/>
      <c r="AD182" s="49">
        <f t="shared" si="72"/>
        <v>8048.8592503254768</v>
      </c>
      <c r="AE182" s="50"/>
      <c r="AF182" s="140"/>
      <c r="AG182" s="140"/>
      <c r="AH182" s="140">
        <f t="shared" si="59"/>
        <v>943089.20117691928</v>
      </c>
      <c r="AI182" s="9"/>
      <c r="AJ182" s="9"/>
      <c r="AK182" s="9"/>
    </row>
    <row r="183" spans="2:37" ht="15" customHeight="1" collapsed="1" x14ac:dyDescent="0.25">
      <c r="B183" s="8">
        <f t="shared" si="60"/>
        <v>13</v>
      </c>
      <c r="C183" s="85">
        <f t="shared" si="61"/>
        <v>1088618.3192718853</v>
      </c>
      <c r="D183" s="85">
        <f t="shared" si="69"/>
        <v>4206.8151420522672</v>
      </c>
      <c r="E183" s="85">
        <f t="shared" si="70"/>
        <v>-514.51887782643553</v>
      </c>
      <c r="F183" s="85">
        <f t="shared" si="71"/>
        <v>-251.84477622439334</v>
      </c>
      <c r="G183" s="85">
        <f t="shared" si="62"/>
        <v>0</v>
      </c>
      <c r="H183" s="85">
        <v>0</v>
      </c>
      <c r="I183" s="85">
        <v>0</v>
      </c>
      <c r="J183" s="85">
        <v>0</v>
      </c>
      <c r="K183" s="85">
        <f t="shared" si="63"/>
        <v>-2622.054407072922</v>
      </c>
      <c r="L183" s="85">
        <f t="shared" si="64"/>
        <v>766.36365405082893</v>
      </c>
      <c r="M183" s="85">
        <f t="shared" si="52"/>
        <v>3388.4180611237507</v>
      </c>
      <c r="N183" s="85">
        <f t="shared" si="53"/>
        <v>1245.5258214050873</v>
      </c>
      <c r="O183" s="85">
        <f t="shared" si="54"/>
        <v>3440.4514880014385</v>
      </c>
      <c r="P183" s="85">
        <f t="shared" si="65"/>
        <v>301833.32038979011</v>
      </c>
      <c r="Q183" s="85">
        <f t="shared" si="55"/>
        <v>786784.99888209521</v>
      </c>
      <c r="R183" s="85">
        <f t="shared" si="56"/>
        <v>993.6810451806939</v>
      </c>
      <c r="S183" s="85" cm="1">
        <f t="array" ref="S183">Y183*tax_rate</f>
        <v>9615.2241454920113</v>
      </c>
      <c r="T183" s="85">
        <f t="shared" si="66"/>
        <v>238999.96547062712</v>
      </c>
      <c r="U183" s="85">
        <f t="shared" si="57"/>
        <v>1025784.9643527223</v>
      </c>
      <c r="V183" s="85">
        <f>U183-U171</f>
        <v>104108.87289306405</v>
      </c>
      <c r="W183" s="138">
        <f t="shared" si="67"/>
        <v>0.17576072072748603</v>
      </c>
      <c r="X183" s="138">
        <f t="shared" si="73"/>
        <v>0.1129560307115994</v>
      </c>
      <c r="Y183" s="141">
        <f>(((Sale_Price*0.8)+Improvement_Costs+Closing_Costs_Total)/27.5)+(-E183*12)+-AC183</f>
        <v>43705.564297690958</v>
      </c>
      <c r="Z183" s="139">
        <f t="shared" si="58"/>
        <v>3440.4514880014385</v>
      </c>
      <c r="AA183" s="114">
        <v>156</v>
      </c>
      <c r="AB183" s="48">
        <f t="shared" si="68"/>
        <v>-1891.0271726513229</v>
      </c>
      <c r="AC183" s="48">
        <f>SUM(AB172:AB183)</f>
        <v>-22985.883218319184</v>
      </c>
      <c r="AD183" s="49">
        <f t="shared" si="72"/>
        <v>17703.624711809796</v>
      </c>
      <c r="AE183" s="50">
        <f>D183*12</f>
        <v>50481.78170462721</v>
      </c>
      <c r="AF183" s="140"/>
      <c r="AG183" s="140"/>
      <c r="AH183" s="140">
        <f t="shared" si="59"/>
        <v>960467.86519640917</v>
      </c>
      <c r="AI183" s="9">
        <f>AI171*(1+Comparison_Rate_of_Return)</f>
        <v>431533.901799138</v>
      </c>
      <c r="AJ183" s="9"/>
      <c r="AK183" s="9"/>
    </row>
    <row r="184" spans="2:37" ht="12" hidden="1" customHeight="1" outlineLevel="1" x14ac:dyDescent="0.25">
      <c r="B184" s="8" t="str">
        <f t="shared" si="60"/>
        <v/>
      </c>
      <c r="C184" s="85">
        <f t="shared" si="61"/>
        <v>1094061.4108682447</v>
      </c>
      <c r="D184" s="85">
        <f t="shared" si="69"/>
        <v>4354.0536720240962</v>
      </c>
      <c r="E184" s="85">
        <f t="shared" si="70"/>
        <v>-532.52703855036077</v>
      </c>
      <c r="F184" s="85">
        <f t="shared" si="71"/>
        <v>-260.65934339224708</v>
      </c>
      <c r="G184" s="85">
        <f t="shared" si="62"/>
        <v>0</v>
      </c>
      <c r="H184" s="85">
        <v>0</v>
      </c>
      <c r="I184" s="85">
        <v>0</v>
      </c>
      <c r="J184" s="85">
        <v>0</v>
      </c>
      <c r="K184" s="85">
        <f t="shared" si="63"/>
        <v>-2622.054407072922</v>
      </c>
      <c r="L184" s="85">
        <f t="shared" si="64"/>
        <v>793.1863819426078</v>
      </c>
      <c r="M184" s="85">
        <f t="shared" si="52"/>
        <v>3415.24078901553</v>
      </c>
      <c r="N184" s="85">
        <f t="shared" si="53"/>
        <v>1380.8911294018171</v>
      </c>
      <c r="O184" s="85">
        <f t="shared" si="54"/>
        <v>3560.8672900814881</v>
      </c>
      <c r="P184" s="85">
        <f t="shared" si="65"/>
        <v>301097.72423515335</v>
      </c>
      <c r="Q184" s="85">
        <f t="shared" si="55"/>
        <v>792963.68663309142</v>
      </c>
      <c r="R184" s="85">
        <f t="shared" si="56"/>
        <v>1120.23178600957</v>
      </c>
      <c r="S184" s="85" cm="1">
        <f t="array" ref="S184">Y184*tax_rate</f>
        <v>0</v>
      </c>
      <c r="T184" s="85">
        <f t="shared" si="66"/>
        <v>241116.03044609763</v>
      </c>
      <c r="U184" s="85">
        <f t="shared" si="57"/>
        <v>1034079.717079189</v>
      </c>
      <c r="V184" s="85"/>
      <c r="W184" s="138">
        <f t="shared" si="67"/>
        <v>0.17527201595199515</v>
      </c>
      <c r="X184" s="138" t="str">
        <f t="shared" si="73"/>
        <v/>
      </c>
      <c r="Y184" s="142"/>
      <c r="Z184" s="139">
        <f t="shared" si="58"/>
        <v>3560.8672900814881</v>
      </c>
      <c r="AA184" s="114">
        <v>157</v>
      </c>
      <c r="AB184" s="48">
        <f t="shared" si="68"/>
        <v>-1886.4582524361881</v>
      </c>
      <c r="AC184" s="49"/>
      <c r="AD184" s="49">
        <f t="shared" si="72"/>
        <v>8294.7527264667442</v>
      </c>
      <c r="AE184" s="50"/>
      <c r="AF184" s="140"/>
      <c r="AG184" s="140"/>
      <c r="AH184" s="140">
        <f t="shared" si="59"/>
        <v>968436.03242709429</v>
      </c>
      <c r="AI184" s="9"/>
      <c r="AJ184" s="9"/>
      <c r="AK184" s="9"/>
    </row>
    <row r="185" spans="2:37" ht="12" hidden="1" customHeight="1" outlineLevel="1" x14ac:dyDescent="0.25">
      <c r="B185" s="8" t="str">
        <f t="shared" si="60"/>
        <v/>
      </c>
      <c r="C185" s="85">
        <f t="shared" si="61"/>
        <v>1099531.7179225858</v>
      </c>
      <c r="D185" s="85">
        <f t="shared" si="69"/>
        <v>4354.0536720240962</v>
      </c>
      <c r="E185" s="85">
        <f t="shared" si="70"/>
        <v>-532.52703855036077</v>
      </c>
      <c r="F185" s="85">
        <f t="shared" si="71"/>
        <v>-260.65934339224708</v>
      </c>
      <c r="G185" s="85">
        <f t="shared" si="62"/>
        <v>0</v>
      </c>
      <c r="H185" s="85">
        <v>0</v>
      </c>
      <c r="I185" s="85">
        <v>0</v>
      </c>
      <c r="J185" s="85">
        <v>0</v>
      </c>
      <c r="K185" s="85">
        <f t="shared" si="63"/>
        <v>-2622.054407072922</v>
      </c>
      <c r="L185" s="85">
        <f t="shared" si="64"/>
        <v>793.1863819426078</v>
      </c>
      <c r="M185" s="85">
        <f t="shared" si="52"/>
        <v>3415.24078901553</v>
      </c>
      <c r="N185" s="85">
        <f t="shared" si="53"/>
        <v>1380.8911294018171</v>
      </c>
      <c r="O185" s="85">
        <f t="shared" si="54"/>
        <v>3560.8672900814881</v>
      </c>
      <c r="P185" s="85">
        <f t="shared" si="65"/>
        <v>300357.53060455015</v>
      </c>
      <c r="Q185" s="85">
        <f t="shared" si="55"/>
        <v>799174.18731803563</v>
      </c>
      <c r="R185" s="85">
        <f t="shared" si="56"/>
        <v>1120.23178600957</v>
      </c>
      <c r="S185" s="85" cm="1">
        <f t="array" ref="S185">Y185*tax_rate</f>
        <v>0</v>
      </c>
      <c r="T185" s="85">
        <f t="shared" si="66"/>
        <v>243240.91235896593</v>
      </c>
      <c r="U185" s="85">
        <f t="shared" si="57"/>
        <v>1042415.0996770016</v>
      </c>
      <c r="V185" s="85"/>
      <c r="W185" s="138">
        <f t="shared" si="67"/>
        <v>0.1747874332216415</v>
      </c>
      <c r="X185" s="138" t="str">
        <f t="shared" si="73"/>
        <v/>
      </c>
      <c r="Y185" s="142"/>
      <c r="Z185" s="139">
        <f t="shared" si="58"/>
        <v>3560.8672900814881</v>
      </c>
      <c r="AA185" s="114">
        <v>158</v>
      </c>
      <c r="AB185" s="48">
        <f t="shared" si="68"/>
        <v>-1881.8607764697083</v>
      </c>
      <c r="AC185" s="49"/>
      <c r="AD185" s="49">
        <f t="shared" si="72"/>
        <v>8335.3825978125678</v>
      </c>
      <c r="AE185" s="50"/>
      <c r="AF185" s="140"/>
      <c r="AG185" s="140"/>
      <c r="AH185" s="140">
        <f t="shared" si="59"/>
        <v>976443.19660164649</v>
      </c>
      <c r="AI185" s="9"/>
      <c r="AJ185" s="9"/>
      <c r="AK185" s="9"/>
    </row>
    <row r="186" spans="2:37" ht="12" hidden="1" customHeight="1" outlineLevel="1" x14ac:dyDescent="0.25">
      <c r="B186" s="8" t="str">
        <f t="shared" si="60"/>
        <v/>
      </c>
      <c r="C186" s="85">
        <f t="shared" si="61"/>
        <v>1105029.3765121987</v>
      </c>
      <c r="D186" s="85">
        <f t="shared" si="69"/>
        <v>4354.0536720240962</v>
      </c>
      <c r="E186" s="85">
        <f t="shared" si="70"/>
        <v>-532.52703855036077</v>
      </c>
      <c r="F186" s="85">
        <f t="shared" si="71"/>
        <v>-260.65934339224708</v>
      </c>
      <c r="G186" s="85">
        <f t="shared" si="62"/>
        <v>0</v>
      </c>
      <c r="H186" s="85">
        <v>0</v>
      </c>
      <c r="I186" s="85">
        <v>0</v>
      </c>
      <c r="J186" s="85">
        <v>0</v>
      </c>
      <c r="K186" s="85">
        <f t="shared" si="63"/>
        <v>-2622.054407072922</v>
      </c>
      <c r="L186" s="85">
        <f t="shared" si="64"/>
        <v>793.1863819426078</v>
      </c>
      <c r="M186" s="85">
        <f t="shared" si="52"/>
        <v>3415.24078901553</v>
      </c>
      <c r="N186" s="85">
        <f t="shared" si="53"/>
        <v>1380.8911294018171</v>
      </c>
      <c r="O186" s="85">
        <f t="shared" si="54"/>
        <v>3560.8672900814881</v>
      </c>
      <c r="P186" s="85">
        <f t="shared" si="65"/>
        <v>299612.71076375566</v>
      </c>
      <c r="Q186" s="85">
        <f t="shared" si="55"/>
        <v>805416.66574844299</v>
      </c>
      <c r="R186" s="85">
        <f t="shared" si="56"/>
        <v>1120.23178600957</v>
      </c>
      <c r="S186" s="85" cm="1">
        <f t="array" ref="S186">Y186*tax_rate</f>
        <v>0</v>
      </c>
      <c r="T186" s="85">
        <f t="shared" si="66"/>
        <v>245374.64794647117</v>
      </c>
      <c r="U186" s="85">
        <f t="shared" si="57"/>
        <v>1050791.3136949141</v>
      </c>
      <c r="V186" s="85"/>
      <c r="W186" s="138">
        <f t="shared" si="67"/>
        <v>0.1743069188806525</v>
      </c>
      <c r="X186" s="138" t="str">
        <f t="shared" si="73"/>
        <v/>
      </c>
      <c r="Y186" s="142"/>
      <c r="Z186" s="139">
        <f t="shared" si="58"/>
        <v>3560.8672900814881</v>
      </c>
      <c r="AA186" s="114">
        <v>159</v>
      </c>
      <c r="AB186" s="48">
        <f t="shared" si="68"/>
        <v>-1877.2345662784383</v>
      </c>
      <c r="AC186" s="49"/>
      <c r="AD186" s="49">
        <f t="shared" si="72"/>
        <v>8376.2140179125126</v>
      </c>
      <c r="AE186" s="50"/>
      <c r="AF186" s="140"/>
      <c r="AG186" s="140"/>
      <c r="AH186" s="140">
        <f t="shared" si="59"/>
        <v>984489.55110418214</v>
      </c>
      <c r="AI186" s="9"/>
      <c r="AJ186" s="9"/>
      <c r="AK186" s="9"/>
    </row>
    <row r="187" spans="2:37" ht="12" hidden="1" customHeight="1" outlineLevel="1" x14ac:dyDescent="0.25">
      <c r="B187" s="8" t="str">
        <f t="shared" si="60"/>
        <v/>
      </c>
      <c r="C187" s="85">
        <f t="shared" si="61"/>
        <v>1110554.5233947595</v>
      </c>
      <c r="D187" s="85">
        <f t="shared" si="69"/>
        <v>4354.0536720240962</v>
      </c>
      <c r="E187" s="85">
        <f t="shared" si="70"/>
        <v>-532.52703855036077</v>
      </c>
      <c r="F187" s="85">
        <f t="shared" si="71"/>
        <v>-260.65934339224708</v>
      </c>
      <c r="G187" s="85">
        <f t="shared" si="62"/>
        <v>0</v>
      </c>
      <c r="H187" s="85">
        <v>0</v>
      </c>
      <c r="I187" s="85">
        <v>0</v>
      </c>
      <c r="J187" s="85">
        <v>0</v>
      </c>
      <c r="K187" s="85">
        <f t="shared" si="63"/>
        <v>-2622.054407072922</v>
      </c>
      <c r="L187" s="85">
        <f t="shared" si="64"/>
        <v>793.1863819426078</v>
      </c>
      <c r="M187" s="85">
        <f t="shared" si="52"/>
        <v>3415.24078901553</v>
      </c>
      <c r="N187" s="85">
        <f t="shared" si="53"/>
        <v>1380.8911294018171</v>
      </c>
      <c r="O187" s="85">
        <f t="shared" si="54"/>
        <v>3560.8672900814881</v>
      </c>
      <c r="P187" s="85">
        <f t="shared" si="65"/>
        <v>298863.23579895619</v>
      </c>
      <c r="Q187" s="85">
        <f t="shared" si="55"/>
        <v>811691.28759580338</v>
      </c>
      <c r="R187" s="85">
        <f t="shared" si="56"/>
        <v>1120.23178600957</v>
      </c>
      <c r="S187" s="85" cm="1">
        <f t="array" ref="S187">Y187*tax_rate</f>
        <v>0</v>
      </c>
      <c r="T187" s="85">
        <f t="shared" si="66"/>
        <v>247517.27409892436</v>
      </c>
      <c r="U187" s="85">
        <f t="shared" si="57"/>
        <v>1059208.5616947277</v>
      </c>
      <c r="V187" s="85"/>
      <c r="W187" s="138">
        <f t="shared" si="67"/>
        <v>0.17383042022442327</v>
      </c>
      <c r="X187" s="138" t="str">
        <f t="shared" si="73"/>
        <v/>
      </c>
      <c r="Y187" s="142"/>
      <c r="Z187" s="139">
        <f t="shared" si="58"/>
        <v>3560.8672900814881</v>
      </c>
      <c r="AA187" s="114">
        <v>160</v>
      </c>
      <c r="AB187" s="48">
        <f t="shared" si="68"/>
        <v>-1872.5794422734728</v>
      </c>
      <c r="AC187" s="49"/>
      <c r="AD187" s="49">
        <f t="shared" si="72"/>
        <v>8417.2479998136405</v>
      </c>
      <c r="AE187" s="50"/>
      <c r="AF187" s="140"/>
      <c r="AG187" s="140"/>
      <c r="AH187" s="140">
        <f t="shared" si="59"/>
        <v>992575.29029104218</v>
      </c>
      <c r="AI187" s="9"/>
      <c r="AJ187" s="9"/>
      <c r="AK187" s="9"/>
    </row>
    <row r="188" spans="2:37" ht="12" hidden="1" customHeight="1" outlineLevel="1" x14ac:dyDescent="0.25">
      <c r="B188" s="8" t="str">
        <f t="shared" si="60"/>
        <v/>
      </c>
      <c r="C188" s="85">
        <f t="shared" si="61"/>
        <v>1116107.2960117331</v>
      </c>
      <c r="D188" s="85">
        <f t="shared" si="69"/>
        <v>4354.0536720240962</v>
      </c>
      <c r="E188" s="85">
        <f t="shared" si="70"/>
        <v>-532.52703855036077</v>
      </c>
      <c r="F188" s="85">
        <f t="shared" si="71"/>
        <v>-260.65934339224708</v>
      </c>
      <c r="G188" s="85">
        <f t="shared" si="62"/>
        <v>0</v>
      </c>
      <c r="H188" s="85">
        <v>0</v>
      </c>
      <c r="I188" s="85">
        <v>0</v>
      </c>
      <c r="J188" s="85">
        <v>0</v>
      </c>
      <c r="K188" s="85">
        <f t="shared" si="63"/>
        <v>-2622.054407072922</v>
      </c>
      <c r="L188" s="85">
        <f t="shared" si="64"/>
        <v>793.1863819426078</v>
      </c>
      <c r="M188" s="85">
        <f t="shared" si="52"/>
        <v>3415.24078901553</v>
      </c>
      <c r="N188" s="85">
        <f t="shared" si="53"/>
        <v>1380.8911294018171</v>
      </c>
      <c r="O188" s="85">
        <f t="shared" si="54"/>
        <v>3560.8672900814881</v>
      </c>
      <c r="P188" s="85">
        <f t="shared" si="65"/>
        <v>298109.07661562675</v>
      </c>
      <c r="Q188" s="85">
        <f t="shared" si="55"/>
        <v>817998.21939610643</v>
      </c>
      <c r="R188" s="85">
        <f t="shared" si="56"/>
        <v>1120.23178600957</v>
      </c>
      <c r="S188" s="85" cm="1">
        <f t="array" ref="S188">Y188*tax_rate</f>
        <v>0</v>
      </c>
      <c r="T188" s="85">
        <f t="shared" si="66"/>
        <v>249668.82786034609</v>
      </c>
      <c r="U188" s="85">
        <f t="shared" si="57"/>
        <v>1067667.0472564525</v>
      </c>
      <c r="V188" s="85"/>
      <c r="W188" s="138">
        <f t="shared" si="67"/>
        <v>0.17335788547829514</v>
      </c>
      <c r="X188" s="138" t="str">
        <f t="shared" si="73"/>
        <v/>
      </c>
      <c r="Y188" s="142"/>
      <c r="Z188" s="139">
        <f t="shared" si="58"/>
        <v>3560.8672900814881</v>
      </c>
      <c r="AA188" s="114">
        <v>161</v>
      </c>
      <c r="AB188" s="48">
        <f t="shared" si="68"/>
        <v>-1867.895223743476</v>
      </c>
      <c r="AC188" s="49"/>
      <c r="AD188" s="49">
        <f t="shared" si="72"/>
        <v>8458.4855617247522</v>
      </c>
      <c r="AE188" s="50"/>
      <c r="AF188" s="140"/>
      <c r="AG188" s="140"/>
      <c r="AH188" s="140">
        <f t="shared" si="59"/>
        <v>1000700.6094957485</v>
      </c>
      <c r="AI188" s="9"/>
      <c r="AJ188" s="9"/>
      <c r="AK188" s="9"/>
    </row>
    <row r="189" spans="2:37" ht="12" hidden="1" customHeight="1" outlineLevel="1" x14ac:dyDescent="0.25">
      <c r="B189" s="8" t="str">
        <f t="shared" si="60"/>
        <v/>
      </c>
      <c r="C189" s="85">
        <f t="shared" si="61"/>
        <v>1121687.8324917916</v>
      </c>
      <c r="D189" s="85">
        <f t="shared" si="69"/>
        <v>4354.0536720240962</v>
      </c>
      <c r="E189" s="85">
        <f t="shared" si="70"/>
        <v>-532.52703855036077</v>
      </c>
      <c r="F189" s="85">
        <f t="shared" si="71"/>
        <v>-260.65934339224708</v>
      </c>
      <c r="G189" s="85">
        <f t="shared" si="62"/>
        <v>0</v>
      </c>
      <c r="H189" s="85">
        <v>0</v>
      </c>
      <c r="I189" s="85">
        <v>0</v>
      </c>
      <c r="J189" s="85">
        <v>0</v>
      </c>
      <c r="K189" s="85">
        <f t="shared" si="63"/>
        <v>-2622.054407072922</v>
      </c>
      <c r="L189" s="85">
        <f t="shared" si="64"/>
        <v>793.1863819426078</v>
      </c>
      <c r="M189" s="85">
        <f t="shared" si="52"/>
        <v>3415.24078901553</v>
      </c>
      <c r="N189" s="85">
        <f t="shared" si="53"/>
        <v>1380.8911294018171</v>
      </c>
      <c r="O189" s="85">
        <f t="shared" si="54"/>
        <v>3560.8672900814881</v>
      </c>
      <c r="P189" s="85">
        <f t="shared" si="65"/>
        <v>297350.20393740147</v>
      </c>
      <c r="Q189" s="85">
        <f t="shared" si="55"/>
        <v>824337.62855439004</v>
      </c>
      <c r="R189" s="85">
        <f t="shared" si="56"/>
        <v>1120.23178600957</v>
      </c>
      <c r="S189" s="85" cm="1">
        <f t="array" ref="S189">Y189*tax_rate</f>
        <v>0</v>
      </c>
      <c r="T189" s="85">
        <f t="shared" si="66"/>
        <v>251829.3464291071</v>
      </c>
      <c r="U189" s="85">
        <f t="shared" si="57"/>
        <v>1076166.9749834971</v>
      </c>
      <c r="V189" s="85"/>
      <c r="W189" s="138">
        <f t="shared" si="67"/>
        <v>0.17288926377689706</v>
      </c>
      <c r="X189" s="138" t="str">
        <f t="shared" si="73"/>
        <v/>
      </c>
      <c r="Y189" s="142"/>
      <c r="Z189" s="139">
        <f t="shared" si="58"/>
        <v>3560.8672900814881</v>
      </c>
      <c r="AA189" s="114">
        <v>162</v>
      </c>
      <c r="AB189" s="48">
        <f t="shared" si="68"/>
        <v>-1863.181728847667</v>
      </c>
      <c r="AC189" s="49"/>
      <c r="AD189" s="49">
        <f t="shared" si="72"/>
        <v>8499.92772704456</v>
      </c>
      <c r="AE189" s="50"/>
      <c r="AF189" s="140"/>
      <c r="AG189" s="140"/>
      <c r="AH189" s="140">
        <f t="shared" si="59"/>
        <v>1008865.7050339896</v>
      </c>
      <c r="AI189" s="9"/>
      <c r="AJ189" s="9"/>
      <c r="AK189" s="9"/>
    </row>
    <row r="190" spans="2:37" ht="12" hidden="1" customHeight="1" outlineLevel="1" x14ac:dyDescent="0.25">
      <c r="B190" s="8" t="str">
        <f t="shared" si="60"/>
        <v/>
      </c>
      <c r="C190" s="85">
        <f t="shared" si="61"/>
        <v>1127296.2716542503</v>
      </c>
      <c r="D190" s="85">
        <f t="shared" si="69"/>
        <v>4354.0536720240962</v>
      </c>
      <c r="E190" s="85">
        <f t="shared" si="70"/>
        <v>-532.52703855036077</v>
      </c>
      <c r="F190" s="85">
        <f t="shared" si="71"/>
        <v>-260.65934339224708</v>
      </c>
      <c r="G190" s="85">
        <f t="shared" si="62"/>
        <v>0</v>
      </c>
      <c r="H190" s="85">
        <v>0</v>
      </c>
      <c r="I190" s="85">
        <v>0</v>
      </c>
      <c r="J190" s="85">
        <v>0</v>
      </c>
      <c r="K190" s="85">
        <f t="shared" si="63"/>
        <v>-2622.054407072922</v>
      </c>
      <c r="L190" s="85">
        <f t="shared" si="64"/>
        <v>793.1863819426078</v>
      </c>
      <c r="M190" s="85">
        <f t="shared" si="52"/>
        <v>3415.24078901553</v>
      </c>
      <c r="N190" s="85">
        <f t="shared" si="53"/>
        <v>1380.8911294018171</v>
      </c>
      <c r="O190" s="85">
        <f t="shared" si="54"/>
        <v>3560.8672900814881</v>
      </c>
      <c r="P190" s="85">
        <f t="shared" si="65"/>
        <v>296586.58830493729</v>
      </c>
      <c r="Q190" s="85">
        <f t="shared" si="55"/>
        <v>830709.68334931298</v>
      </c>
      <c r="R190" s="85">
        <f t="shared" si="56"/>
        <v>1120.23178600957</v>
      </c>
      <c r="S190" s="85" cm="1">
        <f t="array" ref="S190">Y190*tax_rate</f>
        <v>0</v>
      </c>
      <c r="T190" s="85">
        <f t="shared" si="66"/>
        <v>253998.86715857129</v>
      </c>
      <c r="U190" s="85">
        <f t="shared" si="57"/>
        <v>1084708.5505078842</v>
      </c>
      <c r="V190" s="85"/>
      <c r="W190" s="138">
        <f t="shared" si="67"/>
        <v>0.17242450514404026</v>
      </c>
      <c r="X190" s="138" t="str">
        <f t="shared" si="73"/>
        <v/>
      </c>
      <c r="Y190" s="142"/>
      <c r="Z190" s="139">
        <f t="shared" si="58"/>
        <v>3560.8672900814881</v>
      </c>
      <c r="AA190" s="114">
        <v>163</v>
      </c>
      <c r="AB190" s="48">
        <f t="shared" si="68"/>
        <v>-1858.4387746087591</v>
      </c>
      <c r="AC190" s="49"/>
      <c r="AD190" s="49">
        <f t="shared" si="72"/>
        <v>8541.5755243871827</v>
      </c>
      <c r="AE190" s="50"/>
      <c r="AF190" s="140"/>
      <c r="AG190" s="140"/>
      <c r="AH190" s="140">
        <f t="shared" si="59"/>
        <v>1017070.7742086293</v>
      </c>
      <c r="AI190" s="9"/>
      <c r="AJ190" s="9"/>
      <c r="AK190" s="9"/>
    </row>
    <row r="191" spans="2:37" ht="12" hidden="1" customHeight="1" outlineLevel="1" x14ac:dyDescent="0.25">
      <c r="B191" s="8" t="str">
        <f t="shared" si="60"/>
        <v/>
      </c>
      <c r="C191" s="85">
        <f t="shared" si="61"/>
        <v>1132932.7530125214</v>
      </c>
      <c r="D191" s="85">
        <f t="shared" si="69"/>
        <v>4354.0536720240962</v>
      </c>
      <c r="E191" s="85">
        <f t="shared" si="70"/>
        <v>-532.52703855036077</v>
      </c>
      <c r="F191" s="85">
        <f t="shared" si="71"/>
        <v>-260.65934339224708</v>
      </c>
      <c r="G191" s="85">
        <f t="shared" si="62"/>
        <v>0</v>
      </c>
      <c r="H191" s="85">
        <v>0</v>
      </c>
      <c r="I191" s="85">
        <v>0</v>
      </c>
      <c r="J191" s="85">
        <v>0</v>
      </c>
      <c r="K191" s="85">
        <f t="shared" si="63"/>
        <v>-2622.054407072922</v>
      </c>
      <c r="L191" s="85">
        <f t="shared" si="64"/>
        <v>793.1863819426078</v>
      </c>
      <c r="M191" s="85">
        <f t="shared" si="52"/>
        <v>3415.24078901553</v>
      </c>
      <c r="N191" s="85">
        <f t="shared" si="53"/>
        <v>1380.8911294018171</v>
      </c>
      <c r="O191" s="85">
        <f t="shared" si="54"/>
        <v>3560.8672900814881</v>
      </c>
      <c r="P191" s="85">
        <f t="shared" si="65"/>
        <v>295818.2000747702</v>
      </c>
      <c r="Q191" s="85">
        <f t="shared" si="55"/>
        <v>837114.55293775117</v>
      </c>
      <c r="R191" s="85">
        <f t="shared" si="56"/>
        <v>1120.23178600957</v>
      </c>
      <c r="S191" s="85" cm="1">
        <f t="array" ref="S191">Y191*tax_rate</f>
        <v>0</v>
      </c>
      <c r="T191" s="85">
        <f t="shared" si="66"/>
        <v>256177.42755774155</v>
      </c>
      <c r="U191" s="85">
        <f t="shared" si="57"/>
        <v>1093291.9804954927</v>
      </c>
      <c r="V191" s="85"/>
      <c r="W191" s="138">
        <f t="shared" si="67"/>
        <v>0.17196356047314112</v>
      </c>
      <c r="X191" s="138" t="str">
        <f t="shared" si="73"/>
        <v/>
      </c>
      <c r="Y191" s="142"/>
      <c r="Z191" s="139">
        <f t="shared" si="58"/>
        <v>3560.8672900814881</v>
      </c>
      <c r="AA191" s="114">
        <v>164</v>
      </c>
      <c r="AB191" s="48">
        <f t="shared" si="68"/>
        <v>-1853.666176905858</v>
      </c>
      <c r="AC191" s="49"/>
      <c r="AD191" s="49">
        <f t="shared" si="72"/>
        <v>8583.4299876084551</v>
      </c>
      <c r="AE191" s="50"/>
      <c r="AF191" s="140"/>
      <c r="AG191" s="140"/>
      <c r="AH191" s="140">
        <f t="shared" si="59"/>
        <v>1025316.0153147414</v>
      </c>
      <c r="AI191" s="9"/>
      <c r="AJ191" s="9"/>
      <c r="AK191" s="9"/>
    </row>
    <row r="192" spans="2:37" ht="12" hidden="1" customHeight="1" outlineLevel="1" x14ac:dyDescent="0.25">
      <c r="B192" s="8" t="str">
        <f t="shared" si="60"/>
        <v/>
      </c>
      <c r="C192" s="85">
        <f t="shared" si="61"/>
        <v>1138597.416777584</v>
      </c>
      <c r="D192" s="85">
        <f t="shared" si="69"/>
        <v>4354.0536720240962</v>
      </c>
      <c r="E192" s="85">
        <f t="shared" si="70"/>
        <v>-532.52703855036077</v>
      </c>
      <c r="F192" s="85">
        <f t="shared" si="71"/>
        <v>-260.65934339224708</v>
      </c>
      <c r="G192" s="85">
        <f t="shared" si="62"/>
        <v>0</v>
      </c>
      <c r="H192" s="85">
        <v>0</v>
      </c>
      <c r="I192" s="85">
        <v>0</v>
      </c>
      <c r="J192" s="85">
        <v>0</v>
      </c>
      <c r="K192" s="85">
        <f t="shared" si="63"/>
        <v>-2622.054407072922</v>
      </c>
      <c r="L192" s="85">
        <f t="shared" si="64"/>
        <v>793.1863819426078</v>
      </c>
      <c r="M192" s="85">
        <f t="shared" si="52"/>
        <v>3415.24078901553</v>
      </c>
      <c r="N192" s="85">
        <f t="shared" si="53"/>
        <v>1380.8911294018171</v>
      </c>
      <c r="O192" s="85">
        <f t="shared" si="54"/>
        <v>3560.8672900814881</v>
      </c>
      <c r="P192" s="85">
        <f t="shared" si="65"/>
        <v>295045.00941816461</v>
      </c>
      <c r="Q192" s="85">
        <f t="shared" si="55"/>
        <v>843552.40735941939</v>
      </c>
      <c r="R192" s="85">
        <f t="shared" si="56"/>
        <v>1120.23178600957</v>
      </c>
      <c r="S192" s="85" cm="1">
        <f t="array" ref="S192">Y192*tax_rate</f>
        <v>0</v>
      </c>
      <c r="T192" s="85">
        <f t="shared" si="66"/>
        <v>258365.06529190837</v>
      </c>
      <c r="U192" s="85">
        <f t="shared" si="57"/>
        <v>1101917.4726513277</v>
      </c>
      <c r="V192" s="85"/>
      <c r="W192" s="138">
        <f t="shared" si="67"/>
        <v>0.17150638150816266</v>
      </c>
      <c r="X192" s="138" t="str">
        <f t="shared" si="73"/>
        <v/>
      </c>
      <c r="Y192" s="142"/>
      <c r="Z192" s="139">
        <f t="shared" si="58"/>
        <v>3560.8672900814881</v>
      </c>
      <c r="AA192" s="114">
        <v>165</v>
      </c>
      <c r="AB192" s="48">
        <f t="shared" si="68"/>
        <v>-1848.8637504673136</v>
      </c>
      <c r="AC192" s="49"/>
      <c r="AD192" s="49">
        <f t="shared" si="72"/>
        <v>8625.4921558350325</v>
      </c>
      <c r="AE192" s="50"/>
      <c r="AF192" s="140"/>
      <c r="AG192" s="140"/>
      <c r="AH192" s="140">
        <f t="shared" si="59"/>
        <v>1033601.6276446726</v>
      </c>
      <c r="AI192" s="9"/>
      <c r="AJ192" s="9"/>
      <c r="AK192" s="9"/>
    </row>
    <row r="193" spans="2:37" ht="12" hidden="1" customHeight="1" outlineLevel="1" x14ac:dyDescent="0.25">
      <c r="B193" s="8" t="str">
        <f t="shared" si="60"/>
        <v/>
      </c>
      <c r="C193" s="85">
        <f t="shared" si="61"/>
        <v>1144290.4038614719</v>
      </c>
      <c r="D193" s="85">
        <f t="shared" si="69"/>
        <v>4354.0536720240962</v>
      </c>
      <c r="E193" s="85">
        <f t="shared" si="70"/>
        <v>-532.52703855036077</v>
      </c>
      <c r="F193" s="85">
        <f t="shared" si="71"/>
        <v>-260.65934339224708</v>
      </c>
      <c r="G193" s="85">
        <f t="shared" si="62"/>
        <v>0</v>
      </c>
      <c r="H193" s="85">
        <v>0</v>
      </c>
      <c r="I193" s="85">
        <v>0</v>
      </c>
      <c r="J193" s="85">
        <v>0</v>
      </c>
      <c r="K193" s="85">
        <f t="shared" si="63"/>
        <v>-2622.054407072922</v>
      </c>
      <c r="L193" s="85">
        <f t="shared" si="64"/>
        <v>793.1863819426078</v>
      </c>
      <c r="M193" s="85">
        <f t="shared" si="52"/>
        <v>3415.24078901553</v>
      </c>
      <c r="N193" s="85">
        <f t="shared" si="53"/>
        <v>1380.8911294018171</v>
      </c>
      <c r="O193" s="85">
        <f t="shared" si="54"/>
        <v>3560.8672900814881</v>
      </c>
      <c r="P193" s="85">
        <f t="shared" si="65"/>
        <v>294266.98631995521</v>
      </c>
      <c r="Q193" s="85">
        <f t="shared" si="55"/>
        <v>850023.41754151671</v>
      </c>
      <c r="R193" s="85">
        <f t="shared" si="56"/>
        <v>1120.23178600957</v>
      </c>
      <c r="S193" s="85" cm="1">
        <f t="array" ref="S193">Y193*tax_rate</f>
        <v>0</v>
      </c>
      <c r="T193" s="85">
        <f t="shared" si="66"/>
        <v>260561.81818330087</v>
      </c>
      <c r="U193" s="85">
        <f t="shared" si="57"/>
        <v>1110585.2357248175</v>
      </c>
      <c r="V193" s="85"/>
      <c r="W193" s="138">
        <f t="shared" si="67"/>
        <v>0.17105292082505508</v>
      </c>
      <c r="X193" s="138" t="str">
        <f t="shared" si="73"/>
        <v/>
      </c>
      <c r="Y193" s="142"/>
      <c r="Z193" s="139">
        <f t="shared" si="58"/>
        <v>3560.8672900814881</v>
      </c>
      <c r="AA193" s="114">
        <v>166</v>
      </c>
      <c r="AB193" s="48">
        <f t="shared" si="68"/>
        <v>-1844.0313088635287</v>
      </c>
      <c r="AC193" s="49"/>
      <c r="AD193" s="49">
        <f t="shared" si="72"/>
        <v>8667.7630734897684</v>
      </c>
      <c r="AE193" s="50"/>
      <c r="AF193" s="140"/>
      <c r="AG193" s="140"/>
      <c r="AH193" s="140">
        <f t="shared" si="59"/>
        <v>1041927.8114931292</v>
      </c>
      <c r="AI193" s="9"/>
      <c r="AJ193" s="9"/>
      <c r="AK193" s="9"/>
    </row>
    <row r="194" spans="2:37" ht="12" hidden="1" customHeight="1" outlineLevel="1" x14ac:dyDescent="0.25">
      <c r="B194" s="8" t="str">
        <f t="shared" si="60"/>
        <v/>
      </c>
      <c r="C194" s="85">
        <f t="shared" si="61"/>
        <v>1150011.8558807792</v>
      </c>
      <c r="D194" s="85">
        <f t="shared" si="69"/>
        <v>4354.0536720240962</v>
      </c>
      <c r="E194" s="85">
        <f t="shared" si="70"/>
        <v>-532.52703855036077</v>
      </c>
      <c r="F194" s="85">
        <f t="shared" si="71"/>
        <v>-260.65934339224708</v>
      </c>
      <c r="G194" s="85">
        <f t="shared" si="62"/>
        <v>0</v>
      </c>
      <c r="H194" s="85">
        <v>0</v>
      </c>
      <c r="I194" s="85">
        <v>0</v>
      </c>
      <c r="J194" s="85">
        <v>0</v>
      </c>
      <c r="K194" s="85">
        <f t="shared" si="63"/>
        <v>-2622.054407072922</v>
      </c>
      <c r="L194" s="85">
        <f t="shared" si="64"/>
        <v>793.1863819426078</v>
      </c>
      <c r="M194" s="85">
        <f t="shared" si="52"/>
        <v>3415.24078901553</v>
      </c>
      <c r="N194" s="85">
        <f t="shared" si="53"/>
        <v>1380.8911294018171</v>
      </c>
      <c r="O194" s="85">
        <f t="shared" si="54"/>
        <v>3560.8672900814881</v>
      </c>
      <c r="P194" s="85">
        <f t="shared" si="65"/>
        <v>293484.10057738202</v>
      </c>
      <c r="Q194" s="85">
        <f t="shared" si="55"/>
        <v>856527.75530339719</v>
      </c>
      <c r="R194" s="85">
        <f t="shared" si="56"/>
        <v>1120.23178600957</v>
      </c>
      <c r="S194" s="85" cm="1">
        <f t="array" ref="S194">Y194*tax_rate</f>
        <v>0</v>
      </c>
      <c r="T194" s="85">
        <f t="shared" si="66"/>
        <v>262767.72421174089</v>
      </c>
      <c r="U194" s="85">
        <f t="shared" si="57"/>
        <v>1119295.4795151381</v>
      </c>
      <c r="V194" s="85"/>
      <c r="W194" s="138">
        <f t="shared" si="67"/>
        <v>0.17060313181368023</v>
      </c>
      <c r="X194" s="138" t="str">
        <f t="shared" si="73"/>
        <v/>
      </c>
      <c r="Y194" s="142"/>
      <c r="Z194" s="139">
        <f t="shared" si="58"/>
        <v>3560.8672900814881</v>
      </c>
      <c r="AA194" s="114">
        <v>167</v>
      </c>
      <c r="AB194" s="48">
        <f t="shared" si="68"/>
        <v>-1839.1686644997199</v>
      </c>
      <c r="AC194" s="49"/>
      <c r="AD194" s="49">
        <f t="shared" si="72"/>
        <v>8710.2437903205864</v>
      </c>
      <c r="AE194" s="50"/>
      <c r="AF194" s="140"/>
      <c r="AG194" s="140"/>
      <c r="AH194" s="140">
        <f t="shared" si="59"/>
        <v>1050294.7681622913</v>
      </c>
      <c r="AI194" s="9"/>
      <c r="AJ194" s="9"/>
      <c r="AK194" s="9"/>
    </row>
    <row r="195" spans="2:37" ht="15" customHeight="1" collapsed="1" x14ac:dyDescent="0.25">
      <c r="B195" s="8">
        <f t="shared" si="60"/>
        <v>14</v>
      </c>
      <c r="C195" s="85">
        <f t="shared" si="61"/>
        <v>1155761.9151601831</v>
      </c>
      <c r="D195" s="85">
        <f t="shared" si="69"/>
        <v>4354.0536720240962</v>
      </c>
      <c r="E195" s="85">
        <f t="shared" si="70"/>
        <v>-532.52703855036077</v>
      </c>
      <c r="F195" s="85">
        <f t="shared" si="71"/>
        <v>-260.65934339224708</v>
      </c>
      <c r="G195" s="85">
        <f t="shared" si="62"/>
        <v>0</v>
      </c>
      <c r="H195" s="85">
        <v>0</v>
      </c>
      <c r="I195" s="85">
        <v>0</v>
      </c>
      <c r="J195" s="85">
        <v>0</v>
      </c>
      <c r="K195" s="85">
        <f t="shared" si="63"/>
        <v>-2622.054407072922</v>
      </c>
      <c r="L195" s="85">
        <f t="shared" si="64"/>
        <v>793.1863819426078</v>
      </c>
      <c r="M195" s="85">
        <f t="shared" si="52"/>
        <v>3415.24078901553</v>
      </c>
      <c r="N195" s="85">
        <f t="shared" si="53"/>
        <v>1380.8911294018171</v>
      </c>
      <c r="O195" s="85">
        <f t="shared" si="54"/>
        <v>3560.8672900814881</v>
      </c>
      <c r="P195" s="85">
        <f t="shared" si="65"/>
        <v>292696.32179891772</v>
      </c>
      <c r="Q195" s="85">
        <f t="shared" si="55"/>
        <v>863065.59336126538</v>
      </c>
      <c r="R195" s="85">
        <f t="shared" si="56"/>
        <v>1120.23178600957</v>
      </c>
      <c r="S195" s="85" cm="1">
        <f t="array" ref="S195">Y195*tax_rate</f>
        <v>9517.9553264535625</v>
      </c>
      <c r="T195" s="85">
        <f t="shared" si="66"/>
        <v>274500.77684175293</v>
      </c>
      <c r="U195" s="85">
        <f t="shared" si="57"/>
        <v>1137566.3702030182</v>
      </c>
      <c r="V195" s="85">
        <f>U195-U183</f>
        <v>111781.40585029591</v>
      </c>
      <c r="W195" s="138">
        <f t="shared" si="67"/>
        <v>0.17085945285628473</v>
      </c>
      <c r="X195" s="138">
        <f t="shared" si="73"/>
        <v>0.10897157760625863</v>
      </c>
      <c r="Y195" s="141">
        <f>(((Sale_Price*0.8)+Improvement_Costs+Closing_Costs_Total)/27.5)+(-E195*12)+-AC195</f>
        <v>43263.433302061647</v>
      </c>
      <c r="Z195" s="139">
        <f t="shared" si="58"/>
        <v>3560.8672900814881</v>
      </c>
      <c r="AA195" s="114">
        <v>168</v>
      </c>
      <c r="AB195" s="48">
        <f t="shared" si="68"/>
        <v>-1834.2756286086376</v>
      </c>
      <c r="AC195" s="48">
        <f>SUM(AB184:AB195)</f>
        <v>-22327.654294002768</v>
      </c>
      <c r="AD195" s="49">
        <f t="shared" si="72"/>
        <v>18270.890687880106</v>
      </c>
      <c r="AE195" s="50">
        <f>D195*12</f>
        <v>52248.644064289154</v>
      </c>
      <c r="AF195" s="140"/>
      <c r="AG195" s="140"/>
      <c r="AH195" s="140">
        <f t="shared" si="59"/>
        <v>1068220.6552934072</v>
      </c>
      <c r="AI195" s="9">
        <f>AI183*(1+Comparison_Rate_of_Return)</f>
        <v>474687.29197905184</v>
      </c>
    </row>
    <row r="196" spans="2:37" ht="12" hidden="1" customHeight="1" outlineLevel="1" x14ac:dyDescent="0.25">
      <c r="B196" s="8" t="str">
        <f t="shared" si="60"/>
        <v/>
      </c>
      <c r="C196" s="85">
        <f t="shared" si="61"/>
        <v>1161540.7247359839</v>
      </c>
      <c r="D196" s="85">
        <f t="shared" si="69"/>
        <v>4506.4455505449396</v>
      </c>
      <c r="E196" s="85">
        <f t="shared" si="70"/>
        <v>-551.16548489962338</v>
      </c>
      <c r="F196" s="85">
        <f t="shared" si="71"/>
        <v>-269.7824204109757</v>
      </c>
      <c r="G196" s="85">
        <f t="shared" si="62"/>
        <v>0</v>
      </c>
      <c r="H196" s="85">
        <v>0</v>
      </c>
      <c r="I196" s="85">
        <v>0</v>
      </c>
      <c r="J196" s="85">
        <v>0</v>
      </c>
      <c r="K196" s="85">
        <f t="shared" si="63"/>
        <v>-2622.054407072922</v>
      </c>
      <c r="L196" s="85">
        <f t="shared" si="64"/>
        <v>820.94790531059903</v>
      </c>
      <c r="M196" s="85">
        <f t="shared" si="52"/>
        <v>3443.0023123835208</v>
      </c>
      <c r="N196" s="85">
        <f t="shared" si="53"/>
        <v>1520.9942231784335</v>
      </c>
      <c r="O196" s="85">
        <f t="shared" si="54"/>
        <v>3685.4976452343408</v>
      </c>
      <c r="P196" s="85">
        <f t="shared" si="65"/>
        <v>291903.61940308806</v>
      </c>
      <c r="Q196" s="85">
        <f t="shared" si="55"/>
        <v>869637.10533289588</v>
      </c>
      <c r="R196" s="85">
        <f t="shared" si="56"/>
        <v>1251.2118027674578</v>
      </c>
      <c r="S196" s="85" cm="1">
        <f t="array" ref="S196">Y196*tax_rate</f>
        <v>0</v>
      </c>
      <c r="T196" s="85">
        <f t="shared" si="66"/>
        <v>276895.74188136106</v>
      </c>
      <c r="U196" s="85">
        <f t="shared" si="57"/>
        <v>1146532.8472142569</v>
      </c>
      <c r="V196" s="85"/>
      <c r="W196" s="138">
        <f t="shared" si="67"/>
        <v>0.17041943796094877</v>
      </c>
      <c r="X196" s="138" t="str">
        <f t="shared" si="73"/>
        <v/>
      </c>
      <c r="Y196" s="142"/>
      <c r="Z196" s="139">
        <f t="shared" si="58"/>
        <v>3685.4976452343408</v>
      </c>
      <c r="AA196" s="114">
        <v>169</v>
      </c>
      <c r="AB196" s="46">
        <f t="shared" si="68"/>
        <v>-1829.3520112432357</v>
      </c>
      <c r="AC196" s="47"/>
      <c r="AD196" s="47">
        <f t="shared" si="72"/>
        <v>8966.4770112386905</v>
      </c>
      <c r="AE196" s="86"/>
      <c r="AF196" s="140"/>
      <c r="AG196" s="140"/>
      <c r="AH196" s="140">
        <f t="shared" si="59"/>
        <v>1076840.4037300979</v>
      </c>
      <c r="AI196" s="9"/>
      <c r="AJ196" s="9"/>
      <c r="AK196" s="9"/>
    </row>
    <row r="197" spans="2:37" ht="12" hidden="1" customHeight="1" outlineLevel="1" x14ac:dyDescent="0.25">
      <c r="B197" s="8" t="str">
        <f t="shared" si="60"/>
        <v/>
      </c>
      <c r="C197" s="85">
        <f t="shared" si="61"/>
        <v>1167348.4283596636</v>
      </c>
      <c r="D197" s="85">
        <f t="shared" si="69"/>
        <v>4506.4455505449396</v>
      </c>
      <c r="E197" s="85">
        <f t="shared" si="70"/>
        <v>-551.16548489962338</v>
      </c>
      <c r="F197" s="85">
        <f t="shared" si="71"/>
        <v>-269.7824204109757</v>
      </c>
      <c r="G197" s="85">
        <f t="shared" si="62"/>
        <v>0</v>
      </c>
      <c r="H197" s="85">
        <v>0</v>
      </c>
      <c r="I197" s="85">
        <v>0</v>
      </c>
      <c r="J197" s="85">
        <v>0</v>
      </c>
      <c r="K197" s="85">
        <f t="shared" si="63"/>
        <v>-2622.054407072922</v>
      </c>
      <c r="L197" s="85">
        <f t="shared" si="64"/>
        <v>820.94790531059903</v>
      </c>
      <c r="M197" s="85">
        <f t="shared" si="52"/>
        <v>3443.0023123835208</v>
      </c>
      <c r="N197" s="85">
        <f t="shared" si="53"/>
        <v>1520.9942231784335</v>
      </c>
      <c r="O197" s="85">
        <f t="shared" si="54"/>
        <v>3685.4976452343408</v>
      </c>
      <c r="P197" s="85">
        <f t="shared" si="65"/>
        <v>291105.96261728444</v>
      </c>
      <c r="Q197" s="85">
        <f t="shared" si="55"/>
        <v>876242.46574237919</v>
      </c>
      <c r="R197" s="85">
        <f t="shared" si="56"/>
        <v>1251.2118027674578</v>
      </c>
      <c r="S197" s="85" cm="1">
        <f t="array" ref="S197">Y197*tax_rate</f>
        <v>0</v>
      </c>
      <c r="T197" s="85">
        <f t="shared" si="66"/>
        <v>279300.68594196753</v>
      </c>
      <c r="U197" s="85">
        <f t="shared" si="57"/>
        <v>1155543.1516843466</v>
      </c>
      <c r="V197" s="85"/>
      <c r="W197" s="138">
        <f t="shared" si="67"/>
        <v>0.1699828433705359</v>
      </c>
      <c r="X197" s="138" t="str">
        <f t="shared" si="73"/>
        <v/>
      </c>
      <c r="Y197" s="142"/>
      <c r="Z197" s="139">
        <f t="shared" si="58"/>
        <v>3685.4976452343408</v>
      </c>
      <c r="AA197" s="114">
        <v>170</v>
      </c>
      <c r="AB197" s="46">
        <f t="shared" si="68"/>
        <v>-1824.3976212693003</v>
      </c>
      <c r="AC197" s="47"/>
      <c r="AD197" s="47">
        <f t="shared" si="72"/>
        <v>9010.3044700897299</v>
      </c>
      <c r="AE197" s="86"/>
      <c r="AF197" s="140"/>
      <c r="AG197" s="140"/>
      <c r="AH197" s="140">
        <f t="shared" si="59"/>
        <v>1085502.2459827668</v>
      </c>
      <c r="AI197" s="9"/>
      <c r="AJ197" s="9"/>
      <c r="AK197" s="9"/>
    </row>
    <row r="198" spans="2:37" ht="12" hidden="1" customHeight="1" outlineLevel="1" x14ac:dyDescent="0.25">
      <c r="B198" s="8" t="str">
        <f t="shared" si="60"/>
        <v/>
      </c>
      <c r="C198" s="85">
        <f t="shared" si="61"/>
        <v>1173185.1705014617</v>
      </c>
      <c r="D198" s="85">
        <f t="shared" si="69"/>
        <v>4506.4455505449396</v>
      </c>
      <c r="E198" s="85">
        <f t="shared" si="70"/>
        <v>-551.16548489962338</v>
      </c>
      <c r="F198" s="85">
        <f t="shared" si="71"/>
        <v>-269.7824204109757</v>
      </c>
      <c r="G198" s="85">
        <f t="shared" si="62"/>
        <v>0</v>
      </c>
      <c r="H198" s="85">
        <v>0</v>
      </c>
      <c r="I198" s="85">
        <v>0</v>
      </c>
      <c r="J198" s="85">
        <v>0</v>
      </c>
      <c r="K198" s="85">
        <f t="shared" si="63"/>
        <v>-2622.054407072922</v>
      </c>
      <c r="L198" s="85">
        <f t="shared" si="64"/>
        <v>820.94790531059903</v>
      </c>
      <c r="M198" s="85">
        <f t="shared" si="52"/>
        <v>3443.0023123835208</v>
      </c>
      <c r="N198" s="85">
        <f t="shared" si="53"/>
        <v>1520.9942231784335</v>
      </c>
      <c r="O198" s="85">
        <f t="shared" si="54"/>
        <v>3685.4976452343408</v>
      </c>
      <c r="P198" s="85">
        <f t="shared" si="65"/>
        <v>290303.32047656953</v>
      </c>
      <c r="Q198" s="85">
        <f t="shared" si="55"/>
        <v>882881.85002489225</v>
      </c>
      <c r="R198" s="85">
        <f t="shared" si="56"/>
        <v>1251.2118027674578</v>
      </c>
      <c r="S198" s="85" cm="1">
        <f t="array" ref="S198">Y198*tax_rate</f>
        <v>0</v>
      </c>
      <c r="T198" s="85">
        <f t="shared" si="66"/>
        <v>281715.65060282656</v>
      </c>
      <c r="U198" s="85">
        <f t="shared" si="57"/>
        <v>1164597.5006277189</v>
      </c>
      <c r="V198" s="85"/>
      <c r="W198" s="138">
        <f t="shared" si="67"/>
        <v>0.1695496289396044</v>
      </c>
      <c r="X198" s="138" t="str">
        <f t="shared" si="73"/>
        <v/>
      </c>
      <c r="Y198" s="142"/>
      <c r="Z198" s="139">
        <f t="shared" si="58"/>
        <v>3685.4976452343408</v>
      </c>
      <c r="AA198" s="114">
        <v>171</v>
      </c>
      <c r="AB198" s="46">
        <f t="shared" si="68"/>
        <v>-1819.4122663580276</v>
      </c>
      <c r="AC198" s="47"/>
      <c r="AD198" s="47">
        <f t="shared" si="72"/>
        <v>9054.3489433722571</v>
      </c>
      <c r="AE198" s="86"/>
      <c r="AF198" s="140"/>
      <c r="AG198" s="140"/>
      <c r="AH198" s="140">
        <f t="shared" si="59"/>
        <v>1094206.3903976311</v>
      </c>
      <c r="AI198" s="9"/>
      <c r="AJ198" s="9"/>
      <c r="AK198" s="9"/>
    </row>
    <row r="199" spans="2:37" ht="12" hidden="1" customHeight="1" outlineLevel="1" x14ac:dyDescent="0.25">
      <c r="B199" s="8" t="str">
        <f t="shared" si="60"/>
        <v/>
      </c>
      <c r="C199" s="85">
        <f t="shared" si="61"/>
        <v>1179051.0963539688</v>
      </c>
      <c r="D199" s="85">
        <f t="shared" si="69"/>
        <v>4506.4455505449396</v>
      </c>
      <c r="E199" s="85">
        <f t="shared" si="70"/>
        <v>-551.16548489962338</v>
      </c>
      <c r="F199" s="85">
        <f t="shared" si="71"/>
        <v>-269.7824204109757</v>
      </c>
      <c r="G199" s="85">
        <f t="shared" si="62"/>
        <v>0</v>
      </c>
      <c r="H199" s="85">
        <v>0</v>
      </c>
      <c r="I199" s="85">
        <v>0</v>
      </c>
      <c r="J199" s="85">
        <v>0</v>
      </c>
      <c r="K199" s="85">
        <f t="shared" si="63"/>
        <v>-2622.054407072922</v>
      </c>
      <c r="L199" s="85">
        <f t="shared" si="64"/>
        <v>820.94790531059903</v>
      </c>
      <c r="M199" s="85">
        <f t="shared" si="52"/>
        <v>3443.0023123835208</v>
      </c>
      <c r="N199" s="85">
        <f t="shared" si="53"/>
        <v>1520.9942231784335</v>
      </c>
      <c r="O199" s="85">
        <f t="shared" si="54"/>
        <v>3685.4976452343408</v>
      </c>
      <c r="P199" s="85">
        <f t="shared" si="65"/>
        <v>289495.66182247514</v>
      </c>
      <c r="Q199" s="85">
        <f t="shared" si="55"/>
        <v>889555.43453149369</v>
      </c>
      <c r="R199" s="85">
        <f t="shared" si="56"/>
        <v>1251.2118027674578</v>
      </c>
      <c r="S199" s="85" cm="1">
        <f t="array" ref="S199">Y199*tax_rate</f>
        <v>0</v>
      </c>
      <c r="T199" s="85">
        <f t="shared" si="66"/>
        <v>284140.67761643912</v>
      </c>
      <c r="U199" s="85">
        <f t="shared" si="57"/>
        <v>1173696.1121479329</v>
      </c>
      <c r="V199" s="85"/>
      <c r="W199" s="138">
        <f t="shared" si="67"/>
        <v>0.16911975514704586</v>
      </c>
      <c r="X199" s="138" t="str">
        <f t="shared" si="73"/>
        <v/>
      </c>
      <c r="Y199" s="142"/>
      <c r="Z199" s="139">
        <f t="shared" si="58"/>
        <v>3685.4976452343408</v>
      </c>
      <c r="AA199" s="114">
        <v>172</v>
      </c>
      <c r="AB199" s="46">
        <f t="shared" si="68"/>
        <v>-1814.3957529785594</v>
      </c>
      <c r="AC199" s="47"/>
      <c r="AD199" s="47">
        <f t="shared" si="72"/>
        <v>9098.6115202140063</v>
      </c>
      <c r="AE199" s="86"/>
      <c r="AF199" s="140"/>
      <c r="AG199" s="140"/>
      <c r="AH199" s="140">
        <f t="shared" si="59"/>
        <v>1102953.0463666948</v>
      </c>
      <c r="AI199" s="9"/>
      <c r="AJ199" s="9"/>
      <c r="AK199" s="9"/>
    </row>
    <row r="200" spans="2:37" ht="12" hidden="1" customHeight="1" outlineLevel="1" x14ac:dyDescent="0.25">
      <c r="B200" s="8" t="str">
        <f t="shared" si="60"/>
        <v/>
      </c>
      <c r="C200" s="85">
        <f t="shared" si="61"/>
        <v>1184946.3518357386</v>
      </c>
      <c r="D200" s="85">
        <f t="shared" si="69"/>
        <v>4506.4455505449396</v>
      </c>
      <c r="E200" s="85">
        <f t="shared" si="70"/>
        <v>-551.16548489962338</v>
      </c>
      <c r="F200" s="85">
        <f t="shared" si="71"/>
        <v>-269.7824204109757</v>
      </c>
      <c r="G200" s="85">
        <f t="shared" si="62"/>
        <v>0</v>
      </c>
      <c r="H200" s="85">
        <v>0</v>
      </c>
      <c r="I200" s="85">
        <v>0</v>
      </c>
      <c r="J200" s="85">
        <v>0</v>
      </c>
      <c r="K200" s="85">
        <f t="shared" si="63"/>
        <v>-2622.054407072922</v>
      </c>
      <c r="L200" s="85">
        <f t="shared" si="64"/>
        <v>820.94790531059903</v>
      </c>
      <c r="M200" s="85">
        <f t="shared" si="52"/>
        <v>3443.0023123835208</v>
      </c>
      <c r="N200" s="85">
        <f t="shared" si="53"/>
        <v>1520.9942231784335</v>
      </c>
      <c r="O200" s="85">
        <f t="shared" si="54"/>
        <v>3685.4976452343408</v>
      </c>
      <c r="P200" s="85">
        <f t="shared" si="65"/>
        <v>288682.95530179271</v>
      </c>
      <c r="Q200" s="85">
        <f t="shared" si="55"/>
        <v>896263.39653394592</v>
      </c>
      <c r="R200" s="85">
        <f t="shared" si="56"/>
        <v>1251.2118027674578</v>
      </c>
      <c r="S200" s="85" cm="1">
        <f t="array" ref="S200">Y200*tax_rate</f>
        <v>0</v>
      </c>
      <c r="T200" s="85">
        <f t="shared" si="66"/>
        <v>286575.8089092751</v>
      </c>
      <c r="U200" s="85">
        <f t="shared" si="57"/>
        <v>1182839.2054432211</v>
      </c>
      <c r="V200" s="85"/>
      <c r="W200" s="138">
        <f t="shared" si="67"/>
        <v>0.16869318308438266</v>
      </c>
      <c r="X200" s="138" t="str">
        <f t="shared" si="73"/>
        <v/>
      </c>
      <c r="Y200" s="142"/>
      <c r="Z200" s="139">
        <f t="shared" si="58"/>
        <v>3685.4976452343408</v>
      </c>
      <c r="AA200" s="114">
        <v>173</v>
      </c>
      <c r="AB200" s="46">
        <f t="shared" si="68"/>
        <v>-1809.3478863904695</v>
      </c>
      <c r="AC200" s="47"/>
      <c r="AD200" s="47">
        <f t="shared" si="72"/>
        <v>9143.0932952882722</v>
      </c>
      <c r="AE200" s="86"/>
      <c r="AF200" s="140"/>
      <c r="AG200" s="140"/>
      <c r="AH200" s="140">
        <f t="shared" si="59"/>
        <v>1111742.4243330769</v>
      </c>
      <c r="AI200" s="9"/>
      <c r="AJ200" s="9"/>
      <c r="AK200" s="9"/>
    </row>
    <row r="201" spans="2:37" ht="12" hidden="1" customHeight="1" outlineLevel="1" x14ac:dyDescent="0.25">
      <c r="B201" s="8" t="str">
        <f t="shared" si="60"/>
        <v/>
      </c>
      <c r="C201" s="85">
        <f t="shared" si="61"/>
        <v>1190871.0835949171</v>
      </c>
      <c r="D201" s="85">
        <f t="shared" si="69"/>
        <v>4506.4455505449396</v>
      </c>
      <c r="E201" s="85">
        <f t="shared" si="70"/>
        <v>-551.16548489962338</v>
      </c>
      <c r="F201" s="85">
        <f t="shared" si="71"/>
        <v>-269.7824204109757</v>
      </c>
      <c r="G201" s="85">
        <f t="shared" si="62"/>
        <v>0</v>
      </c>
      <c r="H201" s="85">
        <v>0</v>
      </c>
      <c r="I201" s="85">
        <v>0</v>
      </c>
      <c r="J201" s="85">
        <v>0</v>
      </c>
      <c r="K201" s="85">
        <f t="shared" si="63"/>
        <v>-2622.054407072922</v>
      </c>
      <c r="L201" s="85">
        <f t="shared" si="64"/>
        <v>820.94790531059903</v>
      </c>
      <c r="M201" s="85">
        <f t="shared" si="52"/>
        <v>3443.0023123835208</v>
      </c>
      <c r="N201" s="85">
        <f t="shared" si="53"/>
        <v>1520.9942231784335</v>
      </c>
      <c r="O201" s="85">
        <f t="shared" si="54"/>
        <v>3685.4976452343408</v>
      </c>
      <c r="P201" s="85">
        <f t="shared" si="65"/>
        <v>287865.16936535598</v>
      </c>
      <c r="Q201" s="85">
        <f t="shared" si="55"/>
        <v>903005.91422956111</v>
      </c>
      <c r="R201" s="85">
        <f t="shared" si="56"/>
        <v>1251.2118027674578</v>
      </c>
      <c r="S201" s="85" cm="1">
        <f t="array" ref="S201">Y201*tax_rate</f>
        <v>0</v>
      </c>
      <c r="T201" s="85">
        <f t="shared" si="66"/>
        <v>289021.08658249787</v>
      </c>
      <c r="U201" s="85">
        <f t="shared" si="57"/>
        <v>1192027.000812059</v>
      </c>
      <c r="V201" s="85"/>
      <c r="W201" s="138">
        <f t="shared" si="67"/>
        <v>0.16826987444430694</v>
      </c>
      <c r="X201" s="138" t="str">
        <f t="shared" si="73"/>
        <v/>
      </c>
      <c r="Y201" s="142"/>
      <c r="Z201" s="139">
        <f t="shared" si="58"/>
        <v>3685.4976452343408</v>
      </c>
      <c r="AA201" s="114">
        <v>174</v>
      </c>
      <c r="AB201" s="46">
        <f t="shared" si="68"/>
        <v>-1804.2684706362043</v>
      </c>
      <c r="AC201" s="47"/>
      <c r="AD201" s="47">
        <f t="shared" si="72"/>
        <v>9187.7953688378911</v>
      </c>
      <c r="AE201" s="86"/>
      <c r="AF201" s="140"/>
      <c r="AG201" s="140"/>
      <c r="AH201" s="140">
        <f t="shared" si="59"/>
        <v>1120574.735796364</v>
      </c>
      <c r="AI201" s="9"/>
      <c r="AJ201" s="9"/>
      <c r="AK201" s="9"/>
    </row>
    <row r="202" spans="2:37" ht="12" hidden="1" customHeight="1" outlineLevel="1" x14ac:dyDescent="0.25">
      <c r="B202" s="8" t="str">
        <f t="shared" si="60"/>
        <v/>
      </c>
      <c r="C202" s="85">
        <f t="shared" si="61"/>
        <v>1196825.4390128916</v>
      </c>
      <c r="D202" s="85">
        <f t="shared" si="69"/>
        <v>4506.4455505449396</v>
      </c>
      <c r="E202" s="85">
        <f t="shared" si="70"/>
        <v>-551.16548489962338</v>
      </c>
      <c r="F202" s="85">
        <f t="shared" si="71"/>
        <v>-269.7824204109757</v>
      </c>
      <c r="G202" s="85">
        <f t="shared" si="62"/>
        <v>0</v>
      </c>
      <c r="H202" s="85">
        <v>0</v>
      </c>
      <c r="I202" s="85">
        <v>0</v>
      </c>
      <c r="J202" s="85">
        <v>0</v>
      </c>
      <c r="K202" s="85">
        <f t="shared" si="63"/>
        <v>-2622.054407072922</v>
      </c>
      <c r="L202" s="85">
        <f t="shared" si="64"/>
        <v>820.94790531059903</v>
      </c>
      <c r="M202" s="85">
        <f t="shared" si="52"/>
        <v>3443.0023123835208</v>
      </c>
      <c r="N202" s="85">
        <f t="shared" si="53"/>
        <v>1520.9942231784335</v>
      </c>
      <c r="O202" s="85">
        <f t="shared" si="54"/>
        <v>3685.4976452343408</v>
      </c>
      <c r="P202" s="85">
        <f t="shared" si="65"/>
        <v>287042.27226681652</v>
      </c>
      <c r="Q202" s="85">
        <f t="shared" si="55"/>
        <v>909783.16674607503</v>
      </c>
      <c r="R202" s="85">
        <f t="shared" si="56"/>
        <v>1251.2118027674578</v>
      </c>
      <c r="S202" s="85" cm="1">
        <f t="array" ref="S202">Y202*tax_rate</f>
        <v>0</v>
      </c>
      <c r="T202" s="85">
        <f t="shared" si="66"/>
        <v>291476.55291269242</v>
      </c>
      <c r="U202" s="85">
        <f t="shared" si="57"/>
        <v>1201259.7196587673</v>
      </c>
      <c r="V202" s="85"/>
      <c r="W202" s="138">
        <f t="shared" si="67"/>
        <v>0.16784979150945833</v>
      </c>
      <c r="X202" s="138" t="str">
        <f t="shared" si="73"/>
        <v/>
      </c>
      <c r="Y202" s="142"/>
      <c r="Z202" s="139">
        <f t="shared" si="58"/>
        <v>3685.4976452343408</v>
      </c>
      <c r="AA202" s="114">
        <v>175</v>
      </c>
      <c r="AB202" s="46">
        <f t="shared" si="68"/>
        <v>-1799.1573085334746</v>
      </c>
      <c r="AC202" s="47"/>
      <c r="AD202" s="47">
        <f t="shared" si="72"/>
        <v>9232.7188467083033</v>
      </c>
      <c r="AE202" s="86"/>
      <c r="AF202" s="140"/>
      <c r="AG202" s="140"/>
      <c r="AH202" s="140">
        <f t="shared" si="59"/>
        <v>1129450.1933179938</v>
      </c>
      <c r="AI202" s="9"/>
      <c r="AJ202" s="9"/>
      <c r="AK202" s="9"/>
    </row>
    <row r="203" spans="2:37" ht="12" hidden="1" customHeight="1" outlineLevel="1" x14ac:dyDescent="0.25">
      <c r="B203" s="8" t="str">
        <f t="shared" si="60"/>
        <v/>
      </c>
      <c r="C203" s="85">
        <f t="shared" si="61"/>
        <v>1202809.5662079561</v>
      </c>
      <c r="D203" s="85">
        <f t="shared" si="69"/>
        <v>4506.4455505449396</v>
      </c>
      <c r="E203" s="85">
        <f t="shared" si="70"/>
        <v>-551.16548489962338</v>
      </c>
      <c r="F203" s="85">
        <f t="shared" si="71"/>
        <v>-269.7824204109757</v>
      </c>
      <c r="G203" s="85">
        <f t="shared" si="62"/>
        <v>0</v>
      </c>
      <c r="H203" s="85">
        <v>0</v>
      </c>
      <c r="I203" s="85">
        <v>0</v>
      </c>
      <c r="J203" s="85">
        <v>0</v>
      </c>
      <c r="K203" s="85">
        <f t="shared" si="63"/>
        <v>-2622.054407072922</v>
      </c>
      <c r="L203" s="85">
        <f t="shared" si="64"/>
        <v>820.94790531059903</v>
      </c>
      <c r="M203" s="85">
        <f t="shared" si="52"/>
        <v>3443.0023123835208</v>
      </c>
      <c r="N203" s="85">
        <f t="shared" si="53"/>
        <v>1520.9942231784335</v>
      </c>
      <c r="O203" s="85">
        <f t="shared" si="54"/>
        <v>3685.4976452343408</v>
      </c>
      <c r="P203" s="85">
        <f t="shared" si="65"/>
        <v>286214.2320614112</v>
      </c>
      <c r="Q203" s="85">
        <f t="shared" si="55"/>
        <v>916595.3341465448</v>
      </c>
      <c r="R203" s="85">
        <f t="shared" si="56"/>
        <v>1251.2118027674578</v>
      </c>
      <c r="S203" s="85" cm="1">
        <f t="array" ref="S203">Y203*tax_rate</f>
        <v>0</v>
      </c>
      <c r="T203" s="85">
        <f t="shared" si="66"/>
        <v>293942.25035259611</v>
      </c>
      <c r="U203" s="85">
        <f t="shared" si="57"/>
        <v>1210537.584499141</v>
      </c>
      <c r="V203" s="85"/>
      <c r="W203" s="138">
        <f t="shared" si="67"/>
        <v>0.16743289714143403</v>
      </c>
      <c r="X203" s="138" t="str">
        <f t="shared" si="73"/>
        <v/>
      </c>
      <c r="Y203" s="142"/>
      <c r="Z203" s="139">
        <f t="shared" si="58"/>
        <v>3685.4976452343408</v>
      </c>
      <c r="AA203" s="114">
        <v>176</v>
      </c>
      <c r="AB203" s="46">
        <f t="shared" si="68"/>
        <v>-1794.0142016676032</v>
      </c>
      <c r="AC203" s="47"/>
      <c r="AD203" s="47">
        <f t="shared" si="72"/>
        <v>9277.8648403736297</v>
      </c>
      <c r="AE203" s="86"/>
      <c r="AF203" s="140"/>
      <c r="AG203" s="140"/>
      <c r="AH203" s="140">
        <f t="shared" si="59"/>
        <v>1138369.0105266636</v>
      </c>
      <c r="AI203" s="9"/>
      <c r="AJ203" s="9"/>
      <c r="AK203" s="9"/>
    </row>
    <row r="204" spans="2:37" ht="12" hidden="1" customHeight="1" outlineLevel="1" x14ac:dyDescent="0.25">
      <c r="B204" s="8" t="str">
        <f t="shared" si="60"/>
        <v/>
      </c>
      <c r="C204" s="85">
        <f t="shared" si="61"/>
        <v>1208823.6140389957</v>
      </c>
      <c r="D204" s="85">
        <f t="shared" si="69"/>
        <v>4506.4455505449396</v>
      </c>
      <c r="E204" s="85">
        <f t="shared" si="70"/>
        <v>-551.16548489962338</v>
      </c>
      <c r="F204" s="85">
        <f t="shared" si="71"/>
        <v>-269.7824204109757</v>
      </c>
      <c r="G204" s="85">
        <f t="shared" si="62"/>
        <v>0</v>
      </c>
      <c r="H204" s="85">
        <v>0</v>
      </c>
      <c r="I204" s="85">
        <v>0</v>
      </c>
      <c r="J204" s="85">
        <v>0</v>
      </c>
      <c r="K204" s="85">
        <f t="shared" si="63"/>
        <v>-2622.054407072922</v>
      </c>
      <c r="L204" s="85">
        <f t="shared" si="64"/>
        <v>820.94790531059903</v>
      </c>
      <c r="M204" s="85">
        <f t="shared" si="52"/>
        <v>3443.0023123835208</v>
      </c>
      <c r="N204" s="85">
        <f t="shared" si="53"/>
        <v>1520.9942231784335</v>
      </c>
      <c r="O204" s="85">
        <f t="shared" si="54"/>
        <v>3685.4976452343408</v>
      </c>
      <c r="P204" s="85">
        <f t="shared" si="65"/>
        <v>285381.01660472207</v>
      </c>
      <c r="Q204" s="85">
        <f t="shared" si="55"/>
        <v>923442.59743427369</v>
      </c>
      <c r="R204" s="85">
        <f t="shared" si="56"/>
        <v>1251.2118027674578</v>
      </c>
      <c r="S204" s="85" cm="1">
        <f t="array" ref="S204">Y204*tax_rate</f>
        <v>0</v>
      </c>
      <c r="T204" s="85">
        <f t="shared" si="66"/>
        <v>296418.22153183271</v>
      </c>
      <c r="U204" s="85">
        <f t="shared" si="57"/>
        <v>1219860.8189661065</v>
      </c>
      <c r="V204" s="85"/>
      <c r="W204" s="138">
        <f t="shared" si="67"/>
        <v>0.16701915477002591</v>
      </c>
      <c r="X204" s="138" t="str">
        <f t="shared" si="73"/>
        <v/>
      </c>
      <c r="Y204" s="142"/>
      <c r="Z204" s="139">
        <f t="shared" si="58"/>
        <v>3685.4976452343408</v>
      </c>
      <c r="AA204" s="114">
        <v>177</v>
      </c>
      <c r="AB204" s="46">
        <f t="shared" si="68"/>
        <v>-1788.8389503838198</v>
      </c>
      <c r="AC204" s="47"/>
      <c r="AD204" s="47">
        <f t="shared" si="72"/>
        <v>9323.2344669655431</v>
      </c>
      <c r="AE204" s="86"/>
      <c r="AF204" s="140"/>
      <c r="AG204" s="140"/>
      <c r="AH204" s="140">
        <f t="shared" si="59"/>
        <v>1147331.4021237667</v>
      </c>
      <c r="AI204" s="9"/>
      <c r="AJ204" s="9"/>
      <c r="AK204" s="9"/>
    </row>
    <row r="205" spans="2:37" ht="12" hidden="1" customHeight="1" outlineLevel="1" x14ac:dyDescent="0.25">
      <c r="B205" s="8" t="str">
        <f t="shared" si="60"/>
        <v/>
      </c>
      <c r="C205" s="85">
        <f t="shared" si="61"/>
        <v>1214867.7321091907</v>
      </c>
      <c r="D205" s="85">
        <f t="shared" si="69"/>
        <v>4506.4455505449396</v>
      </c>
      <c r="E205" s="85">
        <f t="shared" si="70"/>
        <v>-551.16548489962338</v>
      </c>
      <c r="F205" s="85">
        <f t="shared" si="71"/>
        <v>-269.7824204109757</v>
      </c>
      <c r="G205" s="85">
        <f t="shared" si="62"/>
        <v>0</v>
      </c>
      <c r="H205" s="85">
        <v>0</v>
      </c>
      <c r="I205" s="85">
        <v>0</v>
      </c>
      <c r="J205" s="85">
        <v>0</v>
      </c>
      <c r="K205" s="85">
        <f t="shared" si="63"/>
        <v>-2622.054407072922</v>
      </c>
      <c r="L205" s="85">
        <f t="shared" si="64"/>
        <v>820.94790531059903</v>
      </c>
      <c r="M205" s="85">
        <f t="shared" si="52"/>
        <v>3443.0023123835208</v>
      </c>
      <c r="N205" s="85">
        <f t="shared" si="53"/>
        <v>1520.9942231784335</v>
      </c>
      <c r="O205" s="85">
        <f t="shared" si="54"/>
        <v>3685.4976452343408</v>
      </c>
      <c r="P205" s="85">
        <f t="shared" si="65"/>
        <v>284542.59355142864</v>
      </c>
      <c r="Q205" s="85">
        <f t="shared" si="55"/>
        <v>930325.13855776202</v>
      </c>
      <c r="R205" s="85">
        <f t="shared" si="56"/>
        <v>1251.2118027674578</v>
      </c>
      <c r="S205" s="85" cm="1">
        <f t="array" ref="S205">Y205*tax_rate</f>
        <v>0</v>
      </c>
      <c r="T205" s="85">
        <f t="shared" si="66"/>
        <v>298904.50925764948</v>
      </c>
      <c r="U205" s="85">
        <f t="shared" si="57"/>
        <v>1229229.6478154114</v>
      </c>
      <c r="V205" s="85"/>
      <c r="W205" s="138">
        <f t="shared" si="67"/>
        <v>0.16660852838268309</v>
      </c>
      <c r="X205" s="138" t="str">
        <f t="shared" si="73"/>
        <v/>
      </c>
      <c r="Y205" s="142"/>
      <c r="Z205" s="139">
        <f t="shared" si="58"/>
        <v>3685.4976452343408</v>
      </c>
      <c r="AA205" s="114">
        <v>178</v>
      </c>
      <c r="AB205" s="46">
        <f t="shared" si="68"/>
        <v>-1783.6313537795129</v>
      </c>
      <c r="AC205" s="47"/>
      <c r="AD205" s="47">
        <f t="shared" si="72"/>
        <v>9368.8288493049331</v>
      </c>
      <c r="AE205" s="86"/>
      <c r="AF205" s="140"/>
      <c r="AG205" s="140"/>
      <c r="AH205" s="140">
        <f t="shared" si="59"/>
        <v>1156337.58388886</v>
      </c>
      <c r="AI205" s="9"/>
      <c r="AJ205" s="9"/>
      <c r="AK205" s="9"/>
    </row>
    <row r="206" spans="2:37" ht="12" hidden="1" customHeight="1" outlineLevel="1" x14ac:dyDescent="0.25">
      <c r="B206" s="8" t="str">
        <f t="shared" si="60"/>
        <v/>
      </c>
      <c r="C206" s="85">
        <f t="shared" si="61"/>
        <v>1220942.0707697365</v>
      </c>
      <c r="D206" s="85">
        <f t="shared" si="69"/>
        <v>4506.4455505449396</v>
      </c>
      <c r="E206" s="85">
        <f t="shared" si="70"/>
        <v>-551.16548489962338</v>
      </c>
      <c r="F206" s="85">
        <f t="shared" si="71"/>
        <v>-269.7824204109757</v>
      </c>
      <c r="G206" s="85">
        <f t="shared" si="62"/>
        <v>0</v>
      </c>
      <c r="H206" s="85">
        <v>0</v>
      </c>
      <c r="I206" s="85">
        <v>0</v>
      </c>
      <c r="J206" s="85">
        <v>0</v>
      </c>
      <c r="K206" s="85">
        <f t="shared" si="63"/>
        <v>-2622.054407072922</v>
      </c>
      <c r="L206" s="85">
        <f t="shared" si="64"/>
        <v>820.94790531059903</v>
      </c>
      <c r="M206" s="85">
        <f t="shared" si="52"/>
        <v>3443.0023123835208</v>
      </c>
      <c r="N206" s="85">
        <f t="shared" si="53"/>
        <v>1520.9942231784335</v>
      </c>
      <c r="O206" s="85">
        <f t="shared" si="54"/>
        <v>3685.4976452343408</v>
      </c>
      <c r="P206" s="85">
        <f t="shared" si="65"/>
        <v>283698.93035405217</v>
      </c>
      <c r="Q206" s="85">
        <f t="shared" si="55"/>
        <v>937243.14041568432</v>
      </c>
      <c r="R206" s="85">
        <f t="shared" si="56"/>
        <v>1251.2118027674578</v>
      </c>
      <c r="S206" s="85" cm="1">
        <f t="array" ref="S206">Y206*tax_rate</f>
        <v>0</v>
      </c>
      <c r="T206" s="85">
        <f t="shared" si="66"/>
        <v>301401.15651565715</v>
      </c>
      <c r="U206" s="85">
        <f t="shared" si="57"/>
        <v>1238644.2969313415</v>
      </c>
      <c r="V206" s="85"/>
      <c r="W206" s="138">
        <f t="shared" si="67"/>
        <v>0.16620098251419166</v>
      </c>
      <c r="X206" s="138" t="str">
        <f t="shared" si="73"/>
        <v/>
      </c>
      <c r="Y206" s="142"/>
      <c r="Z206" s="139">
        <f t="shared" si="58"/>
        <v>3685.4976452343408</v>
      </c>
      <c r="AA206" s="114">
        <v>179</v>
      </c>
      <c r="AB206" s="46">
        <f t="shared" si="68"/>
        <v>-1778.3912096964289</v>
      </c>
      <c r="AC206" s="47"/>
      <c r="AD206" s="47">
        <f t="shared" si="72"/>
        <v>9414.6491159300786</v>
      </c>
      <c r="AE206" s="86"/>
      <c r="AF206" s="140"/>
      <c r="AG206" s="140"/>
      <c r="AH206" s="140">
        <f t="shared" si="59"/>
        <v>1165387.7726851574</v>
      </c>
      <c r="AI206" s="9"/>
      <c r="AJ206" s="9"/>
      <c r="AK206" s="9"/>
    </row>
    <row r="207" spans="2:37" ht="15" customHeight="1" collapsed="1" x14ac:dyDescent="0.25">
      <c r="B207" s="8">
        <f t="shared" si="60"/>
        <v>15</v>
      </c>
      <c r="C207" s="85">
        <f t="shared" si="61"/>
        <v>1227046.7811235851</v>
      </c>
      <c r="D207" s="85">
        <f t="shared" si="69"/>
        <v>4506.4455505449396</v>
      </c>
      <c r="E207" s="85">
        <f t="shared" si="70"/>
        <v>-551.16548489962338</v>
      </c>
      <c r="F207" s="85">
        <f t="shared" si="71"/>
        <v>-269.7824204109757</v>
      </c>
      <c r="G207" s="85">
        <f t="shared" si="62"/>
        <v>0</v>
      </c>
      <c r="H207" s="85">
        <v>0</v>
      </c>
      <c r="I207" s="85">
        <v>0</v>
      </c>
      <c r="J207" s="85">
        <v>0</v>
      </c>
      <c r="K207" s="85">
        <f t="shared" si="63"/>
        <v>-2622.054407072922</v>
      </c>
      <c r="L207" s="85">
        <f t="shared" si="64"/>
        <v>820.94790531059903</v>
      </c>
      <c r="M207" s="85">
        <f t="shared" si="52"/>
        <v>3443.0023123835208</v>
      </c>
      <c r="N207" s="85">
        <f t="shared" si="53"/>
        <v>1520.9942231784335</v>
      </c>
      <c r="O207" s="85">
        <f t="shared" si="54"/>
        <v>3685.4976452343408</v>
      </c>
      <c r="P207" s="85">
        <f t="shared" si="65"/>
        <v>282849.99426169205</v>
      </c>
      <c r="Q207" s="85">
        <f t="shared" si="55"/>
        <v>944196.78686189302</v>
      </c>
      <c r="R207" s="85">
        <f t="shared" si="56"/>
        <v>1251.2118027674578</v>
      </c>
      <c r="S207" s="85" cm="1">
        <f t="array" ref="S207">Y207*tax_rate</f>
        <v>9411.1084566178888</v>
      </c>
      <c r="T207" s="85">
        <f t="shared" si="66"/>
        <v>313319.31492719107</v>
      </c>
      <c r="U207" s="85">
        <f t="shared" si="57"/>
        <v>1257516.101789084</v>
      </c>
      <c r="V207" s="85">
        <f>U207-U195</f>
        <v>119949.73158606584</v>
      </c>
      <c r="W207" s="138">
        <f t="shared" si="67"/>
        <v>0.16638046180575025</v>
      </c>
      <c r="X207" s="138">
        <f t="shared" si="73"/>
        <v>0.10544416108631864</v>
      </c>
      <c r="Y207" s="141">
        <f>(((Sale_Price*0.8)+Improvement_Costs+Closing_Costs_Total)/27.5)+(-E207*12)+-AC207</f>
        <v>42777.76571189949</v>
      </c>
      <c r="Z207" s="139">
        <f t="shared" si="58"/>
        <v>3685.4976452343408</v>
      </c>
      <c r="AA207" s="114">
        <v>180</v>
      </c>
      <c r="AB207" s="46">
        <f t="shared" si="68"/>
        <v>-1773.1183147128258</v>
      </c>
      <c r="AC207" s="46">
        <f>SUM(AB196:AB207)</f>
        <v>-21618.325347649465</v>
      </c>
      <c r="AD207" s="47">
        <f t="shared" si="72"/>
        <v>18871.804857742507</v>
      </c>
      <c r="AE207" s="86">
        <f>D207*12</f>
        <v>54077.346606539271</v>
      </c>
      <c r="AF207" s="140"/>
      <c r="AG207" s="140"/>
      <c r="AH207" s="140">
        <f t="shared" si="59"/>
        <v>1183893.2949216689</v>
      </c>
      <c r="AI207" s="9">
        <f>AI195*(1+Comparison_Rate_of_Return)</f>
        <v>522156.02117695706</v>
      </c>
      <c r="AJ207" s="9"/>
      <c r="AK207" s="9"/>
    </row>
    <row r="208" spans="2:37" ht="12" hidden="1" customHeight="1" outlineLevel="1" x14ac:dyDescent="0.25">
      <c r="B208" s="8" t="str">
        <f t="shared" si="60"/>
        <v/>
      </c>
      <c r="C208" s="85">
        <f t="shared" si="61"/>
        <v>1233182.0150292029</v>
      </c>
      <c r="D208" s="85">
        <f t="shared" si="69"/>
        <v>4664.1711448140122</v>
      </c>
      <c r="E208" s="85">
        <f t="shared" si="70"/>
        <v>-570.45627687111016</v>
      </c>
      <c r="F208" s="85">
        <f t="shared" si="71"/>
        <v>-279.22480512535981</v>
      </c>
      <c r="G208" s="85">
        <f t="shared" si="62"/>
        <v>0</v>
      </c>
      <c r="H208" s="85">
        <v>0</v>
      </c>
      <c r="I208" s="85">
        <v>0</v>
      </c>
      <c r="J208" s="85">
        <v>0</v>
      </c>
      <c r="K208" s="85">
        <f t="shared" si="63"/>
        <v>-2622.054407072922</v>
      </c>
      <c r="L208" s="85">
        <f t="shared" si="64"/>
        <v>849.68108199646997</v>
      </c>
      <c r="M208" s="85">
        <f t="shared" si="52"/>
        <v>3471.7354890693919</v>
      </c>
      <c r="N208" s="85">
        <f t="shared" si="53"/>
        <v>1666.0009252372311</v>
      </c>
      <c r="O208" s="85">
        <f t="shared" si="54"/>
        <v>3814.4900628175419</v>
      </c>
      <c r="P208" s="85">
        <f t="shared" si="65"/>
        <v>281995.75231875468</v>
      </c>
      <c r="Q208" s="85">
        <f t="shared" si="55"/>
        <v>951186.26271044824</v>
      </c>
      <c r="R208" s="85">
        <f t="shared" si="56"/>
        <v>1386.7761201118713</v>
      </c>
      <c r="S208" s="85" cm="1">
        <f t="array" ref="S208">Y208*tax_rate</f>
        <v>0</v>
      </c>
      <c r="T208" s="85">
        <f t="shared" si="66"/>
        <v>316011.58819283289</v>
      </c>
      <c r="U208" s="85">
        <f t="shared" si="57"/>
        <v>1267197.850903281</v>
      </c>
      <c r="V208" s="85"/>
      <c r="W208" s="138">
        <f t="shared" si="67"/>
        <v>0.16598183462655294</v>
      </c>
      <c r="X208" s="138" t="str">
        <f t="shared" si="73"/>
        <v/>
      </c>
      <c r="Y208" s="142"/>
      <c r="Z208" s="139">
        <f t="shared" si="58"/>
        <v>3814.4900628175419</v>
      </c>
      <c r="AA208" s="114">
        <v>181</v>
      </c>
      <c r="AB208" s="46">
        <f t="shared" si="68"/>
        <v>-1767.8124641355751</v>
      </c>
      <c r="AC208" s="47"/>
      <c r="AD208" s="47">
        <f t="shared" si="72"/>
        <v>9681.7491141969804</v>
      </c>
      <c r="AE208" s="86"/>
      <c r="AF208" s="140"/>
      <c r="AG208" s="140"/>
      <c r="AH208" s="140">
        <f t="shared" si="59"/>
        <v>1193206.9300015289</v>
      </c>
      <c r="AI208" s="9"/>
      <c r="AJ208" s="9"/>
      <c r="AK208" s="9"/>
    </row>
    <row r="209" spans="2:37" ht="12" hidden="1" customHeight="1" outlineLevel="1" x14ac:dyDescent="0.25">
      <c r="B209" s="8" t="str">
        <f t="shared" si="60"/>
        <v/>
      </c>
      <c r="C209" s="85">
        <f t="shared" si="61"/>
        <v>1239347.9251043487</v>
      </c>
      <c r="D209" s="85">
        <f t="shared" si="69"/>
        <v>4664.1711448140122</v>
      </c>
      <c r="E209" s="85">
        <f t="shared" si="70"/>
        <v>-570.45627687111016</v>
      </c>
      <c r="F209" s="85">
        <f t="shared" si="71"/>
        <v>-279.22480512535981</v>
      </c>
      <c r="G209" s="85">
        <f t="shared" si="62"/>
        <v>0</v>
      </c>
      <c r="H209" s="85">
        <v>0</v>
      </c>
      <c r="I209" s="85">
        <v>0</v>
      </c>
      <c r="J209" s="85">
        <v>0</v>
      </c>
      <c r="K209" s="85">
        <f t="shared" si="63"/>
        <v>-2622.054407072922</v>
      </c>
      <c r="L209" s="85">
        <f t="shared" si="64"/>
        <v>849.68108199646997</v>
      </c>
      <c r="M209" s="85">
        <f t="shared" si="52"/>
        <v>3471.7354890693919</v>
      </c>
      <c r="N209" s="85">
        <f t="shared" si="53"/>
        <v>1666.0009252372311</v>
      </c>
      <c r="O209" s="85">
        <f t="shared" si="54"/>
        <v>3814.4900628175419</v>
      </c>
      <c r="P209" s="85">
        <f t="shared" si="65"/>
        <v>281136.17136367399</v>
      </c>
      <c r="Q209" s="85">
        <f t="shared" si="55"/>
        <v>958211.7537406747</v>
      </c>
      <c r="R209" s="85">
        <f t="shared" si="56"/>
        <v>1386.7761201118713</v>
      </c>
      <c r="S209" s="85" cm="1">
        <f t="array" ref="S209">Y209*tax_rate</f>
        <v>0</v>
      </c>
      <c r="T209" s="85">
        <f t="shared" si="66"/>
        <v>318715.07926374825</v>
      </c>
      <c r="U209" s="85">
        <f t="shared" si="57"/>
        <v>1276926.833004423</v>
      </c>
      <c r="V209" s="85"/>
      <c r="W209" s="138">
        <f t="shared" si="67"/>
        <v>0.16558607846055801</v>
      </c>
      <c r="X209" s="138" t="str">
        <f t="shared" si="73"/>
        <v/>
      </c>
      <c r="Y209" s="142"/>
      <c r="Z209" s="139">
        <f t="shared" si="58"/>
        <v>3814.4900628175419</v>
      </c>
      <c r="AA209" s="114">
        <v>182</v>
      </c>
      <c r="AB209" s="46">
        <f t="shared" si="68"/>
        <v>-1762.4734519922165</v>
      </c>
      <c r="AC209" s="47"/>
      <c r="AD209" s="47">
        <f t="shared" si="72"/>
        <v>9728.9821011419408</v>
      </c>
      <c r="AE209" s="86"/>
      <c r="AF209" s="140"/>
      <c r="AG209" s="140"/>
      <c r="AH209" s="140">
        <f t="shared" si="59"/>
        <v>1202565.9574981621</v>
      </c>
      <c r="AI209" s="9"/>
      <c r="AJ209" s="9"/>
      <c r="AK209" s="9"/>
    </row>
    <row r="210" spans="2:37" ht="12" hidden="1" customHeight="1" outlineLevel="1" x14ac:dyDescent="0.25">
      <c r="B210" s="8" t="str">
        <f t="shared" si="60"/>
        <v/>
      </c>
      <c r="C210" s="85">
        <f t="shared" si="61"/>
        <v>1245544.6647298704</v>
      </c>
      <c r="D210" s="85">
        <f t="shared" si="69"/>
        <v>4664.1711448140122</v>
      </c>
      <c r="E210" s="85">
        <f t="shared" si="70"/>
        <v>-570.45627687111016</v>
      </c>
      <c r="F210" s="85">
        <f t="shared" si="71"/>
        <v>-279.22480512535981</v>
      </c>
      <c r="G210" s="85">
        <f t="shared" si="62"/>
        <v>0</v>
      </c>
      <c r="H210" s="85">
        <v>0</v>
      </c>
      <c r="I210" s="85">
        <v>0</v>
      </c>
      <c r="J210" s="85">
        <v>0</v>
      </c>
      <c r="K210" s="85">
        <f t="shared" si="63"/>
        <v>-2622.054407072922</v>
      </c>
      <c r="L210" s="85">
        <f t="shared" si="64"/>
        <v>849.68108199646997</v>
      </c>
      <c r="M210" s="85">
        <f t="shared" si="52"/>
        <v>3471.7354890693919</v>
      </c>
      <c r="N210" s="85">
        <f t="shared" si="53"/>
        <v>1666.0009252372311</v>
      </c>
      <c r="O210" s="85">
        <f t="shared" si="54"/>
        <v>3814.4900628175419</v>
      </c>
      <c r="P210" s="85">
        <f t="shared" si="65"/>
        <v>280271.21802762401</v>
      </c>
      <c r="Q210" s="85">
        <f t="shared" si="55"/>
        <v>965273.44670224632</v>
      </c>
      <c r="R210" s="85">
        <f t="shared" si="56"/>
        <v>1386.7761201118713</v>
      </c>
      <c r="S210" s="85" cm="1">
        <f t="array" ref="S210">Y210*tax_rate</f>
        <v>0</v>
      </c>
      <c r="T210" s="85">
        <f t="shared" si="66"/>
        <v>321429.83488079242</v>
      </c>
      <c r="U210" s="85">
        <f t="shared" si="57"/>
        <v>1286703.2815830386</v>
      </c>
      <c r="V210" s="85"/>
      <c r="W210" s="138">
        <f t="shared" si="67"/>
        <v>0.16519316279451884</v>
      </c>
      <c r="X210" s="138" t="str">
        <f t="shared" si="73"/>
        <v/>
      </c>
      <c r="Y210" s="142"/>
      <c r="Z210" s="139">
        <f t="shared" si="58"/>
        <v>3814.4900628175419</v>
      </c>
      <c r="AA210" s="114">
        <v>183</v>
      </c>
      <c r="AB210" s="46">
        <f t="shared" si="68"/>
        <v>-1757.1010710229623</v>
      </c>
      <c r="AC210" s="47"/>
      <c r="AD210" s="47">
        <f t="shared" si="72"/>
        <v>9776.4485786156729</v>
      </c>
      <c r="AE210" s="86"/>
      <c r="AF210" s="140"/>
      <c r="AG210" s="140"/>
      <c r="AH210" s="140">
        <f t="shared" si="59"/>
        <v>1211970.6016992463</v>
      </c>
      <c r="AI210" s="9"/>
      <c r="AJ210" s="9"/>
      <c r="AK210" s="9"/>
    </row>
    <row r="211" spans="2:37" ht="12" hidden="1" customHeight="1" outlineLevel="1" x14ac:dyDescent="0.25">
      <c r="B211" s="8" t="str">
        <f t="shared" si="60"/>
        <v/>
      </c>
      <c r="C211" s="85">
        <f t="shared" si="61"/>
        <v>1251772.3880535197</v>
      </c>
      <c r="D211" s="85">
        <f t="shared" si="69"/>
        <v>4664.1711448140122</v>
      </c>
      <c r="E211" s="85">
        <f t="shared" si="70"/>
        <v>-570.45627687111016</v>
      </c>
      <c r="F211" s="85">
        <f t="shared" si="71"/>
        <v>-279.22480512535981</v>
      </c>
      <c r="G211" s="85">
        <f t="shared" si="62"/>
        <v>0</v>
      </c>
      <c r="H211" s="85">
        <v>0</v>
      </c>
      <c r="I211" s="85">
        <v>0</v>
      </c>
      <c r="J211" s="85">
        <v>0</v>
      </c>
      <c r="K211" s="85">
        <f t="shared" si="63"/>
        <v>-2622.054407072922</v>
      </c>
      <c r="L211" s="85">
        <f t="shared" si="64"/>
        <v>849.68108199646997</v>
      </c>
      <c r="M211" s="85">
        <f t="shared" si="52"/>
        <v>3471.7354890693919</v>
      </c>
      <c r="N211" s="85">
        <f t="shared" si="53"/>
        <v>1666.0009252372311</v>
      </c>
      <c r="O211" s="85">
        <f t="shared" si="54"/>
        <v>3814.4900628175419</v>
      </c>
      <c r="P211" s="85">
        <f t="shared" si="65"/>
        <v>279400.85873322375</v>
      </c>
      <c r="Q211" s="85">
        <f t="shared" si="55"/>
        <v>972371.5293202959</v>
      </c>
      <c r="R211" s="85">
        <f t="shared" si="56"/>
        <v>1386.7761201118713</v>
      </c>
      <c r="S211" s="85" cm="1">
        <f t="array" ref="S211">Y211*tax_rate</f>
        <v>0</v>
      </c>
      <c r="T211" s="85">
        <f t="shared" si="66"/>
        <v>324155.90197957424</v>
      </c>
      <c r="U211" s="85">
        <f t="shared" si="57"/>
        <v>1296527.4312998701</v>
      </c>
      <c r="V211" s="85"/>
      <c r="W211" s="138">
        <f t="shared" si="67"/>
        <v>0.16480305752996294</v>
      </c>
      <c r="X211" s="138" t="str">
        <f t="shared" si="73"/>
        <v/>
      </c>
      <c r="Y211" s="142"/>
      <c r="Z211" s="139">
        <f t="shared" si="58"/>
        <v>3814.4900628175419</v>
      </c>
      <c r="AA211" s="114">
        <v>184</v>
      </c>
      <c r="AB211" s="46">
        <f t="shared" si="68"/>
        <v>-1751.6951126726499</v>
      </c>
      <c r="AC211" s="47"/>
      <c r="AD211" s="47">
        <f t="shared" si="72"/>
        <v>9824.1497168315109</v>
      </c>
      <c r="AE211" s="86"/>
      <c r="AF211" s="140"/>
      <c r="AG211" s="140"/>
      <c r="AH211" s="140">
        <f t="shared" si="59"/>
        <v>1221421.088016659</v>
      </c>
      <c r="AI211" s="9"/>
      <c r="AJ211" s="9"/>
      <c r="AK211" s="9"/>
    </row>
    <row r="212" spans="2:37" ht="12" hidden="1" customHeight="1" outlineLevel="1" x14ac:dyDescent="0.25">
      <c r="B212" s="8" t="str">
        <f t="shared" si="60"/>
        <v/>
      </c>
      <c r="C212" s="85">
        <f t="shared" si="61"/>
        <v>1258031.2499937871</v>
      </c>
      <c r="D212" s="85">
        <f t="shared" si="69"/>
        <v>4664.1711448140122</v>
      </c>
      <c r="E212" s="85">
        <f t="shared" si="70"/>
        <v>-570.45627687111016</v>
      </c>
      <c r="F212" s="85">
        <f t="shared" si="71"/>
        <v>-279.22480512535981</v>
      </c>
      <c r="G212" s="85">
        <f t="shared" si="62"/>
        <v>0</v>
      </c>
      <c r="H212" s="85">
        <v>0</v>
      </c>
      <c r="I212" s="85">
        <v>0</v>
      </c>
      <c r="J212" s="85">
        <v>0</v>
      </c>
      <c r="K212" s="85">
        <f t="shared" si="63"/>
        <v>-2622.054407072922</v>
      </c>
      <c r="L212" s="85">
        <f t="shared" si="64"/>
        <v>849.68108199646997</v>
      </c>
      <c r="M212" s="85">
        <f t="shared" si="52"/>
        <v>3471.7354890693919</v>
      </c>
      <c r="N212" s="85">
        <f t="shared" si="53"/>
        <v>1666.0009252372311</v>
      </c>
      <c r="O212" s="85">
        <f t="shared" si="54"/>
        <v>3814.4900628175419</v>
      </c>
      <c r="P212" s="85">
        <f t="shared" si="65"/>
        <v>278525.05969323346</v>
      </c>
      <c r="Q212" s="85">
        <f t="shared" si="55"/>
        <v>979506.19030055369</v>
      </c>
      <c r="R212" s="85">
        <f t="shared" si="56"/>
        <v>1386.7761201118713</v>
      </c>
      <c r="S212" s="85" cm="1">
        <f t="array" ref="S212">Y212*tax_rate</f>
        <v>0</v>
      </c>
      <c r="T212" s="85">
        <f t="shared" si="66"/>
        <v>326893.32769126765</v>
      </c>
      <c r="U212" s="85">
        <f t="shared" si="57"/>
        <v>1306399.5179918213</v>
      </c>
      <c r="V212" s="85"/>
      <c r="W212" s="138">
        <f t="shared" si="67"/>
        <v>0.16441573297689252</v>
      </c>
      <c r="X212" s="138" t="str">
        <f t="shared" si="73"/>
        <v/>
      </c>
      <c r="Y212" s="142"/>
      <c r="Z212" s="139">
        <f t="shared" si="58"/>
        <v>3814.4900628175419</v>
      </c>
      <c r="AA212" s="114">
        <v>185</v>
      </c>
      <c r="AB212" s="46">
        <f t="shared" si="68"/>
        <v>-1746.2553670826483</v>
      </c>
      <c r="AC212" s="47"/>
      <c r="AD212" s="47">
        <f t="shared" si="72"/>
        <v>9872.0866919511463</v>
      </c>
      <c r="AE212" s="86"/>
      <c r="AF212" s="140"/>
      <c r="AG212" s="140"/>
      <c r="AH212" s="140">
        <f t="shared" si="59"/>
        <v>1230917.642992194</v>
      </c>
      <c r="AI212" s="9"/>
      <c r="AJ212" s="9"/>
      <c r="AK212" s="9"/>
    </row>
    <row r="213" spans="2:37" ht="12" hidden="1" customHeight="1" outlineLevel="1" x14ac:dyDescent="0.25">
      <c r="B213" s="8" t="str">
        <f t="shared" si="60"/>
        <v/>
      </c>
      <c r="C213" s="85">
        <f t="shared" si="61"/>
        <v>1264321.4062437559</v>
      </c>
      <c r="D213" s="85">
        <f t="shared" si="69"/>
        <v>4664.1711448140122</v>
      </c>
      <c r="E213" s="85">
        <f t="shared" si="70"/>
        <v>-570.45627687111016</v>
      </c>
      <c r="F213" s="85">
        <f t="shared" si="71"/>
        <v>-279.22480512535981</v>
      </c>
      <c r="G213" s="85">
        <f t="shared" si="62"/>
        <v>0</v>
      </c>
      <c r="H213" s="85">
        <v>0</v>
      </c>
      <c r="I213" s="85">
        <v>0</v>
      </c>
      <c r="J213" s="85">
        <v>0</v>
      </c>
      <c r="K213" s="85">
        <f t="shared" si="63"/>
        <v>-2622.054407072922</v>
      </c>
      <c r="L213" s="85">
        <f t="shared" si="64"/>
        <v>849.68108199646997</v>
      </c>
      <c r="M213" s="85">
        <f t="shared" si="52"/>
        <v>3471.7354890693919</v>
      </c>
      <c r="N213" s="85">
        <f t="shared" si="53"/>
        <v>1666.0009252372311</v>
      </c>
      <c r="O213" s="85">
        <f t="shared" si="54"/>
        <v>3814.4900628175419</v>
      </c>
      <c r="P213" s="85">
        <f t="shared" si="65"/>
        <v>277643.78690924327</v>
      </c>
      <c r="Q213" s="85">
        <f t="shared" si="55"/>
        <v>986677.61933451262</v>
      </c>
      <c r="R213" s="85">
        <f t="shared" si="56"/>
        <v>1386.7761201118713</v>
      </c>
      <c r="S213" s="85" cm="1">
        <f t="array" ref="S213">Y213*tax_rate</f>
        <v>0</v>
      </c>
      <c r="T213" s="85">
        <f t="shared" si="66"/>
        <v>329642.15934342647</v>
      </c>
      <c r="U213" s="85">
        <f t="shared" si="57"/>
        <v>1316319.778677939</v>
      </c>
      <c r="V213" s="85"/>
      <c r="W213" s="138">
        <f t="shared" si="67"/>
        <v>0.1640311598475678</v>
      </c>
      <c r="X213" s="138" t="str">
        <f t="shared" si="73"/>
        <v/>
      </c>
      <c r="Y213" s="142"/>
      <c r="Z213" s="139">
        <f t="shared" si="58"/>
        <v>3814.4900628175419</v>
      </c>
      <c r="AA213" s="114">
        <v>186</v>
      </c>
      <c r="AB213" s="46">
        <f t="shared" si="68"/>
        <v>-1740.7816230827091</v>
      </c>
      <c r="AC213" s="47"/>
      <c r="AD213" s="47">
        <f t="shared" si="72"/>
        <v>9920.2606861176901</v>
      </c>
      <c r="AE213" s="86"/>
      <c r="AF213" s="140"/>
      <c r="AG213" s="140"/>
      <c r="AH213" s="140">
        <f t="shared" si="59"/>
        <v>1240460.4943033135</v>
      </c>
      <c r="AI213" s="9"/>
      <c r="AJ213" s="9"/>
      <c r="AK213" s="9"/>
    </row>
    <row r="214" spans="2:37" ht="12" hidden="1" customHeight="1" outlineLevel="1" x14ac:dyDescent="0.25">
      <c r="B214" s="8" t="str">
        <f t="shared" si="60"/>
        <v/>
      </c>
      <c r="C214" s="85">
        <f t="shared" si="61"/>
        <v>1270643.0132749747</v>
      </c>
      <c r="D214" s="85">
        <f t="shared" si="69"/>
        <v>4664.1711448140122</v>
      </c>
      <c r="E214" s="85">
        <f t="shared" si="70"/>
        <v>-570.45627687111016</v>
      </c>
      <c r="F214" s="85">
        <f t="shared" si="71"/>
        <v>-279.22480512535981</v>
      </c>
      <c r="G214" s="85">
        <f t="shared" si="62"/>
        <v>0</v>
      </c>
      <c r="H214" s="85">
        <v>0</v>
      </c>
      <c r="I214" s="85">
        <v>0</v>
      </c>
      <c r="J214" s="85">
        <v>0</v>
      </c>
      <c r="K214" s="85">
        <f t="shared" si="63"/>
        <v>-2622.054407072922</v>
      </c>
      <c r="L214" s="85">
        <f t="shared" si="64"/>
        <v>849.68108199646997</v>
      </c>
      <c r="M214" s="85">
        <f t="shared" si="52"/>
        <v>3471.7354890693919</v>
      </c>
      <c r="N214" s="85">
        <f t="shared" si="53"/>
        <v>1666.0009252372311</v>
      </c>
      <c r="O214" s="85">
        <f t="shared" si="54"/>
        <v>3814.4900628175419</v>
      </c>
      <c r="P214" s="85">
        <f t="shared" si="65"/>
        <v>276757.0061703531</v>
      </c>
      <c r="Q214" s="85">
        <f t="shared" si="55"/>
        <v>993886.0071046215</v>
      </c>
      <c r="R214" s="85">
        <f t="shared" si="56"/>
        <v>1386.7761201118713</v>
      </c>
      <c r="S214" s="85" cm="1">
        <f t="array" ref="S214">Y214*tax_rate</f>
        <v>0</v>
      </c>
      <c r="T214" s="85">
        <f t="shared" si="66"/>
        <v>332402.4444608026</v>
      </c>
      <c r="U214" s="85">
        <f t="shared" si="57"/>
        <v>1326288.451565424</v>
      </c>
      <c r="V214" s="85"/>
      <c r="W214" s="138">
        <f t="shared" si="67"/>
        <v>0.16364930925037299</v>
      </c>
      <c r="X214" s="138" t="str">
        <f t="shared" si="73"/>
        <v/>
      </c>
      <c r="Y214" s="142"/>
      <c r="Z214" s="139">
        <f t="shared" si="58"/>
        <v>3814.4900628175419</v>
      </c>
      <c r="AA214" s="114">
        <v>187</v>
      </c>
      <c r="AB214" s="46">
        <f t="shared" si="68"/>
        <v>-1735.2736681827703</v>
      </c>
      <c r="AC214" s="47"/>
      <c r="AD214" s="47">
        <f t="shared" si="72"/>
        <v>9968.6728874850087</v>
      </c>
      <c r="AE214" s="86"/>
      <c r="AF214" s="140"/>
      <c r="AG214" s="140"/>
      <c r="AH214" s="140">
        <f t="shared" si="59"/>
        <v>1250049.8707689254</v>
      </c>
      <c r="AI214" s="9"/>
      <c r="AJ214" s="9"/>
      <c r="AK214" s="9"/>
    </row>
    <row r="215" spans="2:37" ht="12" hidden="1" customHeight="1" outlineLevel="1" x14ac:dyDescent="0.25">
      <c r="B215" s="8" t="str">
        <f t="shared" si="60"/>
        <v/>
      </c>
      <c r="C215" s="85">
        <f t="shared" si="61"/>
        <v>1276996.2283413494</v>
      </c>
      <c r="D215" s="85">
        <f t="shared" si="69"/>
        <v>4664.1711448140122</v>
      </c>
      <c r="E215" s="85">
        <f t="shared" si="70"/>
        <v>-570.45627687111016</v>
      </c>
      <c r="F215" s="85">
        <f t="shared" si="71"/>
        <v>-279.22480512535981</v>
      </c>
      <c r="G215" s="85">
        <f t="shared" si="62"/>
        <v>0</v>
      </c>
      <c r="H215" s="85">
        <v>0</v>
      </c>
      <c r="I215" s="85">
        <v>0</v>
      </c>
      <c r="J215" s="85">
        <v>0</v>
      </c>
      <c r="K215" s="85">
        <f t="shared" si="63"/>
        <v>-2622.054407072922</v>
      </c>
      <c r="L215" s="85">
        <f t="shared" si="64"/>
        <v>849.68108199646997</v>
      </c>
      <c r="M215" s="85">
        <f t="shared" si="52"/>
        <v>3471.7354890693919</v>
      </c>
      <c r="N215" s="85">
        <f t="shared" si="53"/>
        <v>1666.0009252372311</v>
      </c>
      <c r="O215" s="85">
        <f t="shared" si="54"/>
        <v>3814.4900628175419</v>
      </c>
      <c r="P215" s="85">
        <f t="shared" si="65"/>
        <v>275864.68305184488</v>
      </c>
      <c r="Q215" s="85">
        <f t="shared" si="55"/>
        <v>1001131.5452895046</v>
      </c>
      <c r="R215" s="85">
        <f t="shared" si="56"/>
        <v>1386.7761201118713</v>
      </c>
      <c r="S215" s="85" cm="1">
        <f t="array" ref="S215">Y215*tax_rate</f>
        <v>0</v>
      </c>
      <c r="T215" s="85">
        <f t="shared" si="66"/>
        <v>335174.23076616781</v>
      </c>
      <c r="U215" s="85">
        <f t="shared" si="57"/>
        <v>1336305.7760556724</v>
      </c>
      <c r="V215" s="85"/>
      <c r="W215" s="138">
        <f t="shared" si="67"/>
        <v>0.16327015268376677</v>
      </c>
      <c r="X215" s="138" t="str">
        <f t="shared" si="73"/>
        <v/>
      </c>
      <c r="Y215" s="142"/>
      <c r="Z215" s="139">
        <f t="shared" si="58"/>
        <v>3814.4900628175419</v>
      </c>
      <c r="AA215" s="114">
        <v>188</v>
      </c>
      <c r="AB215" s="46">
        <f t="shared" si="68"/>
        <v>-1729.7312885647068</v>
      </c>
      <c r="AC215" s="47"/>
      <c r="AD215" s="47">
        <f t="shared" si="72"/>
        <v>10017.324490248458</v>
      </c>
      <c r="AE215" s="86"/>
      <c r="AF215" s="140"/>
      <c r="AG215" s="140"/>
      <c r="AH215" s="140">
        <f t="shared" si="59"/>
        <v>1259686.0023551914</v>
      </c>
      <c r="AI215" s="9"/>
      <c r="AJ215" s="9"/>
      <c r="AK215" s="9"/>
    </row>
    <row r="216" spans="2:37" ht="12" hidden="1" customHeight="1" outlineLevel="1" x14ac:dyDescent="0.25">
      <c r="B216" s="8" t="str">
        <f t="shared" si="60"/>
        <v/>
      </c>
      <c r="C216" s="85">
        <f t="shared" si="61"/>
        <v>1283381.2094830561</v>
      </c>
      <c r="D216" s="85">
        <f t="shared" si="69"/>
        <v>4664.1711448140122</v>
      </c>
      <c r="E216" s="85">
        <f t="shared" si="70"/>
        <v>-570.45627687111016</v>
      </c>
      <c r="F216" s="85">
        <f t="shared" si="71"/>
        <v>-279.22480512535981</v>
      </c>
      <c r="G216" s="85">
        <f t="shared" si="62"/>
        <v>0</v>
      </c>
      <c r="H216" s="85">
        <v>0</v>
      </c>
      <c r="I216" s="85">
        <v>0</v>
      </c>
      <c r="J216" s="85">
        <v>0</v>
      </c>
      <c r="K216" s="85">
        <f t="shared" si="63"/>
        <v>-2622.054407072922</v>
      </c>
      <c r="L216" s="85">
        <f t="shared" si="64"/>
        <v>849.68108199646997</v>
      </c>
      <c r="M216" s="85">
        <f t="shared" si="52"/>
        <v>3471.7354890693919</v>
      </c>
      <c r="N216" s="85">
        <f t="shared" si="53"/>
        <v>1666.0009252372311</v>
      </c>
      <c r="O216" s="85">
        <f t="shared" si="54"/>
        <v>3814.4900628175419</v>
      </c>
      <c r="P216" s="85">
        <f t="shared" si="65"/>
        <v>274966.78291384596</v>
      </c>
      <c r="Q216" s="85">
        <f t="shared" si="55"/>
        <v>1008414.4265692101</v>
      </c>
      <c r="R216" s="85">
        <f t="shared" si="56"/>
        <v>1386.7761201118713</v>
      </c>
      <c r="S216" s="85" cm="1">
        <f t="array" ref="S216">Y216*tax_rate</f>
        <v>0</v>
      </c>
      <c r="T216" s="85">
        <f t="shared" si="66"/>
        <v>337957.56618113868</v>
      </c>
      <c r="U216" s="85">
        <f t="shared" si="57"/>
        <v>1346371.9927503488</v>
      </c>
      <c r="V216" s="85"/>
      <c r="W216" s="138">
        <f t="shared" si="67"/>
        <v>0.16289366203031641</v>
      </c>
      <c r="X216" s="138" t="str">
        <f t="shared" si="73"/>
        <v/>
      </c>
      <c r="Y216" s="142"/>
      <c r="Z216" s="139">
        <f t="shared" si="58"/>
        <v>3814.4900628175419</v>
      </c>
      <c r="AA216" s="114">
        <v>189</v>
      </c>
      <c r="AB216" s="46">
        <f t="shared" si="68"/>
        <v>-1724.1542690740305</v>
      </c>
      <c r="AC216" s="47"/>
      <c r="AD216" s="47">
        <f t="shared" si="72"/>
        <v>10066.216694676317</v>
      </c>
      <c r="AE216" s="86"/>
      <c r="AF216" s="140"/>
      <c r="AG216" s="140"/>
      <c r="AH216" s="140">
        <f t="shared" si="59"/>
        <v>1269369.1201813654</v>
      </c>
      <c r="AI216" s="9"/>
      <c r="AJ216" s="9"/>
      <c r="AK216" s="9"/>
    </row>
    <row r="217" spans="2:37" ht="12" hidden="1" customHeight="1" outlineLevel="1" x14ac:dyDescent="0.25">
      <c r="B217" s="8" t="str">
        <f t="shared" si="60"/>
        <v/>
      </c>
      <c r="C217" s="85">
        <f t="shared" si="61"/>
        <v>1289798.1155304713</v>
      </c>
      <c r="D217" s="85">
        <f t="shared" si="69"/>
        <v>4664.1711448140122</v>
      </c>
      <c r="E217" s="85">
        <f t="shared" si="70"/>
        <v>-570.45627687111016</v>
      </c>
      <c r="F217" s="85">
        <f t="shared" si="71"/>
        <v>-279.22480512535981</v>
      </c>
      <c r="G217" s="85">
        <f t="shared" si="62"/>
        <v>0</v>
      </c>
      <c r="H217" s="85">
        <v>0</v>
      </c>
      <c r="I217" s="85">
        <v>0</v>
      </c>
      <c r="J217" s="85">
        <v>0</v>
      </c>
      <c r="K217" s="85">
        <f t="shared" si="63"/>
        <v>-2622.054407072922</v>
      </c>
      <c r="L217" s="85">
        <f t="shared" si="64"/>
        <v>849.68108199646997</v>
      </c>
      <c r="M217" s="85">
        <f t="shared" si="52"/>
        <v>3471.7354890693919</v>
      </c>
      <c r="N217" s="85">
        <f t="shared" si="53"/>
        <v>1666.0009252372311</v>
      </c>
      <c r="O217" s="85">
        <f t="shared" si="54"/>
        <v>3814.4900628175419</v>
      </c>
      <c r="P217" s="85">
        <f t="shared" si="65"/>
        <v>274063.27089998458</v>
      </c>
      <c r="Q217" s="85">
        <f t="shared" si="55"/>
        <v>1015734.8446304868</v>
      </c>
      <c r="R217" s="85">
        <f t="shared" si="56"/>
        <v>1386.7761201118713</v>
      </c>
      <c r="S217" s="85" cm="1">
        <f t="array" ref="S217">Y217*tax_rate</f>
        <v>0</v>
      </c>
      <c r="T217" s="85">
        <f t="shared" si="66"/>
        <v>340752.49882700527</v>
      </c>
      <c r="U217" s="85">
        <f t="shared" si="57"/>
        <v>1356487.3434574921</v>
      </c>
      <c r="V217" s="85"/>
      <c r="W217" s="138">
        <f t="shared" si="67"/>
        <v>0.16251980955081624</v>
      </c>
      <c r="X217" s="138" t="str">
        <f t="shared" si="73"/>
        <v/>
      </c>
      <c r="Y217" s="142"/>
      <c r="Z217" s="139">
        <f t="shared" si="58"/>
        <v>3814.4900628175419</v>
      </c>
      <c r="AA217" s="114">
        <v>190</v>
      </c>
      <c r="AB217" s="46">
        <f t="shared" si="68"/>
        <v>-1718.542393211537</v>
      </c>
      <c r="AC217" s="47"/>
      <c r="AD217" s="47">
        <f t="shared" si="72"/>
        <v>10115.350707143312</v>
      </c>
      <c r="AE217" s="86"/>
      <c r="AF217" s="140"/>
      <c r="AG217" s="140"/>
      <c r="AH217" s="140">
        <f t="shared" si="59"/>
        <v>1279099.4565256638</v>
      </c>
      <c r="AI217" s="9"/>
      <c r="AJ217" s="9"/>
      <c r="AK217" s="9"/>
    </row>
    <row r="218" spans="2:37" ht="12" hidden="1" customHeight="1" outlineLevel="1" x14ac:dyDescent="0.25">
      <c r="B218" s="8" t="str">
        <f t="shared" si="60"/>
        <v/>
      </c>
      <c r="C218" s="85">
        <f t="shared" si="61"/>
        <v>1296247.1061081234</v>
      </c>
      <c r="D218" s="85">
        <f t="shared" si="69"/>
        <v>4664.1711448140122</v>
      </c>
      <c r="E218" s="85">
        <f t="shared" si="70"/>
        <v>-570.45627687111016</v>
      </c>
      <c r="F218" s="85">
        <f t="shared" si="71"/>
        <v>-279.22480512535981</v>
      </c>
      <c r="G218" s="85">
        <f t="shared" si="62"/>
        <v>0</v>
      </c>
      <c r="H218" s="85">
        <v>0</v>
      </c>
      <c r="I218" s="85">
        <v>0</v>
      </c>
      <c r="J218" s="85">
        <v>0</v>
      </c>
      <c r="K218" s="85">
        <f t="shared" si="63"/>
        <v>-2622.054407072922</v>
      </c>
      <c r="L218" s="85">
        <f t="shared" si="64"/>
        <v>849.68108199646997</v>
      </c>
      <c r="M218" s="85">
        <f t="shared" si="52"/>
        <v>3471.7354890693919</v>
      </c>
      <c r="N218" s="85">
        <f t="shared" si="53"/>
        <v>1666.0009252372311</v>
      </c>
      <c r="O218" s="85">
        <f t="shared" si="54"/>
        <v>3814.4900628175419</v>
      </c>
      <c r="P218" s="85">
        <f t="shared" si="65"/>
        <v>273154.11193603656</v>
      </c>
      <c r="Q218" s="85">
        <f t="shared" si="55"/>
        <v>1023092.9941720869</v>
      </c>
      <c r="R218" s="85">
        <f t="shared" si="56"/>
        <v>1386.7761201118713</v>
      </c>
      <c r="S218" s="85" cm="1">
        <f t="array" ref="S218">Y218*tax_rate</f>
        <v>0</v>
      </c>
      <c r="T218" s="85">
        <f t="shared" si="66"/>
        <v>343559.07702556299</v>
      </c>
      <c r="U218" s="85">
        <f t="shared" si="57"/>
        <v>1366652.0711976499</v>
      </c>
      <c r="V218" s="85"/>
      <c r="W218" s="138">
        <f t="shared" si="67"/>
        <v>0.16214856787848869</v>
      </c>
      <c r="X218" s="138" t="str">
        <f t="shared" si="73"/>
        <v/>
      </c>
      <c r="Y218" s="142"/>
      <c r="Z218" s="139">
        <f t="shared" si="58"/>
        <v>3814.4900628175419</v>
      </c>
      <c r="AA218" s="114">
        <v>191</v>
      </c>
      <c r="AB218" s="46">
        <f t="shared" si="68"/>
        <v>-1712.8954431249035</v>
      </c>
      <c r="AC218" s="47"/>
      <c r="AD218" s="47">
        <f t="shared" si="72"/>
        <v>10164.727740157861</v>
      </c>
      <c r="AE218" s="86"/>
      <c r="AF218" s="140"/>
      <c r="AG218" s="140"/>
      <c r="AH218" s="140">
        <f t="shared" si="59"/>
        <v>1288877.2448311625</v>
      </c>
      <c r="AI218" s="9"/>
      <c r="AJ218" s="9"/>
      <c r="AK218" s="9"/>
    </row>
    <row r="219" spans="2:37" ht="15" customHeight="1" collapsed="1" x14ac:dyDescent="0.25">
      <c r="B219" s="143">
        <f t="shared" si="60"/>
        <v>16</v>
      </c>
      <c r="C219" s="16">
        <f t="shared" si="61"/>
        <v>1302728.341638664</v>
      </c>
      <c r="D219" s="16">
        <f t="shared" si="69"/>
        <v>4664.1711448140122</v>
      </c>
      <c r="E219" s="16">
        <f t="shared" si="70"/>
        <v>-570.45627687111016</v>
      </c>
      <c r="F219" s="16">
        <f t="shared" si="71"/>
        <v>-279.22480512535981</v>
      </c>
      <c r="G219" s="16">
        <f t="shared" si="62"/>
        <v>0</v>
      </c>
      <c r="H219" s="16">
        <v>0</v>
      </c>
      <c r="I219" s="16">
        <v>0</v>
      </c>
      <c r="J219" s="16">
        <v>0</v>
      </c>
      <c r="K219" s="16">
        <f t="shared" si="63"/>
        <v>-2622.054407072922</v>
      </c>
      <c r="L219" s="16">
        <f t="shared" si="64"/>
        <v>849.68108199646997</v>
      </c>
      <c r="M219" s="16">
        <f t="shared" ref="M219:M282" si="74">-E219-F219-G219-H219-I219-J219-K219</f>
        <v>3471.7354890693919</v>
      </c>
      <c r="N219" s="16">
        <f t="shared" ref="N219:N282" si="75">(D219/Rent_Occupancy)+E219+G219+(H219+I219+J219)+K219</f>
        <v>1666.0009252372311</v>
      </c>
      <c r="O219" s="16">
        <f t="shared" ref="O219:O282" si="76">D219+E219+F219+G219+(H219+I219+J219)</f>
        <v>3814.4900628175419</v>
      </c>
      <c r="P219" s="16">
        <f t="shared" si="65"/>
        <v>272239.27072856383</v>
      </c>
      <c r="Q219" s="16">
        <f t="shared" ref="Q219:Q282" si="77">C219-P219</f>
        <v>1030489.0709101001</v>
      </c>
      <c r="R219" s="16">
        <f t="shared" ref="R219:R282" si="78">IF(Net_Income_Toward_Loan="No",N219+F219,IF((N219+F219)&lt;0,(N219+F219),IF((N219+F219)+PI_Payment&gt;P219,D219+E219-P219,0)))</f>
        <v>1386.7761201118713</v>
      </c>
      <c r="S219" s="16" cm="1">
        <f t="array" ref="S219">Y219*tax_rate</f>
        <v>9293.8690283240558</v>
      </c>
      <c r="T219" s="16">
        <f t="shared" si="66"/>
        <v>355671.21832827205</v>
      </c>
      <c r="U219" s="16">
        <f t="shared" ref="U219:U282" si="79">Q219+T219</f>
        <v>1386160.2892383721</v>
      </c>
      <c r="V219" s="16">
        <f>U219-U207</f>
        <v>128644.18744928809</v>
      </c>
      <c r="W219" s="144">
        <f t="shared" si="67"/>
        <v>0.16226849293532389</v>
      </c>
      <c r="X219" s="144">
        <f t="shared" si="73"/>
        <v>0.10230023080123139</v>
      </c>
      <c r="Y219" s="145">
        <f>(((Sale_Price*0.8)+Improvement_Costs+Closing_Costs_Total)/27.5)+(-E219*12)+-AC219</f>
        <v>42244.859219654798</v>
      </c>
      <c r="Z219" s="139">
        <f t="shared" ref="Z219:Z282" si="80">IF(D219+E219+F219+G219+H219+I219+J219&gt;-K219,D219+E219+F219+G219+H219+I219+J219,-K219)</f>
        <v>3814.4900628175419</v>
      </c>
      <c r="AA219" s="114">
        <v>192</v>
      </c>
      <c r="AB219" s="46">
        <f t="shared" si="68"/>
        <v>-1707.2131996002283</v>
      </c>
      <c r="AC219" s="46">
        <f>SUM(AB208:AB219)</f>
        <v>-20853.929351746934</v>
      </c>
      <c r="AD219" s="47">
        <f t="shared" si="72"/>
        <v>19508.218040722189</v>
      </c>
      <c r="AE219" s="86">
        <f>D219*12</f>
        <v>55970.053737768147</v>
      </c>
      <c r="AF219" s="140"/>
      <c r="AG219" s="140"/>
      <c r="AH219" s="140">
        <f t="shared" ref="AH219:AH282" si="81">U219-(C219*Cost_of_Sale_Percentage)</f>
        <v>1307996.5887400522</v>
      </c>
      <c r="AI219" s="15">
        <f>AI207*(1+Comparison_Rate_of_Return)</f>
        <v>574371.62329465279</v>
      </c>
      <c r="AJ219" s="9"/>
      <c r="AK219" s="9"/>
    </row>
    <row r="220" spans="2:37" ht="12" hidden="1" customHeight="1" outlineLevel="1" x14ac:dyDescent="0.25">
      <c r="B220" s="143" t="str">
        <f t="shared" ref="B220:B283" si="82">IF(MOD(AA220,12)=0,AA220/12,"")</f>
        <v/>
      </c>
      <c r="C220" s="16">
        <f t="shared" ref="C220:C283" si="83">C219*(1+(Annual_Appreciation_Percentage/12))</f>
        <v>1309241.9833468571</v>
      </c>
      <c r="D220" s="16">
        <f t="shared" si="69"/>
        <v>4827.4171348825021</v>
      </c>
      <c r="E220" s="16">
        <f t="shared" si="70"/>
        <v>-590.42224656159897</v>
      </c>
      <c r="F220" s="16">
        <f t="shared" si="71"/>
        <v>-288.99767330474737</v>
      </c>
      <c r="G220" s="16">
        <f t="shared" ref="G220:G283" si="84">IF(Other_Monthly_Cost_Months&gt;=AA220,-Other_Fixed_Monthly_Cost,0)</f>
        <v>0</v>
      </c>
      <c r="H220" s="16">
        <v>0</v>
      </c>
      <c r="I220" s="16">
        <v>0</v>
      </c>
      <c r="J220" s="16">
        <v>0</v>
      </c>
      <c r="K220" s="16">
        <f t="shared" ref="K220:K283" si="85">IF(P219&gt;PI_Payment,-PI_Payment,-P219)</f>
        <v>-2622.054407072922</v>
      </c>
      <c r="L220" s="16">
        <f t="shared" ref="L220:L283" si="86">-E220-F220-G220</f>
        <v>879.41991986634639</v>
      </c>
      <c r="M220" s="16">
        <f t="shared" si="74"/>
        <v>3501.4743269392684</v>
      </c>
      <c r="N220" s="16">
        <f t="shared" si="75"/>
        <v>1816.0828618680853</v>
      </c>
      <c r="O220" s="16">
        <f t="shared" si="76"/>
        <v>3947.9972150161561</v>
      </c>
      <c r="P220" s="16">
        <f t="shared" ref="P220:P283" si="87">IF(Net_Income_Toward_Loan="No",-IF(FV(Loan_Rate/12,1,(K220),P219,0)&lt;0,FV(Loan_Rate/12,1,(K220),P219,0),0),-IF(FV(Loan_Rate/12,1,(-Z220),P219,0)&lt;0,FV(Loan_Rate/12,1,(-Z220),P219,0),0))</f>
        <v>271318.71176354442</v>
      </c>
      <c r="Q220" s="16">
        <f t="shared" si="77"/>
        <v>1037923.2715833127</v>
      </c>
      <c r="R220" s="16">
        <f t="shared" si="78"/>
        <v>1527.0851885633379</v>
      </c>
      <c r="S220" s="16" cm="1">
        <f t="array" ref="S220">Y220*tax_rate</f>
        <v>0</v>
      </c>
      <c r="T220" s="16">
        <f t="shared" ref="T220:T283" si="88">T219*(1+Time_Value_of_Money_Percentage/12)+R220+S220</f>
        <v>358680.26692653651</v>
      </c>
      <c r="U220" s="16">
        <f t="shared" si="79"/>
        <v>1396603.5385098492</v>
      </c>
      <c r="V220" s="16"/>
      <c r="W220" s="144">
        <f t="shared" ref="W220:W283" si="89">RATE(AA220/12,0,-Total_Initial_Investment,U220,0)</f>
        <v>0.16190538432516743</v>
      </c>
      <c r="X220" s="144" t="str">
        <f t="shared" si="73"/>
        <v/>
      </c>
      <c r="Y220" s="146"/>
      <c r="Z220" s="139">
        <f t="shared" si="80"/>
        <v>3947.9972150161561</v>
      </c>
      <c r="AA220" s="114">
        <v>193</v>
      </c>
      <c r="AB220" s="46">
        <f t="shared" ref="AB220:AB283" si="90">IF(AA220&lt;Loan_Term*12,IPMT(Loan_Rate/12,1,(Loan_Term*12)-AA219,P219,0),0)</f>
        <v>-1701.4954420535239</v>
      </c>
      <c r="AC220" s="47"/>
      <c r="AD220" s="47">
        <f t="shared" si="72"/>
        <v>10443.249271477107</v>
      </c>
      <c r="AE220" s="86"/>
      <c r="AF220" s="140"/>
      <c r="AG220" s="140"/>
      <c r="AH220" s="140">
        <f t="shared" si="81"/>
        <v>1318049.0195090377</v>
      </c>
      <c r="AI220" s="15"/>
      <c r="AJ220" s="9"/>
      <c r="AK220" s="9"/>
    </row>
    <row r="221" spans="2:37" ht="12" hidden="1" customHeight="1" outlineLevel="1" x14ac:dyDescent="0.25">
      <c r="B221" s="143" t="str">
        <f t="shared" si="82"/>
        <v/>
      </c>
      <c r="C221" s="16">
        <f t="shared" si="83"/>
        <v>1315788.1932635913</v>
      </c>
      <c r="D221" s="16">
        <f t="shared" ref="D221:D284" si="91">IF(MOD(AA221-1,12)&gt;0,D220,D220*(1+Annual_Rent_Increase_Percentage))</f>
        <v>4827.4171348825021</v>
      </c>
      <c r="E221" s="16">
        <f t="shared" ref="E221:E284" si="92">IF(MOD($AA221-1,12)&gt;0,E220,E220*(1+Annual_Inflation_Percentage))</f>
        <v>-590.42224656159897</v>
      </c>
      <c r="F221" s="16">
        <f t="shared" ref="F221:F284" si="93">IF(MOD($AA221-1,12)&gt;0,F220,F220*(1+Annual_Inflation_Percentage))</f>
        <v>-288.99767330474737</v>
      </c>
      <c r="G221" s="16">
        <f t="shared" si="84"/>
        <v>0</v>
      </c>
      <c r="H221" s="16">
        <v>0</v>
      </c>
      <c r="I221" s="16">
        <v>0</v>
      </c>
      <c r="J221" s="16">
        <v>0</v>
      </c>
      <c r="K221" s="16">
        <f t="shared" si="85"/>
        <v>-2622.054407072922</v>
      </c>
      <c r="L221" s="16">
        <f t="shared" si="86"/>
        <v>879.41991986634639</v>
      </c>
      <c r="M221" s="16">
        <f t="shared" si="74"/>
        <v>3501.4743269392684</v>
      </c>
      <c r="N221" s="16">
        <f t="shared" si="75"/>
        <v>1816.0828618680853</v>
      </c>
      <c r="O221" s="16">
        <f t="shared" si="76"/>
        <v>3947.9972150161561</v>
      </c>
      <c r="P221" s="16">
        <f t="shared" si="87"/>
        <v>270392.39930499363</v>
      </c>
      <c r="Q221" s="16">
        <f t="shared" si="77"/>
        <v>1045395.7939585976</v>
      </c>
      <c r="R221" s="16">
        <f t="shared" si="78"/>
        <v>1527.0851885633379</v>
      </c>
      <c r="S221" s="16" cm="1">
        <f t="array" ref="S221">Y221*tax_rate</f>
        <v>0</v>
      </c>
      <c r="T221" s="16">
        <f t="shared" si="88"/>
        <v>361701.85322729376</v>
      </c>
      <c r="U221" s="16">
        <f t="shared" si="79"/>
        <v>1407097.6471858914</v>
      </c>
      <c r="V221" s="16"/>
      <c r="W221" s="144">
        <f t="shared" si="89"/>
        <v>0.16154471031459622</v>
      </c>
      <c r="X221" s="144" t="str">
        <f t="shared" si="73"/>
        <v/>
      </c>
      <c r="Y221" s="146"/>
      <c r="Z221" s="139">
        <f t="shared" si="80"/>
        <v>3947.9972150161561</v>
      </c>
      <c r="AA221" s="114">
        <v>194</v>
      </c>
      <c r="AB221" s="46">
        <f t="shared" si="90"/>
        <v>-1695.7419485221524</v>
      </c>
      <c r="AC221" s="47"/>
      <c r="AD221" s="47">
        <f t="shared" ref="AD221:AD284" si="94">U221-U220</f>
        <v>10494.108676042175</v>
      </c>
      <c r="AE221" s="86"/>
      <c r="AF221" s="140"/>
      <c r="AG221" s="140"/>
      <c r="AH221" s="140">
        <f t="shared" si="81"/>
        <v>1328150.355590076</v>
      </c>
      <c r="AI221" s="15"/>
      <c r="AJ221" s="9"/>
      <c r="AK221" s="9"/>
    </row>
    <row r="222" spans="2:37" ht="12" hidden="1" customHeight="1" outlineLevel="1" x14ac:dyDescent="0.25">
      <c r="B222" s="143" t="str">
        <f t="shared" si="82"/>
        <v/>
      </c>
      <c r="C222" s="16">
        <f t="shared" si="83"/>
        <v>1322367.1342299092</v>
      </c>
      <c r="D222" s="16">
        <f t="shared" si="91"/>
        <v>4827.4171348825021</v>
      </c>
      <c r="E222" s="16">
        <f t="shared" si="92"/>
        <v>-590.42224656159897</v>
      </c>
      <c r="F222" s="16">
        <f t="shared" si="93"/>
        <v>-288.99767330474737</v>
      </c>
      <c r="G222" s="16">
        <f t="shared" si="84"/>
        <v>0</v>
      </c>
      <c r="H222" s="16">
        <v>0</v>
      </c>
      <c r="I222" s="16">
        <v>0</v>
      </c>
      <c r="J222" s="16">
        <v>0</v>
      </c>
      <c r="K222" s="16">
        <f t="shared" si="85"/>
        <v>-2622.054407072922</v>
      </c>
      <c r="L222" s="16">
        <f t="shared" si="86"/>
        <v>879.41991986634639</v>
      </c>
      <c r="M222" s="16">
        <f t="shared" si="74"/>
        <v>3501.4743269392684</v>
      </c>
      <c r="N222" s="16">
        <f t="shared" si="75"/>
        <v>1816.0828618680853</v>
      </c>
      <c r="O222" s="16">
        <f t="shared" si="76"/>
        <v>3947.9972150161561</v>
      </c>
      <c r="P222" s="16">
        <f t="shared" si="87"/>
        <v>269460.29739357688</v>
      </c>
      <c r="Q222" s="16">
        <f t="shared" si="77"/>
        <v>1052906.8368363322</v>
      </c>
      <c r="R222" s="16">
        <f t="shared" si="78"/>
        <v>1527.0851885633379</v>
      </c>
      <c r="S222" s="16" cm="1">
        <f t="array" ref="S222">Y222*tax_rate</f>
        <v>0</v>
      </c>
      <c r="T222" s="16">
        <f t="shared" si="88"/>
        <v>364736.0294709708</v>
      </c>
      <c r="U222" s="16">
        <f t="shared" si="79"/>
        <v>1417642.8663073031</v>
      </c>
      <c r="V222" s="16"/>
      <c r="W222" s="144">
        <f t="shared" si="89"/>
        <v>0.16118644739259505</v>
      </c>
      <c r="X222" s="144" t="str">
        <f t="shared" si="73"/>
        <v/>
      </c>
      <c r="Y222" s="146"/>
      <c r="Z222" s="139">
        <f t="shared" si="80"/>
        <v>3947.9972150161561</v>
      </c>
      <c r="AA222" s="114">
        <v>195</v>
      </c>
      <c r="AB222" s="46">
        <f t="shared" si="90"/>
        <v>-1689.95249565621</v>
      </c>
      <c r="AC222" s="47"/>
      <c r="AD222" s="47">
        <f t="shared" si="94"/>
        <v>10545.219121411676</v>
      </c>
      <c r="AE222" s="86"/>
      <c r="AF222" s="140"/>
      <c r="AG222" s="140"/>
      <c r="AH222" s="140">
        <f t="shared" si="81"/>
        <v>1338300.8382535086</v>
      </c>
      <c r="AI222" s="15"/>
      <c r="AJ222" s="9"/>
      <c r="AK222" s="9"/>
    </row>
    <row r="223" spans="2:37" ht="12" hidden="1" customHeight="1" outlineLevel="1" x14ac:dyDescent="0.25">
      <c r="B223" s="143" t="str">
        <f t="shared" si="82"/>
        <v/>
      </c>
      <c r="C223" s="16">
        <f t="shared" si="83"/>
        <v>1328978.9699010586</v>
      </c>
      <c r="D223" s="16">
        <f t="shared" si="91"/>
        <v>4827.4171348825021</v>
      </c>
      <c r="E223" s="16">
        <f t="shared" si="92"/>
        <v>-590.42224656159897</v>
      </c>
      <c r="F223" s="16">
        <f t="shared" si="93"/>
        <v>-288.99767330474737</v>
      </c>
      <c r="G223" s="16">
        <f t="shared" si="84"/>
        <v>0</v>
      </c>
      <c r="H223" s="16">
        <v>0</v>
      </c>
      <c r="I223" s="16">
        <v>0</v>
      </c>
      <c r="J223" s="16">
        <v>0</v>
      </c>
      <c r="K223" s="16">
        <f t="shared" si="85"/>
        <v>-2622.054407072922</v>
      </c>
      <c r="L223" s="16">
        <f t="shared" si="86"/>
        <v>879.41991986634639</v>
      </c>
      <c r="M223" s="16">
        <f t="shared" si="74"/>
        <v>3501.4743269392684</v>
      </c>
      <c r="N223" s="16">
        <f t="shared" si="75"/>
        <v>1816.0828618680853</v>
      </c>
      <c r="O223" s="16">
        <f t="shared" si="76"/>
        <v>3947.9972150161561</v>
      </c>
      <c r="P223" s="16">
        <f t="shared" si="87"/>
        <v>268522.36984521383</v>
      </c>
      <c r="Q223" s="16">
        <f t="shared" si="77"/>
        <v>1060456.6000558448</v>
      </c>
      <c r="R223" s="16">
        <f t="shared" si="78"/>
        <v>1527.0851885633379</v>
      </c>
      <c r="S223" s="16" cm="1">
        <f t="array" ref="S223">Y223*tax_rate</f>
        <v>0</v>
      </c>
      <c r="T223" s="16">
        <f t="shared" si="88"/>
        <v>367782.84811566316</v>
      </c>
      <c r="U223" s="16">
        <f t="shared" si="79"/>
        <v>1428239.448171508</v>
      </c>
      <c r="V223" s="16"/>
      <c r="W223" s="144">
        <f t="shared" si="89"/>
        <v>0.16083057232571626</v>
      </c>
      <c r="X223" s="144" t="str">
        <f t="shared" si="73"/>
        <v/>
      </c>
      <c r="Y223" s="146"/>
      <c r="Z223" s="139">
        <f t="shared" si="80"/>
        <v>3947.9972150161561</v>
      </c>
      <c r="AA223" s="114">
        <v>196</v>
      </c>
      <c r="AB223" s="46">
        <f t="shared" si="90"/>
        <v>-1684.1268587098555</v>
      </c>
      <c r="AC223" s="47"/>
      <c r="AD223" s="47">
        <f t="shared" si="94"/>
        <v>10596.581864204956</v>
      </c>
      <c r="AE223" s="86"/>
      <c r="AF223" s="140"/>
      <c r="AG223" s="140"/>
      <c r="AH223" s="140">
        <f t="shared" si="81"/>
        <v>1348500.7099774445</v>
      </c>
      <c r="AI223" s="15"/>
      <c r="AJ223" s="9"/>
      <c r="AK223" s="9"/>
    </row>
    <row r="224" spans="2:37" ht="12" hidden="1" customHeight="1" outlineLevel="1" x14ac:dyDescent="0.25">
      <c r="B224" s="143" t="str">
        <f t="shared" si="82"/>
        <v/>
      </c>
      <c r="C224" s="16">
        <f t="shared" si="83"/>
        <v>1335623.8647505636</v>
      </c>
      <c r="D224" s="16">
        <f t="shared" si="91"/>
        <v>4827.4171348825021</v>
      </c>
      <c r="E224" s="16">
        <f t="shared" si="92"/>
        <v>-590.42224656159897</v>
      </c>
      <c r="F224" s="16">
        <f t="shared" si="93"/>
        <v>-288.99767330474737</v>
      </c>
      <c r="G224" s="16">
        <f t="shared" si="84"/>
        <v>0</v>
      </c>
      <c r="H224" s="16">
        <v>0</v>
      </c>
      <c r="I224" s="16">
        <v>0</v>
      </c>
      <c r="J224" s="16">
        <v>0</v>
      </c>
      <c r="K224" s="16">
        <f t="shared" si="85"/>
        <v>-2622.054407072922</v>
      </c>
      <c r="L224" s="16">
        <f t="shared" si="86"/>
        <v>879.41991986634639</v>
      </c>
      <c r="M224" s="16">
        <f t="shared" si="74"/>
        <v>3501.4743269392684</v>
      </c>
      <c r="N224" s="16">
        <f t="shared" si="75"/>
        <v>1816.0828618680853</v>
      </c>
      <c r="O224" s="16">
        <f t="shared" si="76"/>
        <v>3947.9972150161561</v>
      </c>
      <c r="P224" s="16">
        <f t="shared" si="87"/>
        <v>267578.58024967351</v>
      </c>
      <c r="Q224" s="16">
        <f t="shared" si="77"/>
        <v>1068045.2845008902</v>
      </c>
      <c r="R224" s="16">
        <f t="shared" si="78"/>
        <v>1527.0851885633379</v>
      </c>
      <c r="S224" s="16" cm="1">
        <f t="array" ref="S224">Y224*tax_rate</f>
        <v>0</v>
      </c>
      <c r="T224" s="16">
        <f t="shared" si="88"/>
        <v>370842.36183804175</v>
      </c>
      <c r="U224" s="16">
        <f t="shared" si="79"/>
        <v>1438887.646338932</v>
      </c>
      <c r="V224" s="16"/>
      <c r="W224" s="144">
        <f t="shared" si="89"/>
        <v>0.16047706215489169</v>
      </c>
      <c r="X224" s="144" t="str">
        <f t="shared" si="73"/>
        <v/>
      </c>
      <c r="Y224" s="146"/>
      <c r="Z224" s="139">
        <f t="shared" si="80"/>
        <v>3947.9972150161561</v>
      </c>
      <c r="AA224" s="114">
        <v>197</v>
      </c>
      <c r="AB224" s="46">
        <f t="shared" si="90"/>
        <v>-1678.2648115325862</v>
      </c>
      <c r="AC224" s="47"/>
      <c r="AD224" s="47">
        <f t="shared" si="94"/>
        <v>10648.198167423951</v>
      </c>
      <c r="AE224" s="86"/>
      <c r="AF224" s="140"/>
      <c r="AG224" s="140"/>
      <c r="AH224" s="140">
        <f t="shared" si="81"/>
        <v>1358750.2144538981</v>
      </c>
      <c r="AI224" s="15"/>
      <c r="AJ224" s="9"/>
      <c r="AK224" s="9"/>
    </row>
    <row r="225" spans="2:37" ht="12" hidden="1" customHeight="1" outlineLevel="1" x14ac:dyDescent="0.25">
      <c r="B225" s="143" t="str">
        <f t="shared" si="82"/>
        <v/>
      </c>
      <c r="C225" s="16">
        <f t="shared" si="83"/>
        <v>1342301.9840743162</v>
      </c>
      <c r="D225" s="16">
        <f t="shared" si="91"/>
        <v>4827.4171348825021</v>
      </c>
      <c r="E225" s="16">
        <f t="shared" si="92"/>
        <v>-590.42224656159897</v>
      </c>
      <c r="F225" s="16">
        <f t="shared" si="93"/>
        <v>-288.99767330474737</v>
      </c>
      <c r="G225" s="16">
        <f t="shared" si="84"/>
        <v>0</v>
      </c>
      <c r="H225" s="16">
        <v>0</v>
      </c>
      <c r="I225" s="16">
        <v>0</v>
      </c>
      <c r="J225" s="16">
        <v>0</v>
      </c>
      <c r="K225" s="16">
        <f t="shared" si="85"/>
        <v>-2622.054407072922</v>
      </c>
      <c r="L225" s="16">
        <f t="shared" si="86"/>
        <v>879.41991986634639</v>
      </c>
      <c r="M225" s="16">
        <f t="shared" si="74"/>
        <v>3501.4743269392684</v>
      </c>
      <c r="N225" s="16">
        <f t="shared" si="75"/>
        <v>1816.0828618680853</v>
      </c>
      <c r="O225" s="16">
        <f t="shared" si="76"/>
        <v>3947.9972150161561</v>
      </c>
      <c r="P225" s="16">
        <f t="shared" si="87"/>
        <v>266628.89196916105</v>
      </c>
      <c r="Q225" s="16">
        <f t="shared" si="77"/>
        <v>1075673.0921051551</v>
      </c>
      <c r="R225" s="16">
        <f t="shared" si="78"/>
        <v>1527.0851885633379</v>
      </c>
      <c r="S225" s="16" cm="1">
        <f t="array" ref="S225">Y225*tax_rate</f>
        <v>0</v>
      </c>
      <c r="T225" s="16">
        <f t="shared" si="88"/>
        <v>373914.62353426358</v>
      </c>
      <c r="U225" s="16">
        <f t="shared" si="79"/>
        <v>1449587.7156394187</v>
      </c>
      <c r="V225" s="16"/>
      <c r="W225" s="144">
        <f t="shared" si="89"/>
        <v>0.16012589419224804</v>
      </c>
      <c r="X225" s="144" t="str">
        <f t="shared" si="73"/>
        <v/>
      </c>
      <c r="Y225" s="146"/>
      <c r="Z225" s="139">
        <f t="shared" si="80"/>
        <v>3947.9972150161561</v>
      </c>
      <c r="AA225" s="114">
        <v>198</v>
      </c>
      <c r="AB225" s="46">
        <f t="shared" si="90"/>
        <v>-1672.3661265604594</v>
      </c>
      <c r="AC225" s="47"/>
      <c r="AD225" s="47">
        <f t="shared" si="94"/>
        <v>10700.069300486706</v>
      </c>
      <c r="AE225" s="86"/>
      <c r="AF225" s="140"/>
      <c r="AG225" s="140"/>
      <c r="AH225" s="140">
        <f t="shared" si="81"/>
        <v>1369049.5965949597</v>
      </c>
      <c r="AI225" s="15"/>
      <c r="AJ225" s="9"/>
      <c r="AK225" s="9"/>
    </row>
    <row r="226" spans="2:37" ht="12" hidden="1" customHeight="1" outlineLevel="1" x14ac:dyDescent="0.25">
      <c r="B226" s="143" t="str">
        <f t="shared" si="82"/>
        <v/>
      </c>
      <c r="C226" s="16">
        <f t="shared" si="83"/>
        <v>1349013.4939946877</v>
      </c>
      <c r="D226" s="16">
        <f t="shared" si="91"/>
        <v>4827.4171348825021</v>
      </c>
      <c r="E226" s="16">
        <f t="shared" si="92"/>
        <v>-590.42224656159897</v>
      </c>
      <c r="F226" s="16">
        <f t="shared" si="93"/>
        <v>-288.99767330474737</v>
      </c>
      <c r="G226" s="16">
        <f t="shared" si="84"/>
        <v>0</v>
      </c>
      <c r="H226" s="16">
        <v>0</v>
      </c>
      <c r="I226" s="16">
        <v>0</v>
      </c>
      <c r="J226" s="16">
        <v>0</v>
      </c>
      <c r="K226" s="16">
        <f t="shared" si="85"/>
        <v>-2622.054407072922</v>
      </c>
      <c r="L226" s="16">
        <f t="shared" si="86"/>
        <v>879.41991986634639</v>
      </c>
      <c r="M226" s="16">
        <f t="shared" si="74"/>
        <v>3501.4743269392684</v>
      </c>
      <c r="N226" s="16">
        <f t="shared" si="75"/>
        <v>1816.0828618680853</v>
      </c>
      <c r="O226" s="16">
        <f t="shared" si="76"/>
        <v>3947.9972150161561</v>
      </c>
      <c r="P226" s="16">
        <f t="shared" si="87"/>
        <v>265673.26813689538</v>
      </c>
      <c r="Q226" s="16">
        <f t="shared" si="77"/>
        <v>1083340.2258577924</v>
      </c>
      <c r="R226" s="16">
        <f t="shared" si="78"/>
        <v>1527.0851885633379</v>
      </c>
      <c r="S226" s="16" cm="1">
        <f t="array" ref="S226">Y226*tax_rate</f>
        <v>0</v>
      </c>
      <c r="T226" s="16">
        <f t="shared" si="88"/>
        <v>376999.68632088631</v>
      </c>
      <c r="U226" s="16">
        <f t="shared" si="79"/>
        <v>1460339.9121786787</v>
      </c>
      <c r="V226" s="16"/>
      <c r="W226" s="144">
        <f t="shared" si="89"/>
        <v>0.15977704601793066</v>
      </c>
      <c r="X226" s="144" t="str">
        <f t="shared" si="73"/>
        <v/>
      </c>
      <c r="Y226" s="146"/>
      <c r="Z226" s="139">
        <f t="shared" si="80"/>
        <v>3947.9972150161561</v>
      </c>
      <c r="AA226" s="114">
        <v>199</v>
      </c>
      <c r="AB226" s="46">
        <f t="shared" si="90"/>
        <v>-1666.4305748072563</v>
      </c>
      <c r="AC226" s="47"/>
      <c r="AD226" s="47">
        <f t="shared" si="94"/>
        <v>10752.196539259981</v>
      </c>
      <c r="AE226" s="86"/>
      <c r="AF226" s="140"/>
      <c r="AG226" s="140"/>
      <c r="AH226" s="140">
        <f t="shared" si="81"/>
        <v>1379399.1025389973</v>
      </c>
      <c r="AI226" s="15"/>
      <c r="AJ226" s="9"/>
      <c r="AK226" s="9"/>
    </row>
    <row r="227" spans="2:37" ht="12" hidden="1" customHeight="1" outlineLevel="1" x14ac:dyDescent="0.25">
      <c r="B227" s="143" t="str">
        <f t="shared" si="82"/>
        <v/>
      </c>
      <c r="C227" s="16">
        <f t="shared" si="83"/>
        <v>1355758.561464661</v>
      </c>
      <c r="D227" s="16">
        <f t="shared" si="91"/>
        <v>4827.4171348825021</v>
      </c>
      <c r="E227" s="16">
        <f t="shared" si="92"/>
        <v>-590.42224656159897</v>
      </c>
      <c r="F227" s="16">
        <f t="shared" si="93"/>
        <v>-288.99767330474737</v>
      </c>
      <c r="G227" s="16">
        <f t="shared" si="84"/>
        <v>0</v>
      </c>
      <c r="H227" s="16">
        <v>0</v>
      </c>
      <c r="I227" s="16">
        <v>0</v>
      </c>
      <c r="J227" s="16">
        <v>0</v>
      </c>
      <c r="K227" s="16">
        <f t="shared" si="85"/>
        <v>-2622.054407072922</v>
      </c>
      <c r="L227" s="16">
        <f t="shared" si="86"/>
        <v>879.41991986634639</v>
      </c>
      <c r="M227" s="16">
        <f t="shared" si="74"/>
        <v>3501.4743269392684</v>
      </c>
      <c r="N227" s="16">
        <f t="shared" si="75"/>
        <v>1816.0828618680853</v>
      </c>
      <c r="O227" s="16">
        <f t="shared" si="76"/>
        <v>3947.9972150161561</v>
      </c>
      <c r="P227" s="16">
        <f t="shared" si="87"/>
        <v>264711.67165567807</v>
      </c>
      <c r="Q227" s="16">
        <f t="shared" si="77"/>
        <v>1091046.8898089831</v>
      </c>
      <c r="R227" s="16">
        <f t="shared" si="78"/>
        <v>1527.0851885633379</v>
      </c>
      <c r="S227" s="16" cm="1">
        <f t="array" ref="S227">Y227*tax_rate</f>
        <v>0</v>
      </c>
      <c r="T227" s="16">
        <f t="shared" si="88"/>
        <v>380097.60353578668</v>
      </c>
      <c r="U227" s="16">
        <f t="shared" si="79"/>
        <v>1471144.4933447698</v>
      </c>
      <c r="V227" s="16"/>
      <c r="W227" s="144">
        <f t="shared" si="89"/>
        <v>0.15943049547693922</v>
      </c>
      <c r="X227" s="144" t="str">
        <f t="shared" si="73"/>
        <v/>
      </c>
      <c r="Y227" s="146"/>
      <c r="Z227" s="139">
        <f t="shared" si="80"/>
        <v>3947.9972150161561</v>
      </c>
      <c r="AA227" s="114">
        <v>200</v>
      </c>
      <c r="AB227" s="46">
        <f t="shared" si="90"/>
        <v>-1660.4579258555959</v>
      </c>
      <c r="AC227" s="47"/>
      <c r="AD227" s="47">
        <f t="shared" si="94"/>
        <v>10804.581166091142</v>
      </c>
      <c r="AE227" s="86"/>
      <c r="AF227" s="140"/>
      <c r="AG227" s="140"/>
      <c r="AH227" s="140">
        <f t="shared" si="81"/>
        <v>1389798.97965689</v>
      </c>
      <c r="AI227" s="15"/>
      <c r="AJ227" s="9"/>
      <c r="AK227" s="9"/>
    </row>
    <row r="228" spans="2:37" ht="12" hidden="1" customHeight="1" outlineLevel="1" x14ac:dyDescent="0.25">
      <c r="B228" s="143" t="str">
        <f t="shared" si="82"/>
        <v/>
      </c>
      <c r="C228" s="16">
        <f t="shared" si="83"/>
        <v>1362537.3542719842</v>
      </c>
      <c r="D228" s="16">
        <f t="shared" si="91"/>
        <v>4827.4171348825021</v>
      </c>
      <c r="E228" s="16">
        <f t="shared" si="92"/>
        <v>-590.42224656159897</v>
      </c>
      <c r="F228" s="16">
        <f t="shared" si="93"/>
        <v>-288.99767330474737</v>
      </c>
      <c r="G228" s="16">
        <f t="shared" si="84"/>
        <v>0</v>
      </c>
      <c r="H228" s="16">
        <v>0</v>
      </c>
      <c r="I228" s="16">
        <v>0</v>
      </c>
      <c r="J228" s="16">
        <v>0</v>
      </c>
      <c r="K228" s="16">
        <f t="shared" si="85"/>
        <v>-2622.054407072922</v>
      </c>
      <c r="L228" s="16">
        <f t="shared" si="86"/>
        <v>879.41991986634639</v>
      </c>
      <c r="M228" s="16">
        <f t="shared" si="74"/>
        <v>3501.4743269392684</v>
      </c>
      <c r="N228" s="16">
        <f t="shared" si="75"/>
        <v>1816.0828618680853</v>
      </c>
      <c r="O228" s="16">
        <f t="shared" si="76"/>
        <v>3947.9972150161561</v>
      </c>
      <c r="P228" s="16">
        <f t="shared" si="87"/>
        <v>263744.06519645313</v>
      </c>
      <c r="Q228" s="16">
        <f t="shared" si="77"/>
        <v>1098793.2890755311</v>
      </c>
      <c r="R228" s="16">
        <f t="shared" si="78"/>
        <v>1527.0851885633379</v>
      </c>
      <c r="S228" s="16" cm="1">
        <f t="array" ref="S228">Y228*tax_rate</f>
        <v>0</v>
      </c>
      <c r="T228" s="16">
        <f t="shared" si="88"/>
        <v>383208.42873908248</v>
      </c>
      <c r="U228" s="16">
        <f t="shared" si="79"/>
        <v>1482001.7178146136</v>
      </c>
      <c r="V228" s="16"/>
      <c r="W228" s="144">
        <f t="shared" si="89"/>
        <v>0.15908622067597208</v>
      </c>
      <c r="X228" s="144" t="str">
        <f t="shared" si="73"/>
        <v/>
      </c>
      <c r="Y228" s="146"/>
      <c r="Z228" s="139">
        <f t="shared" si="80"/>
        <v>3947.9972150161561</v>
      </c>
      <c r="AA228" s="114">
        <v>201</v>
      </c>
      <c r="AB228" s="46">
        <f t="shared" si="90"/>
        <v>-1654.4479478479877</v>
      </c>
      <c r="AC228" s="47"/>
      <c r="AD228" s="47">
        <f t="shared" si="94"/>
        <v>10857.224469843786</v>
      </c>
      <c r="AE228" s="86"/>
      <c r="AF228" s="140"/>
      <c r="AG228" s="140"/>
      <c r="AH228" s="140">
        <f t="shared" si="81"/>
        <v>1400249.4765582946</v>
      </c>
      <c r="AI228" s="15"/>
      <c r="AJ228" s="9"/>
      <c r="AK228" s="9"/>
    </row>
    <row r="229" spans="2:37" ht="12" hidden="1" customHeight="1" outlineLevel="1" x14ac:dyDescent="0.25">
      <c r="B229" s="143" t="str">
        <f t="shared" si="82"/>
        <v/>
      </c>
      <c r="C229" s="16">
        <f t="shared" si="83"/>
        <v>1369350.041043344</v>
      </c>
      <c r="D229" s="16">
        <f t="shared" si="91"/>
        <v>4827.4171348825021</v>
      </c>
      <c r="E229" s="16">
        <f t="shared" si="92"/>
        <v>-590.42224656159897</v>
      </c>
      <c r="F229" s="16">
        <f t="shared" si="93"/>
        <v>-288.99767330474737</v>
      </c>
      <c r="G229" s="16">
        <f t="shared" si="84"/>
        <v>0</v>
      </c>
      <c r="H229" s="16">
        <v>0</v>
      </c>
      <c r="I229" s="16">
        <v>0</v>
      </c>
      <c r="J229" s="16">
        <v>0</v>
      </c>
      <c r="K229" s="16">
        <f t="shared" si="85"/>
        <v>-2622.054407072922</v>
      </c>
      <c r="L229" s="16">
        <f t="shared" si="86"/>
        <v>879.41991986634639</v>
      </c>
      <c r="M229" s="16">
        <f t="shared" si="74"/>
        <v>3501.4743269392684</v>
      </c>
      <c r="N229" s="16">
        <f t="shared" si="75"/>
        <v>1816.0828618680853</v>
      </c>
      <c r="O229" s="16">
        <f t="shared" si="76"/>
        <v>3947.9972150161561</v>
      </c>
      <c r="P229" s="16">
        <f t="shared" si="87"/>
        <v>262770.41119685804</v>
      </c>
      <c r="Q229" s="16">
        <f t="shared" si="77"/>
        <v>1106579.6298464858</v>
      </c>
      <c r="R229" s="16">
        <f t="shared" si="78"/>
        <v>1527.0851885633379</v>
      </c>
      <c r="S229" s="16" cm="1">
        <f t="array" ref="S229">Y229*tax_rate</f>
        <v>0</v>
      </c>
      <c r="T229" s="16">
        <f t="shared" si="88"/>
        <v>386332.21571405866</v>
      </c>
      <c r="U229" s="16">
        <f t="shared" si="79"/>
        <v>1492911.8455605444</v>
      </c>
      <c r="V229" s="16"/>
      <c r="W229" s="144">
        <f t="shared" si="89"/>
        <v>0.15874419998028899</v>
      </c>
      <c r="X229" s="144" t="str">
        <f t="shared" si="73"/>
        <v/>
      </c>
      <c r="Y229" s="146"/>
      <c r="Z229" s="139">
        <f t="shared" si="80"/>
        <v>3947.9972150161561</v>
      </c>
      <c r="AA229" s="114">
        <v>202</v>
      </c>
      <c r="AB229" s="46">
        <f t="shared" si="90"/>
        <v>-1648.400407477832</v>
      </c>
      <c r="AC229" s="47"/>
      <c r="AD229" s="47">
        <f t="shared" si="94"/>
        <v>10910.127745930804</v>
      </c>
      <c r="AE229" s="86"/>
      <c r="AF229" s="140"/>
      <c r="AG229" s="140"/>
      <c r="AH229" s="140">
        <f t="shared" si="81"/>
        <v>1410750.8430979438</v>
      </c>
      <c r="AI229" s="15"/>
      <c r="AJ229" s="9"/>
      <c r="AK229" s="9"/>
    </row>
    <row r="230" spans="2:37" ht="12" hidden="1" customHeight="1" outlineLevel="1" x14ac:dyDescent="0.25">
      <c r="B230" s="143" t="str">
        <f t="shared" si="82"/>
        <v/>
      </c>
      <c r="C230" s="16">
        <f t="shared" si="83"/>
        <v>1376196.7912485604</v>
      </c>
      <c r="D230" s="16">
        <f t="shared" si="91"/>
        <v>4827.4171348825021</v>
      </c>
      <c r="E230" s="16">
        <f t="shared" si="92"/>
        <v>-590.42224656159897</v>
      </c>
      <c r="F230" s="16">
        <f t="shared" si="93"/>
        <v>-288.99767330474737</v>
      </c>
      <c r="G230" s="16">
        <f t="shared" si="84"/>
        <v>0</v>
      </c>
      <c r="H230" s="16">
        <v>0</v>
      </c>
      <c r="I230" s="16">
        <v>0</v>
      </c>
      <c r="J230" s="16">
        <v>0</v>
      </c>
      <c r="K230" s="16">
        <f t="shared" si="85"/>
        <v>-2622.054407072922</v>
      </c>
      <c r="L230" s="16">
        <f t="shared" si="86"/>
        <v>879.41991986634639</v>
      </c>
      <c r="M230" s="16">
        <f t="shared" si="74"/>
        <v>3501.4743269392684</v>
      </c>
      <c r="N230" s="16">
        <f t="shared" si="75"/>
        <v>1816.0828618680853</v>
      </c>
      <c r="O230" s="16">
        <f t="shared" si="76"/>
        <v>3947.9972150161561</v>
      </c>
      <c r="P230" s="16">
        <f t="shared" si="87"/>
        <v>261790.67185976548</v>
      </c>
      <c r="Q230" s="16">
        <f t="shared" si="77"/>
        <v>1114406.119388795</v>
      </c>
      <c r="R230" s="16">
        <f t="shared" si="78"/>
        <v>1527.0851885633379</v>
      </c>
      <c r="S230" s="16" cm="1">
        <f t="array" ref="S230">Y230*tax_rate</f>
        <v>0</v>
      </c>
      <c r="T230" s="16">
        <f t="shared" si="88"/>
        <v>389469.01846809726</v>
      </c>
      <c r="U230" s="16">
        <f t="shared" si="79"/>
        <v>1503875.1378568923</v>
      </c>
      <c r="V230" s="16"/>
      <c r="W230" s="144">
        <f t="shared" si="89"/>
        <v>0.15840441201058567</v>
      </c>
      <c r="X230" s="144" t="str">
        <f t="shared" si="73"/>
        <v/>
      </c>
      <c r="Y230" s="146"/>
      <c r="Z230" s="139">
        <f t="shared" si="80"/>
        <v>3947.9972150161561</v>
      </c>
      <c r="AA230" s="114">
        <v>203</v>
      </c>
      <c r="AB230" s="46">
        <f t="shared" si="90"/>
        <v>-1642.3150699803625</v>
      </c>
      <c r="AC230" s="47"/>
      <c r="AD230" s="47">
        <f t="shared" si="94"/>
        <v>10963.292296347907</v>
      </c>
      <c r="AE230" s="86"/>
      <c r="AF230" s="140"/>
      <c r="AG230" s="140"/>
      <c r="AH230" s="140">
        <f t="shared" si="81"/>
        <v>1421303.3303819788</v>
      </c>
      <c r="AI230" s="15"/>
      <c r="AJ230" s="9"/>
      <c r="AK230" s="9"/>
    </row>
    <row r="231" spans="2:37" ht="15" customHeight="1" collapsed="1" x14ac:dyDescent="0.25">
      <c r="B231" s="143">
        <f t="shared" si="82"/>
        <v>17</v>
      </c>
      <c r="C231" s="16">
        <f t="shared" si="83"/>
        <v>1383077.7752048031</v>
      </c>
      <c r="D231" s="16">
        <f t="shared" si="91"/>
        <v>4827.4171348825021</v>
      </c>
      <c r="E231" s="16">
        <f t="shared" si="92"/>
        <v>-590.42224656159897</v>
      </c>
      <c r="F231" s="16">
        <f t="shared" si="93"/>
        <v>-288.99767330474737</v>
      </c>
      <c r="G231" s="16">
        <f t="shared" si="84"/>
        <v>0</v>
      </c>
      <c r="H231" s="16">
        <v>0</v>
      </c>
      <c r="I231" s="16">
        <v>0</v>
      </c>
      <c r="J231" s="16">
        <v>0</v>
      </c>
      <c r="K231" s="16">
        <f t="shared" si="85"/>
        <v>-2622.054407072922</v>
      </c>
      <c r="L231" s="16">
        <f t="shared" si="86"/>
        <v>879.41991986634639</v>
      </c>
      <c r="M231" s="16">
        <f t="shared" si="74"/>
        <v>3501.4743269392684</v>
      </c>
      <c r="N231" s="16">
        <f t="shared" si="75"/>
        <v>1816.0828618680853</v>
      </c>
      <c r="O231" s="16">
        <f t="shared" si="76"/>
        <v>3947.9972150161561</v>
      </c>
      <c r="P231" s="16">
        <f t="shared" si="87"/>
        <v>260804.80915181607</v>
      </c>
      <c r="Q231" s="16">
        <f t="shared" si="77"/>
        <v>1122272.9660529871</v>
      </c>
      <c r="R231" s="16">
        <f t="shared" si="78"/>
        <v>1527.0851885633379</v>
      </c>
      <c r="S231" s="16" cm="1">
        <f t="array" ref="S231">Y231*tax_rate</f>
        <v>9165.3568187106393</v>
      </c>
      <c r="T231" s="16">
        <f t="shared" si="88"/>
        <v>401784.24805232161</v>
      </c>
      <c r="U231" s="16">
        <f t="shared" si="79"/>
        <v>1524057.2141053088</v>
      </c>
      <c r="V231" s="16">
        <f>U231-U219</f>
        <v>137896.92486693664</v>
      </c>
      <c r="W231" s="144">
        <f t="shared" si="89"/>
        <v>0.15847781406300776</v>
      </c>
      <c r="X231" s="144">
        <f t="shared" si="73"/>
        <v>9.9481225899714892E-2</v>
      </c>
      <c r="Y231" s="145">
        <f>(((Sale_Price*0.8)+Improvement_Costs+Closing_Costs_Total)/27.5)+(-E231*12)+-AC231</f>
        <v>41660.712812321086</v>
      </c>
      <c r="Z231" s="139">
        <f t="shared" si="80"/>
        <v>3947.9972150161561</v>
      </c>
      <c r="AA231" s="114">
        <v>204</v>
      </c>
      <c r="AB231" s="46">
        <f t="shared" si="90"/>
        <v>-1636.1916991235341</v>
      </c>
      <c r="AC231" s="46">
        <f>SUM(AB220:AB231)</f>
        <v>-20030.191308127356</v>
      </c>
      <c r="AD231" s="47">
        <f t="shared" si="94"/>
        <v>20182.076248416444</v>
      </c>
      <c r="AE231" s="86">
        <f>D231*12</f>
        <v>57929.005618590025</v>
      </c>
      <c r="AF231" s="140"/>
      <c r="AG231" s="140"/>
      <c r="AH231" s="140">
        <f t="shared" si="81"/>
        <v>1441072.5475930206</v>
      </c>
      <c r="AI231" s="15">
        <f>AI219*(1+Comparison_Rate_of_Return)</f>
        <v>631808.78562411817</v>
      </c>
      <c r="AJ231" s="9"/>
      <c r="AK231" s="9"/>
    </row>
    <row r="232" spans="2:37" ht="12" hidden="1" customHeight="1" outlineLevel="1" x14ac:dyDescent="0.25">
      <c r="B232" s="143" t="str">
        <f t="shared" si="82"/>
        <v/>
      </c>
      <c r="C232" s="16">
        <f t="shared" si="83"/>
        <v>1389993.164080827</v>
      </c>
      <c r="D232" s="16">
        <f t="shared" si="91"/>
        <v>4996.3767346033892</v>
      </c>
      <c r="E232" s="16">
        <f t="shared" si="92"/>
        <v>-611.08702519125484</v>
      </c>
      <c r="F232" s="16">
        <f t="shared" si="93"/>
        <v>-299.1125918704135</v>
      </c>
      <c r="G232" s="16">
        <f t="shared" si="84"/>
        <v>0</v>
      </c>
      <c r="H232" s="16">
        <v>0</v>
      </c>
      <c r="I232" s="16">
        <v>0</v>
      </c>
      <c r="J232" s="16">
        <v>0</v>
      </c>
      <c r="K232" s="16">
        <f t="shared" si="85"/>
        <v>-2622.054407072922</v>
      </c>
      <c r="L232" s="16">
        <f t="shared" si="86"/>
        <v>910.19961706166828</v>
      </c>
      <c r="M232" s="16">
        <f t="shared" si="74"/>
        <v>3532.2540241345905</v>
      </c>
      <c r="N232" s="16">
        <f t="shared" si="75"/>
        <v>1971.4176662810205</v>
      </c>
      <c r="O232" s="16">
        <f t="shared" si="76"/>
        <v>4086.1771175417211</v>
      </c>
      <c r="P232" s="16">
        <f t="shared" si="87"/>
        <v>259812.78480194201</v>
      </c>
      <c r="Q232" s="16">
        <f t="shared" si="77"/>
        <v>1130180.379278885</v>
      </c>
      <c r="R232" s="16">
        <f t="shared" si="78"/>
        <v>1672.3050744106069</v>
      </c>
      <c r="S232" s="16" cm="1">
        <f t="array" ref="S232">Y232*tax_rate</f>
        <v>0</v>
      </c>
      <c r="T232" s="16">
        <f t="shared" si="88"/>
        <v>405130.65416028356</v>
      </c>
      <c r="U232" s="16">
        <f t="shared" si="79"/>
        <v>1535311.0334391685</v>
      </c>
      <c r="V232" s="16"/>
      <c r="W232" s="144">
        <f t="shared" si="89"/>
        <v>0.15814544620677812</v>
      </c>
      <c r="X232" s="144" t="str">
        <f t="shared" ref="X232:X295" si="95">IF(V232=0,"",V232/U220)</f>
        <v/>
      </c>
      <c r="Y232" s="146"/>
      <c r="Z232" s="139">
        <f t="shared" si="80"/>
        <v>4086.1771175417211</v>
      </c>
      <c r="AA232" s="114">
        <v>205</v>
      </c>
      <c r="AB232" s="46">
        <f t="shared" si="90"/>
        <v>-1630.0300571988503</v>
      </c>
      <c r="AC232" s="47"/>
      <c r="AD232" s="47">
        <f t="shared" si="94"/>
        <v>11253.819333859719</v>
      </c>
      <c r="AE232" s="86"/>
      <c r="AF232" s="140"/>
      <c r="AG232" s="140"/>
      <c r="AH232" s="140">
        <f t="shared" si="81"/>
        <v>1451911.4435943188</v>
      </c>
      <c r="AI232" s="15"/>
      <c r="AJ232" s="9"/>
      <c r="AK232" s="9"/>
    </row>
    <row r="233" spans="2:37" ht="12" hidden="1" customHeight="1" outlineLevel="1" x14ac:dyDescent="0.25">
      <c r="B233" s="143" t="str">
        <f t="shared" si="82"/>
        <v/>
      </c>
      <c r="C233" s="16">
        <f t="shared" si="83"/>
        <v>1396943.129901231</v>
      </c>
      <c r="D233" s="16">
        <f t="shared" si="91"/>
        <v>4996.3767346033892</v>
      </c>
      <c r="E233" s="16">
        <f t="shared" si="92"/>
        <v>-611.08702519125484</v>
      </c>
      <c r="F233" s="16">
        <f t="shared" si="93"/>
        <v>-299.1125918704135</v>
      </c>
      <c r="G233" s="16">
        <f t="shared" si="84"/>
        <v>0</v>
      </c>
      <c r="H233" s="16">
        <v>0</v>
      </c>
      <c r="I233" s="16">
        <v>0</v>
      </c>
      <c r="J233" s="16">
        <v>0</v>
      </c>
      <c r="K233" s="16">
        <f t="shared" si="85"/>
        <v>-2622.054407072922</v>
      </c>
      <c r="L233" s="16">
        <f t="shared" si="86"/>
        <v>910.19961706166828</v>
      </c>
      <c r="M233" s="16">
        <f t="shared" si="74"/>
        <v>3532.2540241345905</v>
      </c>
      <c r="N233" s="16">
        <f t="shared" si="75"/>
        <v>1971.4176662810205</v>
      </c>
      <c r="O233" s="16">
        <f t="shared" si="76"/>
        <v>4086.1771175417211</v>
      </c>
      <c r="P233" s="16">
        <f t="shared" si="87"/>
        <v>258814.56029988121</v>
      </c>
      <c r="Q233" s="16">
        <f t="shared" si="77"/>
        <v>1138128.5696013498</v>
      </c>
      <c r="R233" s="16">
        <f t="shared" si="78"/>
        <v>1672.3050744106069</v>
      </c>
      <c r="S233" s="16" cm="1">
        <f t="array" ref="S233">Y233*tax_rate</f>
        <v>0</v>
      </c>
      <c r="T233" s="16">
        <f t="shared" si="88"/>
        <v>408491.00362702872</v>
      </c>
      <c r="U233" s="16">
        <f t="shared" si="79"/>
        <v>1546619.5732283785</v>
      </c>
      <c r="V233" s="16"/>
      <c r="W233" s="144">
        <f t="shared" si="89"/>
        <v>0.1578151616407926</v>
      </c>
      <c r="X233" s="144" t="str">
        <f t="shared" si="95"/>
        <v/>
      </c>
      <c r="Y233" s="146"/>
      <c r="Z233" s="139">
        <f t="shared" si="80"/>
        <v>4086.1771175417211</v>
      </c>
      <c r="AA233" s="114">
        <v>206</v>
      </c>
      <c r="AB233" s="46">
        <f t="shared" si="90"/>
        <v>-1623.8299050121375</v>
      </c>
      <c r="AC233" s="47"/>
      <c r="AD233" s="47">
        <f t="shared" si="94"/>
        <v>11308.539789210074</v>
      </c>
      <c r="AE233" s="86"/>
      <c r="AF233" s="140"/>
      <c r="AG233" s="140"/>
      <c r="AH233" s="140">
        <f t="shared" si="81"/>
        <v>1462802.9854343047</v>
      </c>
      <c r="AI233" s="15"/>
      <c r="AJ233" s="9"/>
      <c r="AK233" s="9"/>
    </row>
    <row r="234" spans="2:37" ht="12" hidden="1" customHeight="1" outlineLevel="1" x14ac:dyDescent="0.25">
      <c r="B234" s="143" t="str">
        <f t="shared" si="82"/>
        <v/>
      </c>
      <c r="C234" s="16">
        <f t="shared" si="83"/>
        <v>1403927.8455507371</v>
      </c>
      <c r="D234" s="16">
        <f t="shared" si="91"/>
        <v>4996.3767346033892</v>
      </c>
      <c r="E234" s="16">
        <f t="shared" si="92"/>
        <v>-611.08702519125484</v>
      </c>
      <c r="F234" s="16">
        <f t="shared" si="93"/>
        <v>-299.1125918704135</v>
      </c>
      <c r="G234" s="16">
        <f t="shared" si="84"/>
        <v>0</v>
      </c>
      <c r="H234" s="16">
        <v>0</v>
      </c>
      <c r="I234" s="16">
        <v>0</v>
      </c>
      <c r="J234" s="16">
        <v>0</v>
      </c>
      <c r="K234" s="16">
        <f t="shared" si="85"/>
        <v>-2622.054407072922</v>
      </c>
      <c r="L234" s="16">
        <f t="shared" si="86"/>
        <v>910.19961706166828</v>
      </c>
      <c r="M234" s="16">
        <f t="shared" si="74"/>
        <v>3532.2540241345905</v>
      </c>
      <c r="N234" s="16">
        <f t="shared" si="75"/>
        <v>1971.4176662810205</v>
      </c>
      <c r="O234" s="16">
        <f t="shared" si="76"/>
        <v>4086.1771175417211</v>
      </c>
      <c r="P234" s="16">
        <f t="shared" si="87"/>
        <v>257810.09689468253</v>
      </c>
      <c r="Q234" s="16">
        <f t="shared" si="77"/>
        <v>1146117.7486560545</v>
      </c>
      <c r="R234" s="16">
        <f t="shared" si="78"/>
        <v>1672.3050744106069</v>
      </c>
      <c r="S234" s="16" cm="1">
        <f t="array" ref="S234">Y234*tax_rate</f>
        <v>0</v>
      </c>
      <c r="T234" s="16">
        <f t="shared" si="88"/>
        <v>411865.35454988532</v>
      </c>
      <c r="U234" s="16">
        <f t="shared" si="79"/>
        <v>1557983.1032059398</v>
      </c>
      <c r="V234" s="16"/>
      <c r="W234" s="144">
        <f t="shared" si="89"/>
        <v>0.1574869420318068</v>
      </c>
      <c r="X234" s="144" t="str">
        <f t="shared" si="95"/>
        <v/>
      </c>
      <c r="Y234" s="146"/>
      <c r="Z234" s="139">
        <f t="shared" si="80"/>
        <v>4086.1771175417211</v>
      </c>
      <c r="AA234" s="114">
        <v>207</v>
      </c>
      <c r="AB234" s="46">
        <f t="shared" si="90"/>
        <v>-1617.5910018742572</v>
      </c>
      <c r="AC234" s="47"/>
      <c r="AD234" s="47">
        <f t="shared" si="94"/>
        <v>11363.529977561207</v>
      </c>
      <c r="AE234" s="86"/>
      <c r="AF234" s="140"/>
      <c r="AG234" s="140"/>
      <c r="AH234" s="140">
        <f t="shared" si="81"/>
        <v>1473747.4324728956</v>
      </c>
      <c r="AI234" s="15"/>
      <c r="AJ234" s="9"/>
      <c r="AK234" s="9"/>
    </row>
    <row r="235" spans="2:37" ht="12" hidden="1" customHeight="1" outlineLevel="1" x14ac:dyDescent="0.25">
      <c r="B235" s="143" t="str">
        <f t="shared" si="82"/>
        <v/>
      </c>
      <c r="C235" s="16">
        <f t="shared" si="83"/>
        <v>1410947.4847784906</v>
      </c>
      <c r="D235" s="16">
        <f t="shared" si="91"/>
        <v>4996.3767346033892</v>
      </c>
      <c r="E235" s="16">
        <f t="shared" si="92"/>
        <v>-611.08702519125484</v>
      </c>
      <c r="F235" s="16">
        <f t="shared" si="93"/>
        <v>-299.1125918704135</v>
      </c>
      <c r="G235" s="16">
        <f t="shared" si="84"/>
        <v>0</v>
      </c>
      <c r="H235" s="16">
        <v>0</v>
      </c>
      <c r="I235" s="16">
        <v>0</v>
      </c>
      <c r="J235" s="16">
        <v>0</v>
      </c>
      <c r="K235" s="16">
        <f t="shared" si="85"/>
        <v>-2622.054407072922</v>
      </c>
      <c r="L235" s="16">
        <f t="shared" si="86"/>
        <v>910.19961706166828</v>
      </c>
      <c r="M235" s="16">
        <f t="shared" si="74"/>
        <v>3532.2540241345905</v>
      </c>
      <c r="N235" s="16">
        <f t="shared" si="75"/>
        <v>1971.4176662810205</v>
      </c>
      <c r="O235" s="16">
        <f t="shared" si="76"/>
        <v>4086.1771175417211</v>
      </c>
      <c r="P235" s="16">
        <f t="shared" si="87"/>
        <v>256799.35559320136</v>
      </c>
      <c r="Q235" s="16">
        <f t="shared" si="77"/>
        <v>1154148.1291852891</v>
      </c>
      <c r="R235" s="16">
        <f t="shared" si="78"/>
        <v>1672.3050744106069</v>
      </c>
      <c r="S235" s="16" cm="1">
        <f t="array" ref="S235">Y235*tax_rate</f>
        <v>0</v>
      </c>
      <c r="T235" s="16">
        <f t="shared" si="88"/>
        <v>415253.7652682538</v>
      </c>
      <c r="U235" s="16">
        <f t="shared" si="79"/>
        <v>1569401.894453543</v>
      </c>
      <c r="V235" s="16"/>
      <c r="W235" s="144">
        <f t="shared" si="89"/>
        <v>0.1571607692327307</v>
      </c>
      <c r="X235" s="144" t="str">
        <f t="shared" si="95"/>
        <v/>
      </c>
      <c r="Y235" s="146"/>
      <c r="Z235" s="139">
        <f t="shared" si="80"/>
        <v>4086.1771175417211</v>
      </c>
      <c r="AA235" s="114">
        <v>208</v>
      </c>
      <c r="AB235" s="46">
        <f t="shared" si="90"/>
        <v>-1611.3131055917656</v>
      </c>
      <c r="AC235" s="47"/>
      <c r="AD235" s="47">
        <f t="shared" si="94"/>
        <v>11418.791247603251</v>
      </c>
      <c r="AE235" s="86"/>
      <c r="AF235" s="140"/>
      <c r="AG235" s="140"/>
      <c r="AH235" s="140">
        <f t="shared" si="81"/>
        <v>1484745.0453668335</v>
      </c>
      <c r="AI235" s="15"/>
      <c r="AJ235" s="9"/>
      <c r="AK235" s="9"/>
    </row>
    <row r="236" spans="2:37" ht="12" hidden="1" customHeight="1" outlineLevel="1" x14ac:dyDescent="0.25">
      <c r="B236" s="143" t="str">
        <f t="shared" si="82"/>
        <v/>
      </c>
      <c r="C236" s="16">
        <f t="shared" si="83"/>
        <v>1418002.222202383</v>
      </c>
      <c r="D236" s="16">
        <f t="shared" si="91"/>
        <v>4996.3767346033892</v>
      </c>
      <c r="E236" s="16">
        <f t="shared" si="92"/>
        <v>-611.08702519125484</v>
      </c>
      <c r="F236" s="16">
        <f t="shared" si="93"/>
        <v>-299.1125918704135</v>
      </c>
      <c r="G236" s="16">
        <f t="shared" si="84"/>
        <v>0</v>
      </c>
      <c r="H236" s="16">
        <v>0</v>
      </c>
      <c r="I236" s="16">
        <v>0</v>
      </c>
      <c r="J236" s="16">
        <v>0</v>
      </c>
      <c r="K236" s="16">
        <f t="shared" si="85"/>
        <v>-2622.054407072922</v>
      </c>
      <c r="L236" s="16">
        <f t="shared" si="86"/>
        <v>910.19961706166828</v>
      </c>
      <c r="M236" s="16">
        <f t="shared" si="74"/>
        <v>3532.2540241345905</v>
      </c>
      <c r="N236" s="16">
        <f t="shared" si="75"/>
        <v>1971.4176662810205</v>
      </c>
      <c r="O236" s="16">
        <f t="shared" si="76"/>
        <v>4086.1771175417211</v>
      </c>
      <c r="P236" s="16">
        <f t="shared" si="87"/>
        <v>255782.29715858595</v>
      </c>
      <c r="Q236" s="16">
        <f t="shared" si="77"/>
        <v>1162219.9250437971</v>
      </c>
      <c r="R236" s="16">
        <f t="shared" si="78"/>
        <v>1672.3050744106069</v>
      </c>
      <c r="S236" s="16" cm="1">
        <f t="array" ref="S236">Y236*tax_rate</f>
        <v>0</v>
      </c>
      <c r="T236" s="16">
        <f t="shared" si="88"/>
        <v>418656.29436461546</v>
      </c>
      <c r="U236" s="16">
        <f t="shared" si="79"/>
        <v>1580876.2194084125</v>
      </c>
      <c r="V236" s="16"/>
      <c r="W236" s="144">
        <f t="shared" si="89"/>
        <v>0.15683662528124218</v>
      </c>
      <c r="X236" s="144" t="str">
        <f t="shared" si="95"/>
        <v/>
      </c>
      <c r="Y236" s="146"/>
      <c r="Z236" s="139">
        <f t="shared" si="80"/>
        <v>4086.1771175417211</v>
      </c>
      <c r="AA236" s="114">
        <v>209</v>
      </c>
      <c r="AB236" s="46">
        <f t="shared" si="90"/>
        <v>-1604.9959724575083</v>
      </c>
      <c r="AC236" s="47"/>
      <c r="AD236" s="47">
        <f t="shared" si="94"/>
        <v>11474.324954869458</v>
      </c>
      <c r="AE236" s="86"/>
      <c r="AF236" s="140"/>
      <c r="AG236" s="140"/>
      <c r="AH236" s="140">
        <f t="shared" si="81"/>
        <v>1495796.0860762694</v>
      </c>
      <c r="AI236" s="15"/>
      <c r="AJ236" s="9"/>
      <c r="AK236" s="9"/>
    </row>
    <row r="237" spans="2:37" ht="12" hidden="1" customHeight="1" outlineLevel="1" x14ac:dyDescent="0.25">
      <c r="B237" s="143" t="str">
        <f t="shared" si="82"/>
        <v/>
      </c>
      <c r="C237" s="16">
        <f t="shared" si="83"/>
        <v>1425092.2333133947</v>
      </c>
      <c r="D237" s="16">
        <f t="shared" si="91"/>
        <v>4996.3767346033892</v>
      </c>
      <c r="E237" s="16">
        <f t="shared" si="92"/>
        <v>-611.08702519125484</v>
      </c>
      <c r="F237" s="16">
        <f t="shared" si="93"/>
        <v>-299.1125918704135</v>
      </c>
      <c r="G237" s="16">
        <f t="shared" si="84"/>
        <v>0</v>
      </c>
      <c r="H237" s="16">
        <v>0</v>
      </c>
      <c r="I237" s="16">
        <v>0</v>
      </c>
      <c r="J237" s="16">
        <v>0</v>
      </c>
      <c r="K237" s="16">
        <f t="shared" si="85"/>
        <v>-2622.054407072922</v>
      </c>
      <c r="L237" s="16">
        <f t="shared" si="86"/>
        <v>910.19961706166828</v>
      </c>
      <c r="M237" s="16">
        <f t="shared" si="74"/>
        <v>3532.2540241345905</v>
      </c>
      <c r="N237" s="16">
        <f t="shared" si="75"/>
        <v>1971.4176662810205</v>
      </c>
      <c r="O237" s="16">
        <f t="shared" si="76"/>
        <v>4086.1771175417211</v>
      </c>
      <c r="P237" s="16">
        <f t="shared" si="87"/>
        <v>254758.88210875419</v>
      </c>
      <c r="Q237" s="16">
        <f t="shared" si="77"/>
        <v>1170333.3512046405</v>
      </c>
      <c r="R237" s="16">
        <f t="shared" si="78"/>
        <v>1672.3050744106069</v>
      </c>
      <c r="S237" s="16" cm="1">
        <f t="array" ref="S237">Y237*tax_rate</f>
        <v>0</v>
      </c>
      <c r="T237" s="16">
        <f t="shared" si="88"/>
        <v>422073.00066554529</v>
      </c>
      <c r="U237" s="16">
        <f t="shared" si="79"/>
        <v>1592406.3518701857</v>
      </c>
      <c r="V237" s="16"/>
      <c r="W237" s="144">
        <f t="shared" si="89"/>
        <v>0.1565144923983679</v>
      </c>
      <c r="X237" s="144" t="str">
        <f t="shared" si="95"/>
        <v/>
      </c>
      <c r="Y237" s="146"/>
      <c r="Z237" s="139">
        <f t="shared" si="80"/>
        <v>4086.1771175417211</v>
      </c>
      <c r="AA237" s="114">
        <v>210</v>
      </c>
      <c r="AB237" s="46">
        <f t="shared" si="90"/>
        <v>-1598.6393572411621</v>
      </c>
      <c r="AC237" s="47"/>
      <c r="AD237" s="47">
        <f t="shared" si="94"/>
        <v>11530.132461773232</v>
      </c>
      <c r="AE237" s="86"/>
      <c r="AF237" s="140"/>
      <c r="AG237" s="140"/>
      <c r="AH237" s="140">
        <f t="shared" si="81"/>
        <v>1506900.817871382</v>
      </c>
      <c r="AI237" s="15"/>
      <c r="AJ237" s="9"/>
      <c r="AK237" s="9"/>
    </row>
    <row r="238" spans="2:37" ht="12" hidden="1" customHeight="1" outlineLevel="1" x14ac:dyDescent="0.25">
      <c r="B238" s="143" t="str">
        <f t="shared" si="82"/>
        <v/>
      </c>
      <c r="C238" s="16">
        <f t="shared" si="83"/>
        <v>1432217.6944799616</v>
      </c>
      <c r="D238" s="16">
        <f t="shared" si="91"/>
        <v>4996.3767346033892</v>
      </c>
      <c r="E238" s="16">
        <f t="shared" si="92"/>
        <v>-611.08702519125484</v>
      </c>
      <c r="F238" s="16">
        <f t="shared" si="93"/>
        <v>-299.1125918704135</v>
      </c>
      <c r="G238" s="16">
        <f t="shared" si="84"/>
        <v>0</v>
      </c>
      <c r="H238" s="16">
        <v>0</v>
      </c>
      <c r="I238" s="16">
        <v>0</v>
      </c>
      <c r="J238" s="16">
        <v>0</v>
      </c>
      <c r="K238" s="16">
        <f t="shared" si="85"/>
        <v>-2622.054407072922</v>
      </c>
      <c r="L238" s="16">
        <f t="shared" si="86"/>
        <v>910.19961706166828</v>
      </c>
      <c r="M238" s="16">
        <f t="shared" si="74"/>
        <v>3532.2540241345905</v>
      </c>
      <c r="N238" s="16">
        <f t="shared" si="75"/>
        <v>1971.4176662810205</v>
      </c>
      <c r="O238" s="16">
        <f t="shared" si="76"/>
        <v>4086.1771175417211</v>
      </c>
      <c r="P238" s="16">
        <f t="shared" si="87"/>
        <v>253729.07071486098</v>
      </c>
      <c r="Q238" s="16">
        <f t="shared" si="77"/>
        <v>1178488.6237651007</v>
      </c>
      <c r="R238" s="16">
        <f t="shared" si="78"/>
        <v>1672.3050744106069</v>
      </c>
      <c r="S238" s="16" cm="1">
        <f t="array" ref="S238">Y238*tax_rate</f>
        <v>0</v>
      </c>
      <c r="T238" s="16">
        <f t="shared" si="88"/>
        <v>425503.943242729</v>
      </c>
      <c r="U238" s="16">
        <f t="shared" si="79"/>
        <v>1603992.5670078297</v>
      </c>
      <c r="V238" s="16"/>
      <c r="W238" s="144">
        <f t="shared" si="89"/>
        <v>0.15619435298703793</v>
      </c>
      <c r="X238" s="144" t="str">
        <f t="shared" si="95"/>
        <v/>
      </c>
      <c r="Y238" s="146"/>
      <c r="Z238" s="139">
        <f t="shared" si="80"/>
        <v>4086.1771175417211</v>
      </c>
      <c r="AA238" s="114">
        <v>211</v>
      </c>
      <c r="AB238" s="46">
        <f t="shared" si="90"/>
        <v>-1592.2430131797134</v>
      </c>
      <c r="AC238" s="47"/>
      <c r="AD238" s="47">
        <f t="shared" si="94"/>
        <v>11586.215137643972</v>
      </c>
      <c r="AE238" s="86"/>
      <c r="AF238" s="140"/>
      <c r="AG238" s="140"/>
      <c r="AH238" s="140">
        <f t="shared" si="81"/>
        <v>1518059.505339032</v>
      </c>
      <c r="AI238" s="15"/>
      <c r="AJ238" s="9"/>
      <c r="AK238" s="9"/>
    </row>
    <row r="239" spans="2:37" ht="12" hidden="1" customHeight="1" outlineLevel="1" x14ac:dyDescent="0.25">
      <c r="B239" s="143" t="str">
        <f t="shared" si="82"/>
        <v/>
      </c>
      <c r="C239" s="16">
        <f t="shared" si="83"/>
        <v>1439378.7829523613</v>
      </c>
      <c r="D239" s="16">
        <f t="shared" si="91"/>
        <v>4996.3767346033892</v>
      </c>
      <c r="E239" s="16">
        <f t="shared" si="92"/>
        <v>-611.08702519125484</v>
      </c>
      <c r="F239" s="16">
        <f t="shared" si="93"/>
        <v>-299.1125918704135</v>
      </c>
      <c r="G239" s="16">
        <f t="shared" si="84"/>
        <v>0</v>
      </c>
      <c r="H239" s="16">
        <v>0</v>
      </c>
      <c r="I239" s="16">
        <v>0</v>
      </c>
      <c r="J239" s="16">
        <v>0</v>
      </c>
      <c r="K239" s="16">
        <f t="shared" si="85"/>
        <v>-2622.054407072922</v>
      </c>
      <c r="L239" s="16">
        <f t="shared" si="86"/>
        <v>910.19961706166828</v>
      </c>
      <c r="M239" s="16">
        <f t="shared" si="74"/>
        <v>3532.2540241345905</v>
      </c>
      <c r="N239" s="16">
        <f t="shared" si="75"/>
        <v>1971.4176662810205</v>
      </c>
      <c r="O239" s="16">
        <f t="shared" si="76"/>
        <v>4086.1771175417211</v>
      </c>
      <c r="P239" s="16">
        <f t="shared" si="87"/>
        <v>252692.82299975594</v>
      </c>
      <c r="Q239" s="16">
        <f t="shared" si="77"/>
        <v>1186685.9599526054</v>
      </c>
      <c r="R239" s="16">
        <f t="shared" si="78"/>
        <v>1672.3050744106069</v>
      </c>
      <c r="S239" s="16" cm="1">
        <f t="array" ref="S239">Y239*tax_rate</f>
        <v>0</v>
      </c>
      <c r="T239" s="16">
        <f t="shared" si="88"/>
        <v>428949.18141398433</v>
      </c>
      <c r="U239" s="16">
        <f t="shared" si="79"/>
        <v>1615635.1413665898</v>
      </c>
      <c r="V239" s="16"/>
      <c r="W239" s="144">
        <f t="shared" si="89"/>
        <v>0.15587618963061589</v>
      </c>
      <c r="X239" s="144" t="str">
        <f t="shared" si="95"/>
        <v/>
      </c>
      <c r="Y239" s="146"/>
      <c r="Z239" s="139">
        <f t="shared" si="80"/>
        <v>4086.1771175417211</v>
      </c>
      <c r="AA239" s="114">
        <v>212</v>
      </c>
      <c r="AB239" s="46">
        <f t="shared" si="90"/>
        <v>-1585.8066919678811</v>
      </c>
      <c r="AC239" s="47"/>
      <c r="AD239" s="47">
        <f t="shared" si="94"/>
        <v>11642.574358760146</v>
      </c>
      <c r="AE239" s="86"/>
      <c r="AF239" s="140"/>
      <c r="AG239" s="140"/>
      <c r="AH239" s="140">
        <f t="shared" si="81"/>
        <v>1529272.4143894482</v>
      </c>
      <c r="AI239" s="15"/>
      <c r="AJ239" s="9"/>
      <c r="AK239" s="9"/>
    </row>
    <row r="240" spans="2:37" ht="12" hidden="1" customHeight="1" outlineLevel="1" x14ac:dyDescent="0.25">
      <c r="B240" s="143" t="str">
        <f t="shared" si="82"/>
        <v/>
      </c>
      <c r="C240" s="16">
        <f t="shared" si="83"/>
        <v>1446575.676867123</v>
      </c>
      <c r="D240" s="16">
        <f t="shared" si="91"/>
        <v>4996.3767346033892</v>
      </c>
      <c r="E240" s="16">
        <f t="shared" si="92"/>
        <v>-611.08702519125484</v>
      </c>
      <c r="F240" s="16">
        <f t="shared" si="93"/>
        <v>-299.1125918704135</v>
      </c>
      <c r="G240" s="16">
        <f t="shared" si="84"/>
        <v>0</v>
      </c>
      <c r="H240" s="16">
        <v>0</v>
      </c>
      <c r="I240" s="16">
        <v>0</v>
      </c>
      <c r="J240" s="16">
        <v>0</v>
      </c>
      <c r="K240" s="16">
        <f t="shared" si="85"/>
        <v>-2622.054407072922</v>
      </c>
      <c r="L240" s="16">
        <f t="shared" si="86"/>
        <v>910.19961706166828</v>
      </c>
      <c r="M240" s="16">
        <f t="shared" si="74"/>
        <v>3532.2540241345905</v>
      </c>
      <c r="N240" s="16">
        <f t="shared" si="75"/>
        <v>1971.4176662810205</v>
      </c>
      <c r="O240" s="16">
        <f t="shared" si="76"/>
        <v>4086.1771175417211</v>
      </c>
      <c r="P240" s="16">
        <f t="shared" si="87"/>
        <v>251650.09873643148</v>
      </c>
      <c r="Q240" s="16">
        <f t="shared" si="77"/>
        <v>1194925.5781306915</v>
      </c>
      <c r="R240" s="16">
        <f t="shared" si="78"/>
        <v>1672.3050744106069</v>
      </c>
      <c r="S240" s="16" cm="1">
        <f t="array" ref="S240">Y240*tax_rate</f>
        <v>0</v>
      </c>
      <c r="T240" s="16">
        <f t="shared" si="88"/>
        <v>432408.77474428655</v>
      </c>
      <c r="U240" s="16">
        <f t="shared" si="79"/>
        <v>1627334.352874978</v>
      </c>
      <c r="V240" s="16"/>
      <c r="W240" s="144">
        <f t="shared" si="89"/>
        <v>0.15555998509140725</v>
      </c>
      <c r="X240" s="144" t="str">
        <f t="shared" si="95"/>
        <v/>
      </c>
      <c r="Y240" s="146"/>
      <c r="Z240" s="139">
        <f t="shared" si="80"/>
        <v>4086.1771175417211</v>
      </c>
      <c r="AA240" s="114">
        <v>213</v>
      </c>
      <c r="AB240" s="46">
        <f t="shared" si="90"/>
        <v>-1579.3301437484745</v>
      </c>
      <c r="AC240" s="47"/>
      <c r="AD240" s="47">
        <f t="shared" si="94"/>
        <v>11699.211508388165</v>
      </c>
      <c r="AE240" s="86"/>
      <c r="AF240" s="140"/>
      <c r="AG240" s="140"/>
      <c r="AH240" s="140">
        <f t="shared" si="81"/>
        <v>1540539.8122629507</v>
      </c>
      <c r="AI240" s="15"/>
      <c r="AJ240" s="9"/>
      <c r="AK240" s="9"/>
    </row>
    <row r="241" spans="2:37" ht="12" hidden="1" customHeight="1" outlineLevel="1" x14ac:dyDescent="0.25">
      <c r="B241" s="143" t="str">
        <f t="shared" si="82"/>
        <v/>
      </c>
      <c r="C241" s="16">
        <f t="shared" si="83"/>
        <v>1453808.5552514584</v>
      </c>
      <c r="D241" s="16">
        <f t="shared" si="91"/>
        <v>4996.3767346033892</v>
      </c>
      <c r="E241" s="16">
        <f t="shared" si="92"/>
        <v>-611.08702519125484</v>
      </c>
      <c r="F241" s="16">
        <f t="shared" si="93"/>
        <v>-299.1125918704135</v>
      </c>
      <c r="G241" s="16">
        <f t="shared" si="84"/>
        <v>0</v>
      </c>
      <c r="H241" s="16">
        <v>0</v>
      </c>
      <c r="I241" s="16">
        <v>0</v>
      </c>
      <c r="J241" s="16">
        <v>0</v>
      </c>
      <c r="K241" s="16">
        <f t="shared" si="85"/>
        <v>-2622.054407072922</v>
      </c>
      <c r="L241" s="16">
        <f t="shared" si="86"/>
        <v>910.19961706166828</v>
      </c>
      <c r="M241" s="16">
        <f t="shared" si="74"/>
        <v>3532.2540241345905</v>
      </c>
      <c r="N241" s="16">
        <f t="shared" si="75"/>
        <v>1971.4176662810205</v>
      </c>
      <c r="O241" s="16">
        <f t="shared" si="76"/>
        <v>4086.1771175417211</v>
      </c>
      <c r="P241" s="16">
        <f t="shared" si="87"/>
        <v>250600.85744646125</v>
      </c>
      <c r="Q241" s="16">
        <f t="shared" si="77"/>
        <v>1203207.6978049972</v>
      </c>
      <c r="R241" s="16">
        <f t="shared" si="78"/>
        <v>1672.3050744106069</v>
      </c>
      <c r="S241" s="16" cm="1">
        <f t="array" ref="S241">Y241*tax_rate</f>
        <v>0</v>
      </c>
      <c r="T241" s="16">
        <f t="shared" si="88"/>
        <v>435882.78304679837</v>
      </c>
      <c r="U241" s="16">
        <f t="shared" si="79"/>
        <v>1639090.4808517955</v>
      </c>
      <c r="V241" s="16"/>
      <c r="W241" s="144">
        <f t="shared" si="89"/>
        <v>0.15524572230914627</v>
      </c>
      <c r="X241" s="144" t="str">
        <f t="shared" si="95"/>
        <v/>
      </c>
      <c r="Y241" s="146"/>
      <c r="Z241" s="139">
        <f t="shared" si="80"/>
        <v>4086.1771175417211</v>
      </c>
      <c r="AA241" s="114">
        <v>214</v>
      </c>
      <c r="AB241" s="46">
        <f t="shared" si="90"/>
        <v>-1572.8131171026967</v>
      </c>
      <c r="AC241" s="47"/>
      <c r="AD241" s="47">
        <f t="shared" si="94"/>
        <v>11756.127976817545</v>
      </c>
      <c r="AE241" s="86"/>
      <c r="AF241" s="140"/>
      <c r="AG241" s="140"/>
      <c r="AH241" s="140">
        <f t="shared" si="81"/>
        <v>1551861.9675367081</v>
      </c>
      <c r="AI241" s="15"/>
      <c r="AJ241" s="9"/>
      <c r="AK241" s="9"/>
    </row>
    <row r="242" spans="2:37" ht="12" hidden="1" customHeight="1" outlineLevel="1" x14ac:dyDescent="0.25">
      <c r="B242" s="143" t="str">
        <f t="shared" si="82"/>
        <v/>
      </c>
      <c r="C242" s="16">
        <f t="shared" si="83"/>
        <v>1461077.5980277155</v>
      </c>
      <c r="D242" s="16">
        <f t="shared" si="91"/>
        <v>4996.3767346033892</v>
      </c>
      <c r="E242" s="16">
        <f t="shared" si="92"/>
        <v>-611.08702519125484</v>
      </c>
      <c r="F242" s="16">
        <f t="shared" si="93"/>
        <v>-299.1125918704135</v>
      </c>
      <c r="G242" s="16">
        <f t="shared" si="84"/>
        <v>0</v>
      </c>
      <c r="H242" s="16">
        <v>0</v>
      </c>
      <c r="I242" s="16">
        <v>0</v>
      </c>
      <c r="J242" s="16">
        <v>0</v>
      </c>
      <c r="K242" s="16">
        <f t="shared" si="85"/>
        <v>-2622.054407072922</v>
      </c>
      <c r="L242" s="16">
        <f t="shared" si="86"/>
        <v>910.19961706166828</v>
      </c>
      <c r="M242" s="16">
        <f t="shared" si="74"/>
        <v>3532.2540241345905</v>
      </c>
      <c r="N242" s="16">
        <f t="shared" si="75"/>
        <v>1971.4176662810205</v>
      </c>
      <c r="O242" s="16">
        <f t="shared" si="76"/>
        <v>4086.1771175417211</v>
      </c>
      <c r="P242" s="16">
        <f t="shared" si="87"/>
        <v>249545.05839842869</v>
      </c>
      <c r="Q242" s="16">
        <f t="shared" si="77"/>
        <v>1211532.5396292869</v>
      </c>
      <c r="R242" s="16">
        <f t="shared" si="78"/>
        <v>1672.3050744106069</v>
      </c>
      <c r="S242" s="16" cm="1">
        <f t="array" ref="S242">Y242*tax_rate</f>
        <v>0</v>
      </c>
      <c r="T242" s="16">
        <f t="shared" si="88"/>
        <v>439371.26638390397</v>
      </c>
      <c r="U242" s="16">
        <f t="shared" si="79"/>
        <v>1650903.8060131909</v>
      </c>
      <c r="V242" s="16"/>
      <c r="W242" s="144">
        <f t="shared" si="89"/>
        <v>0.15493338439946763</v>
      </c>
      <c r="X242" s="144" t="str">
        <f t="shared" si="95"/>
        <v/>
      </c>
      <c r="Y242" s="146"/>
      <c r="Z242" s="139">
        <f t="shared" si="80"/>
        <v>4086.1771175417211</v>
      </c>
      <c r="AA242" s="114">
        <v>215</v>
      </c>
      <c r="AB242" s="46">
        <f t="shared" si="90"/>
        <v>-1566.2553590403827</v>
      </c>
      <c r="AC242" s="47"/>
      <c r="AD242" s="47">
        <f t="shared" si="94"/>
        <v>11813.325161395362</v>
      </c>
      <c r="AE242" s="86"/>
      <c r="AF242" s="140"/>
      <c r="AG242" s="140"/>
      <c r="AH242" s="140">
        <f t="shared" si="81"/>
        <v>1563239.150131528</v>
      </c>
      <c r="AI242" s="15"/>
      <c r="AJ242" s="9"/>
      <c r="AK242" s="9"/>
    </row>
    <row r="243" spans="2:37" ht="15" customHeight="1" collapsed="1" x14ac:dyDescent="0.25">
      <c r="B243" s="143">
        <f t="shared" si="82"/>
        <v>18</v>
      </c>
      <c r="C243" s="16">
        <f t="shared" si="83"/>
        <v>1468382.986017854</v>
      </c>
      <c r="D243" s="16">
        <f t="shared" si="91"/>
        <v>4996.3767346033892</v>
      </c>
      <c r="E243" s="16">
        <f t="shared" si="92"/>
        <v>-611.08702519125484</v>
      </c>
      <c r="F243" s="16">
        <f t="shared" si="93"/>
        <v>-299.1125918704135</v>
      </c>
      <c r="G243" s="16">
        <f t="shared" si="84"/>
        <v>0</v>
      </c>
      <c r="H243" s="16">
        <v>0</v>
      </c>
      <c r="I243" s="16">
        <v>0</v>
      </c>
      <c r="J243" s="16">
        <v>0</v>
      </c>
      <c r="K243" s="16">
        <f t="shared" si="85"/>
        <v>-2622.054407072922</v>
      </c>
      <c r="L243" s="16">
        <f t="shared" si="86"/>
        <v>910.19961706166828</v>
      </c>
      <c r="M243" s="16">
        <f t="shared" si="74"/>
        <v>3532.2540241345905</v>
      </c>
      <c r="N243" s="16">
        <f t="shared" si="75"/>
        <v>1971.4176662810205</v>
      </c>
      <c r="O243" s="16">
        <f t="shared" si="76"/>
        <v>4086.1771175417211</v>
      </c>
      <c r="P243" s="16">
        <f t="shared" si="87"/>
        <v>248482.66060634595</v>
      </c>
      <c r="Q243" s="16">
        <f t="shared" si="77"/>
        <v>1219900.3254115081</v>
      </c>
      <c r="R243" s="16">
        <f t="shared" si="78"/>
        <v>1672.3050744106069</v>
      </c>
      <c r="S243" s="16" cm="1">
        <f t="array" ref="S243">Y243*tax_rate</f>
        <v>9024.6207011740134</v>
      </c>
      <c r="T243" s="16">
        <f t="shared" si="88"/>
        <v>451898.90576942154</v>
      </c>
      <c r="U243" s="16">
        <f t="shared" si="79"/>
        <v>1671799.2311809296</v>
      </c>
      <c r="V243" s="16">
        <f>U243-U231</f>
        <v>147742.01707562082</v>
      </c>
      <c r="W243" s="144">
        <f t="shared" si="89"/>
        <v>0.15497021297003813</v>
      </c>
      <c r="X243" s="144">
        <f t="shared" si="95"/>
        <v>9.6939941432810414E-2</v>
      </c>
      <c r="Y243" s="145">
        <f>(((Sale_Price*0.8)+Improvement_Costs+Closing_Costs_Total)/27.5)+(-E243*12)+-AC243</f>
        <v>41021.003187154609</v>
      </c>
      <c r="Z243" s="139">
        <f t="shared" si="80"/>
        <v>4086.1771175417211</v>
      </c>
      <c r="AA243" s="114">
        <v>216</v>
      </c>
      <c r="AB243" s="46">
        <f t="shared" si="90"/>
        <v>-1559.6566149901792</v>
      </c>
      <c r="AC243" s="46">
        <f>SUM(AB232:AB243)</f>
        <v>-19142.504339405008</v>
      </c>
      <c r="AD243" s="47">
        <f t="shared" si="94"/>
        <v>20895.425167738693</v>
      </c>
      <c r="AE243" s="86">
        <f>D243*12</f>
        <v>59956.52081524067</v>
      </c>
      <c r="AF243" s="140"/>
      <c r="AG243" s="140"/>
      <c r="AH243" s="140">
        <f t="shared" si="81"/>
        <v>1583696.2520198585</v>
      </c>
      <c r="AI243" s="15">
        <f>AI231*(1+Comparison_Rate_of_Return)</f>
        <v>694989.66418653005</v>
      </c>
      <c r="AJ243" s="9"/>
      <c r="AK243" s="9"/>
    </row>
    <row r="244" spans="2:37" ht="12" hidden="1" customHeight="1" outlineLevel="1" x14ac:dyDescent="0.25">
      <c r="B244" s="143" t="str">
        <f t="shared" si="82"/>
        <v/>
      </c>
      <c r="C244" s="16">
        <f t="shared" si="83"/>
        <v>1475724.9009479431</v>
      </c>
      <c r="D244" s="16">
        <f t="shared" si="91"/>
        <v>5171.2499203145071</v>
      </c>
      <c r="E244" s="16">
        <f t="shared" si="92"/>
        <v>-632.47507107294871</v>
      </c>
      <c r="F244" s="16">
        <f t="shared" si="93"/>
        <v>-309.58153258587794</v>
      </c>
      <c r="G244" s="16">
        <f t="shared" si="84"/>
        <v>0</v>
      </c>
      <c r="H244" s="16">
        <v>0</v>
      </c>
      <c r="I244" s="16">
        <v>0</v>
      </c>
      <c r="J244" s="16">
        <v>0</v>
      </c>
      <c r="K244" s="16">
        <f t="shared" si="85"/>
        <v>-2622.054407072922</v>
      </c>
      <c r="L244" s="16">
        <f t="shared" si="86"/>
        <v>942.05660365882659</v>
      </c>
      <c r="M244" s="16">
        <f t="shared" si="74"/>
        <v>3564.1110107317486</v>
      </c>
      <c r="N244" s="16">
        <f t="shared" si="75"/>
        <v>2132.1891888484079</v>
      </c>
      <c r="O244" s="16">
        <f t="shared" si="76"/>
        <v>4229.193316655681</v>
      </c>
      <c r="P244" s="16">
        <f t="shared" si="87"/>
        <v>247413.62282806268</v>
      </c>
      <c r="Q244" s="16">
        <f t="shared" si="77"/>
        <v>1228311.2781198805</v>
      </c>
      <c r="R244" s="16">
        <f t="shared" si="78"/>
        <v>1822.6076562625299</v>
      </c>
      <c r="S244" s="16" cm="1">
        <f t="array" ref="S244">Y244*tax_rate</f>
        <v>0</v>
      </c>
      <c r="T244" s="16">
        <f t="shared" si="88"/>
        <v>455604.42553305667</v>
      </c>
      <c r="U244" s="16">
        <f t="shared" si="79"/>
        <v>1683915.7036529372</v>
      </c>
      <c r="V244" s="16"/>
      <c r="W244" s="144">
        <f t="shared" si="89"/>
        <v>0.15466465237341515</v>
      </c>
      <c r="X244" s="144" t="str">
        <f t="shared" si="95"/>
        <v/>
      </c>
      <c r="Y244" s="146"/>
      <c r="Z244" s="139">
        <f t="shared" si="80"/>
        <v>4229.193316655681</v>
      </c>
      <c r="AA244" s="114">
        <v>217</v>
      </c>
      <c r="AB244" s="46">
        <f t="shared" si="90"/>
        <v>-1553.016628789662</v>
      </c>
      <c r="AC244" s="47"/>
      <c r="AD244" s="47">
        <f t="shared" si="94"/>
        <v>12116.472472007619</v>
      </c>
      <c r="AE244" s="86"/>
      <c r="AF244" s="140"/>
      <c r="AG244" s="140"/>
      <c r="AH244" s="140">
        <f t="shared" si="81"/>
        <v>1595372.2095960607</v>
      </c>
      <c r="AI244" s="15"/>
      <c r="AJ244" s="9"/>
      <c r="AK244" s="9"/>
    </row>
    <row r="245" spans="2:37" ht="12" hidden="1" customHeight="1" outlineLevel="1" x14ac:dyDescent="0.25">
      <c r="B245" s="143" t="str">
        <f t="shared" si="82"/>
        <v/>
      </c>
      <c r="C245" s="16">
        <f t="shared" si="83"/>
        <v>1483103.5254526827</v>
      </c>
      <c r="D245" s="16">
        <f t="shared" si="91"/>
        <v>5171.2499203145071</v>
      </c>
      <c r="E245" s="16">
        <f t="shared" si="92"/>
        <v>-632.47507107294871</v>
      </c>
      <c r="F245" s="16">
        <f t="shared" si="93"/>
        <v>-309.58153258587794</v>
      </c>
      <c r="G245" s="16">
        <f t="shared" si="84"/>
        <v>0</v>
      </c>
      <c r="H245" s="16">
        <v>0</v>
      </c>
      <c r="I245" s="16">
        <v>0</v>
      </c>
      <c r="J245" s="16">
        <v>0</v>
      </c>
      <c r="K245" s="16">
        <f t="shared" si="85"/>
        <v>-2622.054407072922</v>
      </c>
      <c r="L245" s="16">
        <f t="shared" si="86"/>
        <v>942.05660365882659</v>
      </c>
      <c r="M245" s="16">
        <f t="shared" si="74"/>
        <v>3564.1110107317486</v>
      </c>
      <c r="N245" s="16">
        <f t="shared" si="75"/>
        <v>2132.1891888484079</v>
      </c>
      <c r="O245" s="16">
        <f t="shared" si="76"/>
        <v>4229.193316655681</v>
      </c>
      <c r="P245" s="16">
        <f t="shared" si="87"/>
        <v>246337.90356366514</v>
      </c>
      <c r="Q245" s="16">
        <f t="shared" si="77"/>
        <v>1236765.6218890175</v>
      </c>
      <c r="R245" s="16">
        <f t="shared" si="78"/>
        <v>1822.6076562625299</v>
      </c>
      <c r="S245" s="16" cm="1">
        <f t="array" ref="S245">Y245*tax_rate</f>
        <v>0</v>
      </c>
      <c r="T245" s="16">
        <f t="shared" si="88"/>
        <v>459325.38496237359</v>
      </c>
      <c r="U245" s="16">
        <f t="shared" si="79"/>
        <v>1696091.0068513912</v>
      </c>
      <c r="V245" s="16"/>
      <c r="W245" s="144">
        <f t="shared" si="89"/>
        <v>0.15436088895309444</v>
      </c>
      <c r="X245" s="144" t="str">
        <f t="shared" si="95"/>
        <v/>
      </c>
      <c r="Y245" s="146"/>
      <c r="Z245" s="139">
        <f t="shared" si="80"/>
        <v>4229.193316655681</v>
      </c>
      <c r="AA245" s="114">
        <v>218</v>
      </c>
      <c r="AB245" s="46">
        <f t="shared" si="90"/>
        <v>-1546.3351426753916</v>
      </c>
      <c r="AC245" s="47"/>
      <c r="AD245" s="47">
        <f t="shared" si="94"/>
        <v>12175.30319845397</v>
      </c>
      <c r="AE245" s="86"/>
      <c r="AF245" s="140"/>
      <c r="AG245" s="140"/>
      <c r="AH245" s="140">
        <f t="shared" si="81"/>
        <v>1607104.7953242301</v>
      </c>
      <c r="AI245" s="15"/>
      <c r="AJ245" s="9"/>
      <c r="AK245" s="9"/>
    </row>
    <row r="246" spans="2:37" ht="12" hidden="1" customHeight="1" outlineLevel="1" x14ac:dyDescent="0.25">
      <c r="B246" s="143" t="str">
        <f t="shared" si="82"/>
        <v/>
      </c>
      <c r="C246" s="16">
        <f t="shared" si="83"/>
        <v>1490519.043079946</v>
      </c>
      <c r="D246" s="16">
        <f t="shared" si="91"/>
        <v>5171.2499203145071</v>
      </c>
      <c r="E246" s="16">
        <f t="shared" si="92"/>
        <v>-632.47507107294871</v>
      </c>
      <c r="F246" s="16">
        <f t="shared" si="93"/>
        <v>-309.58153258587794</v>
      </c>
      <c r="G246" s="16">
        <f t="shared" si="84"/>
        <v>0</v>
      </c>
      <c r="H246" s="16">
        <v>0</v>
      </c>
      <c r="I246" s="16">
        <v>0</v>
      </c>
      <c r="J246" s="16">
        <v>0</v>
      </c>
      <c r="K246" s="16">
        <f t="shared" si="85"/>
        <v>-2622.054407072922</v>
      </c>
      <c r="L246" s="16">
        <f t="shared" si="86"/>
        <v>942.05660365882659</v>
      </c>
      <c r="M246" s="16">
        <f t="shared" si="74"/>
        <v>3564.1110107317486</v>
      </c>
      <c r="N246" s="16">
        <f t="shared" si="75"/>
        <v>2132.1891888484079</v>
      </c>
      <c r="O246" s="16">
        <f t="shared" si="76"/>
        <v>4229.193316655681</v>
      </c>
      <c r="P246" s="16">
        <f t="shared" si="87"/>
        <v>245255.46105386512</v>
      </c>
      <c r="Q246" s="16">
        <f t="shared" si="77"/>
        <v>1245263.5820260809</v>
      </c>
      <c r="R246" s="16">
        <f t="shared" si="78"/>
        <v>1822.6076562625299</v>
      </c>
      <c r="S246" s="16" cm="1">
        <f t="array" ref="S246">Y246*tax_rate</f>
        <v>0</v>
      </c>
      <c r="T246" s="16">
        <f t="shared" si="88"/>
        <v>463061.84838931268</v>
      </c>
      <c r="U246" s="16">
        <f t="shared" si="79"/>
        <v>1708325.4304153936</v>
      </c>
      <c r="V246" s="16"/>
      <c r="W246" s="144">
        <f t="shared" si="89"/>
        <v>0.15405890826243801</v>
      </c>
      <c r="X246" s="144" t="str">
        <f t="shared" si="95"/>
        <v/>
      </c>
      <c r="Y246" s="146"/>
      <c r="Z246" s="139">
        <f t="shared" si="80"/>
        <v>4229.193316655681</v>
      </c>
      <c r="AA246" s="114">
        <v>219</v>
      </c>
      <c r="AB246" s="46">
        <f t="shared" si="90"/>
        <v>-1539.6118972729071</v>
      </c>
      <c r="AC246" s="47"/>
      <c r="AD246" s="47">
        <f t="shared" si="94"/>
        <v>12234.423564002384</v>
      </c>
      <c r="AE246" s="86"/>
      <c r="AF246" s="140"/>
      <c r="AG246" s="140"/>
      <c r="AH246" s="140">
        <f t="shared" si="81"/>
        <v>1618894.2878305968</v>
      </c>
      <c r="AI246" s="15"/>
      <c r="AJ246" s="9"/>
      <c r="AK246" s="9"/>
    </row>
    <row r="247" spans="2:37" ht="12" hidden="1" customHeight="1" outlineLevel="1" x14ac:dyDescent="0.25">
      <c r="B247" s="143" t="str">
        <f t="shared" si="82"/>
        <v/>
      </c>
      <c r="C247" s="16">
        <f t="shared" si="83"/>
        <v>1497971.6382953455</v>
      </c>
      <c r="D247" s="16">
        <f t="shared" si="91"/>
        <v>5171.2499203145071</v>
      </c>
      <c r="E247" s="16">
        <f t="shared" si="92"/>
        <v>-632.47507107294871</v>
      </c>
      <c r="F247" s="16">
        <f t="shared" si="93"/>
        <v>-309.58153258587794</v>
      </c>
      <c r="G247" s="16">
        <f t="shared" si="84"/>
        <v>0</v>
      </c>
      <c r="H247" s="16">
        <v>0</v>
      </c>
      <c r="I247" s="16">
        <v>0</v>
      </c>
      <c r="J247" s="16">
        <v>0</v>
      </c>
      <c r="K247" s="16">
        <f t="shared" si="85"/>
        <v>-2622.054407072922</v>
      </c>
      <c r="L247" s="16">
        <f t="shared" si="86"/>
        <v>942.05660365882659</v>
      </c>
      <c r="M247" s="16">
        <f t="shared" si="74"/>
        <v>3564.1110107317486</v>
      </c>
      <c r="N247" s="16">
        <f t="shared" si="75"/>
        <v>2132.1891888484079</v>
      </c>
      <c r="O247" s="16">
        <f t="shared" si="76"/>
        <v>4229.193316655681</v>
      </c>
      <c r="P247" s="16">
        <f t="shared" si="87"/>
        <v>244166.25327837883</v>
      </c>
      <c r="Q247" s="16">
        <f t="shared" si="77"/>
        <v>1253805.3850169666</v>
      </c>
      <c r="R247" s="16">
        <f t="shared" si="78"/>
        <v>1822.6076562625299</v>
      </c>
      <c r="S247" s="16" cm="1">
        <f t="array" ref="S247">Y247*tax_rate</f>
        <v>0</v>
      </c>
      <c r="T247" s="16">
        <f t="shared" si="88"/>
        <v>466813.88041386398</v>
      </c>
      <c r="U247" s="16">
        <f t="shared" si="79"/>
        <v>1720619.2654308307</v>
      </c>
      <c r="V247" s="16"/>
      <c r="W247" s="144">
        <f t="shared" si="89"/>
        <v>0.15375869597917821</v>
      </c>
      <c r="X247" s="144" t="str">
        <f t="shared" si="95"/>
        <v/>
      </c>
      <c r="Y247" s="146"/>
      <c r="Z247" s="139">
        <f t="shared" si="80"/>
        <v>4229.193316655681</v>
      </c>
      <c r="AA247" s="114">
        <v>220</v>
      </c>
      <c r="AB247" s="46">
        <f t="shared" si="90"/>
        <v>-1532.8466315866569</v>
      </c>
      <c r="AC247" s="47"/>
      <c r="AD247" s="47">
        <f t="shared" si="94"/>
        <v>12293.8350154371</v>
      </c>
      <c r="AE247" s="86"/>
      <c r="AF247" s="140"/>
      <c r="AG247" s="140"/>
      <c r="AH247" s="140">
        <f t="shared" si="81"/>
        <v>1630740.9671331099</v>
      </c>
      <c r="AI247" s="15"/>
      <c r="AJ247" s="9"/>
      <c r="AK247" s="9"/>
    </row>
    <row r="248" spans="2:37" ht="12" hidden="1" customHeight="1" outlineLevel="1" x14ac:dyDescent="0.25">
      <c r="B248" s="143" t="str">
        <f t="shared" si="82"/>
        <v/>
      </c>
      <c r="C248" s="16">
        <f t="shared" si="83"/>
        <v>1505461.4964868221</v>
      </c>
      <c r="D248" s="16">
        <f t="shared" si="91"/>
        <v>5171.2499203145071</v>
      </c>
      <c r="E248" s="16">
        <f t="shared" si="92"/>
        <v>-632.47507107294871</v>
      </c>
      <c r="F248" s="16">
        <f t="shared" si="93"/>
        <v>-309.58153258587794</v>
      </c>
      <c r="G248" s="16">
        <f t="shared" si="84"/>
        <v>0</v>
      </c>
      <c r="H248" s="16">
        <v>0</v>
      </c>
      <c r="I248" s="16">
        <v>0</v>
      </c>
      <c r="J248" s="16">
        <v>0</v>
      </c>
      <c r="K248" s="16">
        <f t="shared" si="85"/>
        <v>-2622.054407072922</v>
      </c>
      <c r="L248" s="16">
        <f t="shared" si="86"/>
        <v>942.05660365882659</v>
      </c>
      <c r="M248" s="16">
        <f t="shared" si="74"/>
        <v>3564.1110107317486</v>
      </c>
      <c r="N248" s="16">
        <f t="shared" si="75"/>
        <v>2132.1891888484079</v>
      </c>
      <c r="O248" s="16">
        <f t="shared" si="76"/>
        <v>4229.193316655681</v>
      </c>
      <c r="P248" s="16">
        <f t="shared" si="87"/>
        <v>243070.23795429576</v>
      </c>
      <c r="Q248" s="16">
        <f t="shared" si="77"/>
        <v>1262391.2585325264</v>
      </c>
      <c r="R248" s="16">
        <f t="shared" si="78"/>
        <v>1822.6076562625299</v>
      </c>
      <c r="S248" s="16" cm="1">
        <f t="array" ref="S248">Y248*tax_rate</f>
        <v>0</v>
      </c>
      <c r="T248" s="16">
        <f t="shared" si="88"/>
        <v>470581.54590518429</v>
      </c>
      <c r="U248" s="16">
        <f t="shared" si="79"/>
        <v>1732972.8044377107</v>
      </c>
      <c r="V248" s="16"/>
      <c r="W248" s="144">
        <f t="shared" si="89"/>
        <v>0.15346023790507041</v>
      </c>
      <c r="X248" s="144" t="str">
        <f t="shared" si="95"/>
        <v/>
      </c>
      <c r="Y248" s="146"/>
      <c r="Z248" s="139">
        <f t="shared" si="80"/>
        <v>4229.193316655681</v>
      </c>
      <c r="AA248" s="114">
        <v>221</v>
      </c>
      <c r="AB248" s="46">
        <f t="shared" si="90"/>
        <v>-1526.0390829898677</v>
      </c>
      <c r="AC248" s="47"/>
      <c r="AD248" s="47">
        <f t="shared" si="94"/>
        <v>12353.539006880019</v>
      </c>
      <c r="AE248" s="86"/>
      <c r="AF248" s="140"/>
      <c r="AG248" s="140"/>
      <c r="AH248" s="140">
        <f t="shared" si="81"/>
        <v>1642645.1146485014</v>
      </c>
      <c r="AI248" s="15"/>
      <c r="AJ248" s="9"/>
      <c r="AK248" s="9"/>
    </row>
    <row r="249" spans="2:37" ht="12" hidden="1" customHeight="1" outlineLevel="1" x14ac:dyDescent="0.25">
      <c r="B249" s="143" t="str">
        <f t="shared" si="82"/>
        <v/>
      </c>
      <c r="C249" s="16">
        <f t="shared" si="83"/>
        <v>1512988.8039692561</v>
      </c>
      <c r="D249" s="16">
        <f t="shared" si="91"/>
        <v>5171.2499203145071</v>
      </c>
      <c r="E249" s="16">
        <f t="shared" si="92"/>
        <v>-632.47507107294871</v>
      </c>
      <c r="F249" s="16">
        <f t="shared" si="93"/>
        <v>-309.58153258587794</v>
      </c>
      <c r="G249" s="16">
        <f t="shared" si="84"/>
        <v>0</v>
      </c>
      <c r="H249" s="16">
        <v>0</v>
      </c>
      <c r="I249" s="16">
        <v>0</v>
      </c>
      <c r="J249" s="16">
        <v>0</v>
      </c>
      <c r="K249" s="16">
        <f t="shared" si="85"/>
        <v>-2622.054407072922</v>
      </c>
      <c r="L249" s="16">
        <f t="shared" si="86"/>
        <v>942.05660365882659</v>
      </c>
      <c r="M249" s="16">
        <f t="shared" si="74"/>
        <v>3564.1110107317486</v>
      </c>
      <c r="N249" s="16">
        <f t="shared" si="75"/>
        <v>2132.1891888484079</v>
      </c>
      <c r="O249" s="16">
        <f t="shared" si="76"/>
        <v>4229.193316655681</v>
      </c>
      <c r="P249" s="16">
        <f t="shared" si="87"/>
        <v>241967.37253443719</v>
      </c>
      <c r="Q249" s="16">
        <f t="shared" si="77"/>
        <v>1271021.431434819</v>
      </c>
      <c r="R249" s="16">
        <f t="shared" si="78"/>
        <v>1822.6076562625299</v>
      </c>
      <c r="S249" s="16" cm="1">
        <f t="array" ref="S249">Y249*tax_rate</f>
        <v>0</v>
      </c>
      <c r="T249" s="16">
        <f t="shared" si="88"/>
        <v>474364.91000271839</v>
      </c>
      <c r="U249" s="16">
        <f t="shared" si="79"/>
        <v>1745386.3414375375</v>
      </c>
      <c r="V249" s="16"/>
      <c r="W249" s="144">
        <f t="shared" si="89"/>
        <v>0.15316351996549951</v>
      </c>
      <c r="X249" s="144" t="str">
        <f t="shared" si="95"/>
        <v/>
      </c>
      <c r="Y249" s="146"/>
      <c r="Z249" s="139">
        <f t="shared" si="80"/>
        <v>4229.193316655681</v>
      </c>
      <c r="AA249" s="114">
        <v>222</v>
      </c>
      <c r="AB249" s="46">
        <f t="shared" si="90"/>
        <v>-1519.1889872143483</v>
      </c>
      <c r="AC249" s="47"/>
      <c r="AD249" s="47">
        <f t="shared" si="94"/>
        <v>12413.536999826785</v>
      </c>
      <c r="AE249" s="86"/>
      <c r="AF249" s="140"/>
      <c r="AG249" s="140"/>
      <c r="AH249" s="140">
        <f t="shared" si="81"/>
        <v>1654607.013199382</v>
      </c>
      <c r="AI249" s="15"/>
      <c r="AJ249" s="9"/>
      <c r="AK249" s="9"/>
    </row>
    <row r="250" spans="2:37" ht="12" hidden="1" customHeight="1" outlineLevel="1" x14ac:dyDescent="0.25">
      <c r="B250" s="143" t="str">
        <f t="shared" si="82"/>
        <v/>
      </c>
      <c r="C250" s="16">
        <f t="shared" si="83"/>
        <v>1520553.7479891023</v>
      </c>
      <c r="D250" s="16">
        <f t="shared" si="91"/>
        <v>5171.2499203145071</v>
      </c>
      <c r="E250" s="16">
        <f t="shared" si="92"/>
        <v>-632.47507107294871</v>
      </c>
      <c r="F250" s="16">
        <f t="shared" si="93"/>
        <v>-309.58153258587794</v>
      </c>
      <c r="G250" s="16">
        <f t="shared" si="84"/>
        <v>0</v>
      </c>
      <c r="H250" s="16">
        <v>0</v>
      </c>
      <c r="I250" s="16">
        <v>0</v>
      </c>
      <c r="J250" s="16">
        <v>0</v>
      </c>
      <c r="K250" s="16">
        <f t="shared" si="85"/>
        <v>-2622.054407072922</v>
      </c>
      <c r="L250" s="16">
        <f t="shared" si="86"/>
        <v>942.05660365882659</v>
      </c>
      <c r="M250" s="16">
        <f t="shared" si="74"/>
        <v>3564.1110107317486</v>
      </c>
      <c r="N250" s="16">
        <f t="shared" si="75"/>
        <v>2132.1891888484079</v>
      </c>
      <c r="O250" s="16">
        <f t="shared" si="76"/>
        <v>4229.193316655681</v>
      </c>
      <c r="P250" s="16">
        <f t="shared" si="87"/>
        <v>240857.61420570451</v>
      </c>
      <c r="Q250" s="16">
        <f t="shared" si="77"/>
        <v>1279696.1337833977</v>
      </c>
      <c r="R250" s="16">
        <f t="shared" si="78"/>
        <v>1822.6076562625299</v>
      </c>
      <c r="S250" s="16" cm="1">
        <f t="array" ref="S250">Y250*tax_rate</f>
        <v>0</v>
      </c>
      <c r="T250" s="16">
        <f t="shared" si="88"/>
        <v>478164.03811732557</v>
      </c>
      <c r="U250" s="16">
        <f t="shared" si="79"/>
        <v>1757860.1719007234</v>
      </c>
      <c r="V250" s="16"/>
      <c r="W250" s="144">
        <f t="shared" si="89"/>
        <v>0.15286852820904415</v>
      </c>
      <c r="X250" s="144" t="str">
        <f t="shared" si="95"/>
        <v/>
      </c>
      <c r="Y250" s="146"/>
      <c r="Z250" s="139">
        <f t="shared" si="80"/>
        <v>4229.193316655681</v>
      </c>
      <c r="AA250" s="114">
        <v>223</v>
      </c>
      <c r="AB250" s="46">
        <f t="shared" si="90"/>
        <v>-1512.2960783402323</v>
      </c>
      <c r="AC250" s="47"/>
      <c r="AD250" s="47">
        <f t="shared" si="94"/>
        <v>12473.830463185906</v>
      </c>
      <c r="AE250" s="86"/>
      <c r="AF250" s="140"/>
      <c r="AG250" s="140"/>
      <c r="AH250" s="140">
        <f t="shared" si="81"/>
        <v>1666626.9470213773</v>
      </c>
      <c r="AI250" s="15"/>
      <c r="AJ250" s="9"/>
      <c r="AK250" s="9"/>
    </row>
    <row r="251" spans="2:37" ht="12" hidden="1" customHeight="1" outlineLevel="1" x14ac:dyDescent="0.25">
      <c r="B251" s="143" t="str">
        <f t="shared" si="82"/>
        <v/>
      </c>
      <c r="C251" s="16">
        <f t="shared" si="83"/>
        <v>1528156.5167290475</v>
      </c>
      <c r="D251" s="16">
        <f t="shared" si="91"/>
        <v>5171.2499203145071</v>
      </c>
      <c r="E251" s="16">
        <f t="shared" si="92"/>
        <v>-632.47507107294871</v>
      </c>
      <c r="F251" s="16">
        <f t="shared" si="93"/>
        <v>-309.58153258587794</v>
      </c>
      <c r="G251" s="16">
        <f t="shared" si="84"/>
        <v>0</v>
      </c>
      <c r="H251" s="16">
        <v>0</v>
      </c>
      <c r="I251" s="16">
        <v>0</v>
      </c>
      <c r="J251" s="16">
        <v>0</v>
      </c>
      <c r="K251" s="16">
        <f t="shared" si="85"/>
        <v>-2622.054407072922</v>
      </c>
      <c r="L251" s="16">
        <f t="shared" si="86"/>
        <v>942.05660365882659</v>
      </c>
      <c r="M251" s="16">
        <f t="shared" si="74"/>
        <v>3564.1110107317486</v>
      </c>
      <c r="N251" s="16">
        <f t="shared" si="75"/>
        <v>2132.1891888484079</v>
      </c>
      <c r="O251" s="16">
        <f t="shared" si="76"/>
        <v>4229.193316655681</v>
      </c>
      <c r="P251" s="16">
        <f t="shared" si="87"/>
        <v>239740.91988741723</v>
      </c>
      <c r="Q251" s="16">
        <f t="shared" si="77"/>
        <v>1288415.5968416303</v>
      </c>
      <c r="R251" s="16">
        <f t="shared" si="78"/>
        <v>1822.6076562625299</v>
      </c>
      <c r="S251" s="16" cm="1">
        <f t="array" ref="S251">Y251*tax_rate</f>
        <v>0</v>
      </c>
      <c r="T251" s="16">
        <f t="shared" si="88"/>
        <v>481978.9959324103</v>
      </c>
      <c r="U251" s="16">
        <f t="shared" si="79"/>
        <v>1770394.5927740405</v>
      </c>
      <c r="V251" s="16"/>
      <c r="W251" s="144">
        <f t="shared" si="89"/>
        <v>0.15257524880700299</v>
      </c>
      <c r="X251" s="144" t="str">
        <f t="shared" si="95"/>
        <v/>
      </c>
      <c r="Y251" s="146"/>
      <c r="Z251" s="139">
        <f t="shared" si="80"/>
        <v>4229.193316655681</v>
      </c>
      <c r="AA251" s="114">
        <v>224</v>
      </c>
      <c r="AB251" s="46">
        <f t="shared" si="90"/>
        <v>-1505.360088785653</v>
      </c>
      <c r="AC251" s="47"/>
      <c r="AD251" s="47">
        <f t="shared" si="94"/>
        <v>12534.420873317169</v>
      </c>
      <c r="AE251" s="86"/>
      <c r="AF251" s="140"/>
      <c r="AG251" s="140"/>
      <c r="AH251" s="140">
        <f t="shared" si="81"/>
        <v>1678705.2017702977</v>
      </c>
      <c r="AI251" s="15"/>
      <c r="AJ251" s="9"/>
      <c r="AK251" s="9"/>
    </row>
    <row r="252" spans="2:37" ht="12" hidden="1" customHeight="1" outlineLevel="1" x14ac:dyDescent="0.25">
      <c r="B252" s="143" t="str">
        <f t="shared" si="82"/>
        <v/>
      </c>
      <c r="C252" s="16">
        <f t="shared" si="83"/>
        <v>1535797.2993126926</v>
      </c>
      <c r="D252" s="16">
        <f t="shared" si="91"/>
        <v>5171.2499203145071</v>
      </c>
      <c r="E252" s="16">
        <f t="shared" si="92"/>
        <v>-632.47507107294871</v>
      </c>
      <c r="F252" s="16">
        <f t="shared" si="93"/>
        <v>-309.58153258587794</v>
      </c>
      <c r="G252" s="16">
        <f t="shared" si="84"/>
        <v>0</v>
      </c>
      <c r="H252" s="16">
        <v>0</v>
      </c>
      <c r="I252" s="16">
        <v>0</v>
      </c>
      <c r="J252" s="16">
        <v>0</v>
      </c>
      <c r="K252" s="16">
        <f t="shared" si="85"/>
        <v>-2622.054407072922</v>
      </c>
      <c r="L252" s="16">
        <f t="shared" si="86"/>
        <v>942.05660365882659</v>
      </c>
      <c r="M252" s="16">
        <f t="shared" si="74"/>
        <v>3564.1110107317486</v>
      </c>
      <c r="N252" s="16">
        <f t="shared" si="75"/>
        <v>2132.1891888484079</v>
      </c>
      <c r="O252" s="16">
        <f t="shared" si="76"/>
        <v>4229.193316655681</v>
      </c>
      <c r="P252" s="16">
        <f t="shared" si="87"/>
        <v>238617.24622964064</v>
      </c>
      <c r="Q252" s="16">
        <f t="shared" si="77"/>
        <v>1297180.0530830519</v>
      </c>
      <c r="R252" s="16">
        <f t="shared" si="78"/>
        <v>1822.6076562625299</v>
      </c>
      <c r="S252" s="16" cm="1">
        <f t="array" ref="S252">Y252*tax_rate</f>
        <v>0</v>
      </c>
      <c r="T252" s="16">
        <f t="shared" si="88"/>
        <v>485809.84940505784</v>
      </c>
      <c r="U252" s="16">
        <f t="shared" si="79"/>
        <v>1782989.9024881097</v>
      </c>
      <c r="V252" s="16"/>
      <c r="W252" s="144">
        <f t="shared" si="89"/>
        <v>0.15228366805288282</v>
      </c>
      <c r="X252" s="144" t="str">
        <f t="shared" si="95"/>
        <v/>
      </c>
      <c r="Y252" s="146"/>
      <c r="Z252" s="139">
        <f t="shared" si="80"/>
        <v>4229.193316655681</v>
      </c>
      <c r="AA252" s="114">
        <v>225</v>
      </c>
      <c r="AB252" s="46">
        <f t="shared" si="90"/>
        <v>-1498.3807492963576</v>
      </c>
      <c r="AC252" s="47"/>
      <c r="AD252" s="47">
        <f t="shared" si="94"/>
        <v>12595.309714069124</v>
      </c>
      <c r="AE252" s="86"/>
      <c r="AF252" s="140"/>
      <c r="AG252" s="140"/>
      <c r="AH252" s="140">
        <f t="shared" si="81"/>
        <v>1690842.0645293482</v>
      </c>
      <c r="AI252" s="15"/>
      <c r="AJ252" s="9"/>
      <c r="AK252" s="9"/>
    </row>
    <row r="253" spans="2:37" ht="12" hidden="1" customHeight="1" outlineLevel="1" x14ac:dyDescent="0.25">
      <c r="B253" s="143" t="str">
        <f t="shared" si="82"/>
        <v/>
      </c>
      <c r="C253" s="16">
        <f t="shared" si="83"/>
        <v>1543476.2858092559</v>
      </c>
      <c r="D253" s="16">
        <f t="shared" si="91"/>
        <v>5171.2499203145071</v>
      </c>
      <c r="E253" s="16">
        <f t="shared" si="92"/>
        <v>-632.47507107294871</v>
      </c>
      <c r="F253" s="16">
        <f t="shared" si="93"/>
        <v>-309.58153258587794</v>
      </c>
      <c r="G253" s="16">
        <f t="shared" si="84"/>
        <v>0</v>
      </c>
      <c r="H253" s="16">
        <v>0</v>
      </c>
      <c r="I253" s="16">
        <v>0</v>
      </c>
      <c r="J253" s="16">
        <v>0</v>
      </c>
      <c r="K253" s="16">
        <f t="shared" si="85"/>
        <v>-2622.054407072922</v>
      </c>
      <c r="L253" s="16">
        <f t="shared" si="86"/>
        <v>942.05660365882659</v>
      </c>
      <c r="M253" s="16">
        <f t="shared" si="74"/>
        <v>3564.1110107317486</v>
      </c>
      <c r="N253" s="16">
        <f t="shared" si="75"/>
        <v>2132.1891888484079</v>
      </c>
      <c r="O253" s="16">
        <f t="shared" si="76"/>
        <v>4229.193316655681</v>
      </c>
      <c r="P253" s="16">
        <f t="shared" si="87"/>
        <v>237486.54961150297</v>
      </c>
      <c r="Q253" s="16">
        <f t="shared" si="77"/>
        <v>1305989.7361977529</v>
      </c>
      <c r="R253" s="16">
        <f t="shared" si="78"/>
        <v>1822.6076562625299</v>
      </c>
      <c r="S253" s="16" cm="1">
        <f t="array" ref="S253">Y253*tax_rate</f>
        <v>0</v>
      </c>
      <c r="T253" s="16">
        <f t="shared" si="88"/>
        <v>489656.66476717475</v>
      </c>
      <c r="U253" s="16">
        <f t="shared" si="79"/>
        <v>1795646.4009649276</v>
      </c>
      <c r="V253" s="16"/>
      <c r="W253" s="144">
        <f t="shared" si="89"/>
        <v>0.15199377236185208</v>
      </c>
      <c r="X253" s="144" t="str">
        <f t="shared" si="95"/>
        <v/>
      </c>
      <c r="Y253" s="146"/>
      <c r="Z253" s="139">
        <f t="shared" si="80"/>
        <v>4229.193316655681</v>
      </c>
      <c r="AA253" s="114">
        <v>226</v>
      </c>
      <c r="AB253" s="46">
        <f t="shared" si="90"/>
        <v>-1491.3577889352537</v>
      </c>
      <c r="AC253" s="47"/>
      <c r="AD253" s="47">
        <f t="shared" si="94"/>
        <v>12656.498476817971</v>
      </c>
      <c r="AE253" s="86"/>
      <c r="AF253" s="140"/>
      <c r="AG253" s="140"/>
      <c r="AH253" s="140">
        <f t="shared" si="81"/>
        <v>1703037.8238163723</v>
      </c>
      <c r="AI253" s="15"/>
      <c r="AJ253" s="9"/>
      <c r="AK253" s="9"/>
    </row>
    <row r="254" spans="2:37" ht="12" hidden="1" customHeight="1" outlineLevel="1" x14ac:dyDescent="0.25">
      <c r="B254" s="143" t="str">
        <f t="shared" si="82"/>
        <v/>
      </c>
      <c r="C254" s="16">
        <f t="shared" si="83"/>
        <v>1551193.6672383021</v>
      </c>
      <c r="D254" s="16">
        <f t="shared" si="91"/>
        <v>5171.2499203145071</v>
      </c>
      <c r="E254" s="16">
        <f t="shared" si="92"/>
        <v>-632.47507107294871</v>
      </c>
      <c r="F254" s="16">
        <f t="shared" si="93"/>
        <v>-309.58153258587794</v>
      </c>
      <c r="G254" s="16">
        <f t="shared" si="84"/>
        <v>0</v>
      </c>
      <c r="H254" s="16">
        <v>0</v>
      </c>
      <c r="I254" s="16">
        <v>0</v>
      </c>
      <c r="J254" s="16">
        <v>0</v>
      </c>
      <c r="K254" s="16">
        <f t="shared" si="85"/>
        <v>-2622.054407072922</v>
      </c>
      <c r="L254" s="16">
        <f t="shared" si="86"/>
        <v>942.05660365882659</v>
      </c>
      <c r="M254" s="16">
        <f t="shared" si="74"/>
        <v>3564.1110107317486</v>
      </c>
      <c r="N254" s="16">
        <f t="shared" si="75"/>
        <v>2132.1891888484079</v>
      </c>
      <c r="O254" s="16">
        <f t="shared" si="76"/>
        <v>4229.193316655681</v>
      </c>
      <c r="P254" s="16">
        <f t="shared" si="87"/>
        <v>236348.78613950193</v>
      </c>
      <c r="Q254" s="16">
        <f t="shared" si="77"/>
        <v>1314844.8810988001</v>
      </c>
      <c r="R254" s="16">
        <f t="shared" si="78"/>
        <v>1822.6076562625299</v>
      </c>
      <c r="S254" s="16" cm="1">
        <f t="array" ref="S254">Y254*tax_rate</f>
        <v>0</v>
      </c>
      <c r="T254" s="16">
        <f t="shared" si="88"/>
        <v>493519.50852663384</v>
      </c>
      <c r="U254" s="16">
        <f t="shared" si="79"/>
        <v>1808364.3896254338</v>
      </c>
      <c r="V254" s="16"/>
      <c r="W254" s="144">
        <f t="shared" si="89"/>
        <v>0.15170554827016303</v>
      </c>
      <c r="X254" s="144" t="str">
        <f t="shared" si="95"/>
        <v/>
      </c>
      <c r="Y254" s="146"/>
      <c r="Z254" s="139">
        <f t="shared" si="80"/>
        <v>4229.193316655681</v>
      </c>
      <c r="AA254" s="114">
        <v>227</v>
      </c>
      <c r="AB254" s="46">
        <f t="shared" si="90"/>
        <v>-1484.2909350718935</v>
      </c>
      <c r="AC254" s="47"/>
      <c r="AD254" s="47">
        <f t="shared" si="94"/>
        <v>12717.988660506206</v>
      </c>
      <c r="AE254" s="86"/>
      <c r="AF254" s="140"/>
      <c r="AG254" s="140"/>
      <c r="AH254" s="140">
        <f t="shared" si="81"/>
        <v>1715292.7695911357</v>
      </c>
      <c r="AI254" s="15"/>
      <c r="AJ254" s="9"/>
      <c r="AK254" s="9"/>
    </row>
    <row r="255" spans="2:37" ht="15" customHeight="1" collapsed="1" x14ac:dyDescent="0.25">
      <c r="B255" s="143">
        <f t="shared" si="82"/>
        <v>19</v>
      </c>
      <c r="C255" s="16">
        <f t="shared" si="83"/>
        <v>1558949.6355744933</v>
      </c>
      <c r="D255" s="16">
        <f t="shared" si="91"/>
        <v>5171.2499203145071</v>
      </c>
      <c r="E255" s="16">
        <f t="shared" si="92"/>
        <v>-632.47507107294871</v>
      </c>
      <c r="F255" s="16">
        <f t="shared" si="93"/>
        <v>-309.58153258587794</v>
      </c>
      <c r="G255" s="16">
        <f t="shared" si="84"/>
        <v>0</v>
      </c>
      <c r="H255" s="16">
        <v>0</v>
      </c>
      <c r="I255" s="16">
        <v>0</v>
      </c>
      <c r="J255" s="16">
        <v>0</v>
      </c>
      <c r="K255" s="16">
        <f t="shared" si="85"/>
        <v>-2622.054407072922</v>
      </c>
      <c r="L255" s="16">
        <f t="shared" si="86"/>
        <v>942.05660365882659</v>
      </c>
      <c r="M255" s="16">
        <f t="shared" si="74"/>
        <v>3564.1110107317486</v>
      </c>
      <c r="N255" s="16">
        <f t="shared" si="75"/>
        <v>2132.1891888484079</v>
      </c>
      <c r="O255" s="16">
        <f t="shared" si="76"/>
        <v>4229.193316655681</v>
      </c>
      <c r="P255" s="16">
        <f t="shared" si="87"/>
        <v>235203.91164580089</v>
      </c>
      <c r="Q255" s="16">
        <f t="shared" si="77"/>
        <v>1323745.7239286925</v>
      </c>
      <c r="R255" s="16">
        <f t="shared" si="78"/>
        <v>1822.6076562625299</v>
      </c>
      <c r="S255" s="16" cm="1">
        <f t="array" ref="S255">Y255*tax_rate</f>
        <v>8870.6330509852087</v>
      </c>
      <c r="T255" s="16">
        <f t="shared" si="88"/>
        <v>506269.08051940921</v>
      </c>
      <c r="U255" s="16">
        <f t="shared" si="79"/>
        <v>1830014.8044481017</v>
      </c>
      <c r="V255" s="16">
        <f>U255-U243</f>
        <v>158215.57326717209</v>
      </c>
      <c r="W255" s="144">
        <f t="shared" si="89"/>
        <v>0.15171348564951778</v>
      </c>
      <c r="X255" s="144">
        <f t="shared" si="95"/>
        <v>9.4637902875102653E-2</v>
      </c>
      <c r="Y255" s="145">
        <f>(((Sale_Price*0.8)+Improvement_Costs+Closing_Costs_Total)/27.5)+(-E255*12)+-AC255</f>
        <v>40321.059322660039</v>
      </c>
      <c r="Z255" s="139">
        <f t="shared" si="80"/>
        <v>4229.193316655681</v>
      </c>
      <c r="AA255" s="114">
        <v>228</v>
      </c>
      <c r="AB255" s="46">
        <f t="shared" si="90"/>
        <v>-1477.1799133718869</v>
      </c>
      <c r="AC255" s="46">
        <f>SUM(AB244:AB255)</f>
        <v>-18185.903924330109</v>
      </c>
      <c r="AD255" s="47">
        <f t="shared" si="94"/>
        <v>21650.414822667837</v>
      </c>
      <c r="AE255" s="86">
        <f>D255*12</f>
        <v>62054.999043774085</v>
      </c>
      <c r="AF255" s="140"/>
      <c r="AG255" s="140"/>
      <c r="AH255" s="140">
        <f t="shared" si="81"/>
        <v>1736477.8263136321</v>
      </c>
      <c r="AI255" s="15">
        <f>AI243*(1+Comparison_Rate_of_Return)</f>
        <v>764488.63060518308</v>
      </c>
      <c r="AJ255" s="9"/>
      <c r="AK255" s="9"/>
    </row>
    <row r="256" spans="2:37" ht="12" hidden="1" customHeight="1" outlineLevel="1" x14ac:dyDescent="0.25">
      <c r="B256" s="143" t="str">
        <f t="shared" si="82"/>
        <v/>
      </c>
      <c r="C256" s="16">
        <f t="shared" si="83"/>
        <v>1566744.3837523656</v>
      </c>
      <c r="D256" s="16">
        <f t="shared" si="91"/>
        <v>5352.2436675255149</v>
      </c>
      <c r="E256" s="16">
        <f t="shared" si="92"/>
        <v>-654.61169856050185</v>
      </c>
      <c r="F256" s="16">
        <f t="shared" si="93"/>
        <v>-320.41688622638367</v>
      </c>
      <c r="G256" s="16">
        <f t="shared" si="84"/>
        <v>0</v>
      </c>
      <c r="H256" s="16">
        <v>0</v>
      </c>
      <c r="I256" s="16">
        <v>0</v>
      </c>
      <c r="J256" s="16">
        <v>0</v>
      </c>
      <c r="K256" s="16">
        <f t="shared" si="85"/>
        <v>-2622.054407072922</v>
      </c>
      <c r="L256" s="16">
        <f t="shared" si="86"/>
        <v>975.02858478688552</v>
      </c>
      <c r="M256" s="16">
        <f t="shared" si="74"/>
        <v>3597.0829918598074</v>
      </c>
      <c r="N256" s="16">
        <f t="shared" si="75"/>
        <v>2298.5877147056544</v>
      </c>
      <c r="O256" s="16">
        <f t="shared" si="76"/>
        <v>4377.2150827386286</v>
      </c>
      <c r="P256" s="16">
        <f t="shared" si="87"/>
        <v>234051.88168651421</v>
      </c>
      <c r="Q256" s="16">
        <f t="shared" si="77"/>
        <v>1332692.5020658514</v>
      </c>
      <c r="R256" s="16">
        <f t="shared" si="78"/>
        <v>1978.1708284792708</v>
      </c>
      <c r="S256" s="16" cm="1">
        <f t="array" ref="S256">Y256*tax_rate</f>
        <v>0</v>
      </c>
      <c r="T256" s="16">
        <f t="shared" si="88"/>
        <v>510356.70585005271</v>
      </c>
      <c r="U256" s="16">
        <f t="shared" si="79"/>
        <v>1843049.207915904</v>
      </c>
      <c r="V256" s="16"/>
      <c r="W256" s="144">
        <f t="shared" si="89"/>
        <v>0.15143146121550444</v>
      </c>
      <c r="X256" s="144" t="str">
        <f t="shared" si="95"/>
        <v/>
      </c>
      <c r="Y256" s="146"/>
      <c r="Z256" s="139">
        <f t="shared" si="80"/>
        <v>4377.2150827386286</v>
      </c>
      <c r="AA256" s="114">
        <v>229</v>
      </c>
      <c r="AB256" s="46">
        <f t="shared" si="90"/>
        <v>-1470.0244477862555</v>
      </c>
      <c r="AC256" s="47"/>
      <c r="AD256" s="47">
        <f t="shared" si="94"/>
        <v>13034.403467802331</v>
      </c>
      <c r="AE256" s="86"/>
      <c r="AF256" s="140"/>
      <c r="AG256" s="140"/>
      <c r="AH256" s="140">
        <f t="shared" si="81"/>
        <v>1749044.5448907621</v>
      </c>
      <c r="AI256" s="15"/>
      <c r="AJ256" s="9"/>
      <c r="AK256" s="9"/>
    </row>
    <row r="257" spans="2:37" ht="12" hidden="1" customHeight="1" outlineLevel="1" x14ac:dyDescent="0.25">
      <c r="B257" s="143" t="str">
        <f t="shared" si="82"/>
        <v/>
      </c>
      <c r="C257" s="16">
        <f t="shared" si="83"/>
        <v>1574578.1056711273</v>
      </c>
      <c r="D257" s="16">
        <f t="shared" si="91"/>
        <v>5352.2436675255149</v>
      </c>
      <c r="E257" s="16">
        <f t="shared" si="92"/>
        <v>-654.61169856050185</v>
      </c>
      <c r="F257" s="16">
        <f t="shared" si="93"/>
        <v>-320.41688622638367</v>
      </c>
      <c r="G257" s="16">
        <f t="shared" si="84"/>
        <v>0</v>
      </c>
      <c r="H257" s="16">
        <v>0</v>
      </c>
      <c r="I257" s="16">
        <v>0</v>
      </c>
      <c r="J257" s="16">
        <v>0</v>
      </c>
      <c r="K257" s="16">
        <f t="shared" si="85"/>
        <v>-2622.054407072922</v>
      </c>
      <c r="L257" s="16">
        <f t="shared" si="86"/>
        <v>975.02858478688552</v>
      </c>
      <c r="M257" s="16">
        <f t="shared" si="74"/>
        <v>3597.0829918598074</v>
      </c>
      <c r="N257" s="16">
        <f t="shared" si="75"/>
        <v>2298.5877147056544</v>
      </c>
      <c r="O257" s="16">
        <f t="shared" si="76"/>
        <v>4377.2150827386286</v>
      </c>
      <c r="P257" s="16">
        <f t="shared" si="87"/>
        <v>232892.65153998201</v>
      </c>
      <c r="Q257" s="16">
        <f t="shared" si="77"/>
        <v>1341685.4541311453</v>
      </c>
      <c r="R257" s="16">
        <f t="shared" si="78"/>
        <v>1978.1708284792708</v>
      </c>
      <c r="S257" s="16" cm="1">
        <f t="array" ref="S257">Y257*tax_rate</f>
        <v>0</v>
      </c>
      <c r="T257" s="16">
        <f t="shared" si="88"/>
        <v>514461.36295290722</v>
      </c>
      <c r="U257" s="16">
        <f t="shared" si="79"/>
        <v>1856146.8170840526</v>
      </c>
      <c r="V257" s="16"/>
      <c r="W257" s="144">
        <f t="shared" si="89"/>
        <v>0.15115099850031527</v>
      </c>
      <c r="X257" s="144" t="str">
        <f t="shared" si="95"/>
        <v/>
      </c>
      <c r="Y257" s="146"/>
      <c r="Z257" s="139">
        <f t="shared" si="80"/>
        <v>4377.2150827386286</v>
      </c>
      <c r="AA257" s="114">
        <v>230</v>
      </c>
      <c r="AB257" s="46">
        <f t="shared" si="90"/>
        <v>-1462.8242605407138</v>
      </c>
      <c r="AC257" s="47"/>
      <c r="AD257" s="47">
        <f t="shared" si="94"/>
        <v>13097.6091681486</v>
      </c>
      <c r="AE257" s="86"/>
      <c r="AF257" s="140"/>
      <c r="AG257" s="140"/>
      <c r="AH257" s="140">
        <f t="shared" si="81"/>
        <v>1761672.1307437851</v>
      </c>
      <c r="AI257" s="15"/>
      <c r="AJ257" s="9"/>
      <c r="AK257" s="9"/>
    </row>
    <row r="258" spans="2:37" ht="12" hidden="1" customHeight="1" outlineLevel="1" x14ac:dyDescent="0.25">
      <c r="B258" s="143" t="str">
        <f t="shared" si="82"/>
        <v/>
      </c>
      <c r="C258" s="16">
        <f t="shared" si="83"/>
        <v>1582450.9961994828</v>
      </c>
      <c r="D258" s="16">
        <f t="shared" si="91"/>
        <v>5352.2436675255149</v>
      </c>
      <c r="E258" s="16">
        <f t="shared" si="92"/>
        <v>-654.61169856050185</v>
      </c>
      <c r="F258" s="16">
        <f t="shared" si="93"/>
        <v>-320.41688622638367</v>
      </c>
      <c r="G258" s="16">
        <f t="shared" si="84"/>
        <v>0</v>
      </c>
      <c r="H258" s="16">
        <v>0</v>
      </c>
      <c r="I258" s="16">
        <v>0</v>
      </c>
      <c r="J258" s="16">
        <v>0</v>
      </c>
      <c r="K258" s="16">
        <f t="shared" si="85"/>
        <v>-2622.054407072922</v>
      </c>
      <c r="L258" s="16">
        <f t="shared" si="86"/>
        <v>975.02858478688552</v>
      </c>
      <c r="M258" s="16">
        <f t="shared" si="74"/>
        <v>3597.0829918598074</v>
      </c>
      <c r="N258" s="16">
        <f t="shared" si="75"/>
        <v>2298.5877147056544</v>
      </c>
      <c r="O258" s="16">
        <f t="shared" si="76"/>
        <v>4377.2150827386286</v>
      </c>
      <c r="P258" s="16">
        <f t="shared" si="87"/>
        <v>231726.17620503396</v>
      </c>
      <c r="Q258" s="16">
        <f t="shared" si="77"/>
        <v>1350724.8199944489</v>
      </c>
      <c r="R258" s="16">
        <f t="shared" si="78"/>
        <v>1978.1708284792708</v>
      </c>
      <c r="S258" s="16" cm="1">
        <f t="array" ref="S258">Y258*tax_rate</f>
        <v>0</v>
      </c>
      <c r="T258" s="16">
        <f t="shared" si="88"/>
        <v>518583.1227936903</v>
      </c>
      <c r="U258" s="16">
        <f t="shared" si="79"/>
        <v>1869307.9427881392</v>
      </c>
      <c r="V258" s="16"/>
      <c r="W258" s="144">
        <f t="shared" si="89"/>
        <v>0.15087208601388233</v>
      </c>
      <c r="X258" s="144" t="str">
        <f t="shared" si="95"/>
        <v/>
      </c>
      <c r="Y258" s="146"/>
      <c r="Z258" s="139">
        <f t="shared" si="80"/>
        <v>4377.2150827386286</v>
      </c>
      <c r="AA258" s="114">
        <v>231</v>
      </c>
      <c r="AB258" s="46">
        <f t="shared" si="90"/>
        <v>-1455.5790721248875</v>
      </c>
      <c r="AC258" s="47"/>
      <c r="AD258" s="47">
        <f t="shared" si="94"/>
        <v>13161.125704086618</v>
      </c>
      <c r="AE258" s="86"/>
      <c r="AF258" s="140"/>
      <c r="AG258" s="140"/>
      <c r="AH258" s="140">
        <f t="shared" si="81"/>
        <v>1774360.8830161702</v>
      </c>
      <c r="AI258" s="15"/>
      <c r="AJ258" s="9"/>
      <c r="AK258" s="9"/>
    </row>
    <row r="259" spans="2:37" ht="12" hidden="1" customHeight="1" outlineLevel="1" x14ac:dyDescent="0.25">
      <c r="B259" s="143" t="str">
        <f t="shared" si="82"/>
        <v/>
      </c>
      <c r="C259" s="16">
        <f t="shared" si="83"/>
        <v>1590363.25118048</v>
      </c>
      <c r="D259" s="16">
        <f t="shared" si="91"/>
        <v>5352.2436675255149</v>
      </c>
      <c r="E259" s="16">
        <f t="shared" si="92"/>
        <v>-654.61169856050185</v>
      </c>
      <c r="F259" s="16">
        <f t="shared" si="93"/>
        <v>-320.41688622638367</v>
      </c>
      <c r="G259" s="16">
        <f t="shared" si="84"/>
        <v>0</v>
      </c>
      <c r="H259" s="16">
        <v>0</v>
      </c>
      <c r="I259" s="16">
        <v>0</v>
      </c>
      <c r="J259" s="16">
        <v>0</v>
      </c>
      <c r="K259" s="16">
        <f t="shared" si="85"/>
        <v>-2622.054407072922</v>
      </c>
      <c r="L259" s="16">
        <f t="shared" si="86"/>
        <v>975.02858478688552</v>
      </c>
      <c r="M259" s="16">
        <f t="shared" si="74"/>
        <v>3597.0829918598074</v>
      </c>
      <c r="N259" s="16">
        <f t="shared" si="75"/>
        <v>2298.5877147056544</v>
      </c>
      <c r="O259" s="16">
        <f t="shared" si="76"/>
        <v>4377.2150827386286</v>
      </c>
      <c r="P259" s="16">
        <f t="shared" si="87"/>
        <v>230552.41039924248</v>
      </c>
      <c r="Q259" s="16">
        <f t="shared" si="77"/>
        <v>1359810.8407812375</v>
      </c>
      <c r="R259" s="16">
        <f t="shared" si="78"/>
        <v>1978.1708284792708</v>
      </c>
      <c r="S259" s="16" cm="1">
        <f t="array" ref="S259">Y259*tax_rate</f>
        <v>0</v>
      </c>
      <c r="T259" s="16">
        <f t="shared" si="88"/>
        <v>522722.05663380993</v>
      </c>
      <c r="U259" s="16">
        <f t="shared" si="79"/>
        <v>1882532.8974150475</v>
      </c>
      <c r="V259" s="16"/>
      <c r="W259" s="144">
        <f t="shared" si="89"/>
        <v>0.15059471234826352</v>
      </c>
      <c r="X259" s="144" t="str">
        <f t="shared" si="95"/>
        <v/>
      </c>
      <c r="Y259" s="146"/>
      <c r="Z259" s="139">
        <f t="shared" si="80"/>
        <v>4377.2150827386286</v>
      </c>
      <c r="AA259" s="114">
        <v>232</v>
      </c>
      <c r="AB259" s="46">
        <f t="shared" si="90"/>
        <v>-1448.2886012814622</v>
      </c>
      <c r="AC259" s="47"/>
      <c r="AD259" s="47">
        <f t="shared" si="94"/>
        <v>13224.954626908293</v>
      </c>
      <c r="AE259" s="86"/>
      <c r="AF259" s="140"/>
      <c r="AG259" s="140"/>
      <c r="AH259" s="140">
        <f t="shared" si="81"/>
        <v>1787111.1023442186</v>
      </c>
      <c r="AI259" s="15"/>
      <c r="AJ259" s="9"/>
      <c r="AK259" s="9"/>
    </row>
    <row r="260" spans="2:37" ht="12" hidden="1" customHeight="1" outlineLevel="1" x14ac:dyDescent="0.25">
      <c r="B260" s="143" t="str">
        <f t="shared" si="82"/>
        <v/>
      </c>
      <c r="C260" s="16">
        <f t="shared" si="83"/>
        <v>1598315.0674363822</v>
      </c>
      <c r="D260" s="16">
        <f t="shared" si="91"/>
        <v>5352.2436675255149</v>
      </c>
      <c r="E260" s="16">
        <f t="shared" si="92"/>
        <v>-654.61169856050185</v>
      </c>
      <c r="F260" s="16">
        <f t="shared" si="93"/>
        <v>-320.41688622638367</v>
      </c>
      <c r="G260" s="16">
        <f t="shared" si="84"/>
        <v>0</v>
      </c>
      <c r="H260" s="16">
        <v>0</v>
      </c>
      <c r="I260" s="16">
        <v>0</v>
      </c>
      <c r="J260" s="16">
        <v>0</v>
      </c>
      <c r="K260" s="16">
        <f t="shared" si="85"/>
        <v>-2622.054407072922</v>
      </c>
      <c r="L260" s="16">
        <f t="shared" si="86"/>
        <v>975.02858478688552</v>
      </c>
      <c r="M260" s="16">
        <f t="shared" si="74"/>
        <v>3597.0829918598074</v>
      </c>
      <c r="N260" s="16">
        <f t="shared" si="75"/>
        <v>2298.5877147056544</v>
      </c>
      <c r="O260" s="16">
        <f t="shared" si="76"/>
        <v>4377.2150827386286</v>
      </c>
      <c r="P260" s="16">
        <f t="shared" si="87"/>
        <v>229371.30855716483</v>
      </c>
      <c r="Q260" s="16">
        <f t="shared" si="77"/>
        <v>1368943.7588792173</v>
      </c>
      <c r="R260" s="16">
        <f t="shared" si="78"/>
        <v>1978.1708284792708</v>
      </c>
      <c r="S260" s="16" cm="1">
        <f t="array" ref="S260">Y260*tax_rate</f>
        <v>0</v>
      </c>
      <c r="T260" s="16">
        <f t="shared" si="88"/>
        <v>526878.23603159667</v>
      </c>
      <c r="U260" s="16">
        <f t="shared" si="79"/>
        <v>1895821.9949108139</v>
      </c>
      <c r="V260" s="16"/>
      <c r="W260" s="144">
        <f t="shared" si="89"/>
        <v>0.15031886617788603</v>
      </c>
      <c r="X260" s="144" t="str">
        <f t="shared" si="95"/>
        <v/>
      </c>
      <c r="Y260" s="146"/>
      <c r="Z260" s="139">
        <f t="shared" si="80"/>
        <v>4377.2150827386286</v>
      </c>
      <c r="AA260" s="114">
        <v>233</v>
      </c>
      <c r="AB260" s="46">
        <f t="shared" si="90"/>
        <v>-1440.9525649952654</v>
      </c>
      <c r="AC260" s="47"/>
      <c r="AD260" s="47">
        <f t="shared" si="94"/>
        <v>13289.097495766357</v>
      </c>
      <c r="AE260" s="86"/>
      <c r="AF260" s="140"/>
      <c r="AG260" s="140"/>
      <c r="AH260" s="140">
        <f t="shared" si="81"/>
        <v>1799923.0908646309</v>
      </c>
      <c r="AI260" s="15"/>
      <c r="AJ260" s="9"/>
      <c r="AK260" s="9"/>
    </row>
    <row r="261" spans="2:37" ht="12" hidden="1" customHeight="1" outlineLevel="1" x14ac:dyDescent="0.25">
      <c r="B261" s="143" t="str">
        <f t="shared" si="82"/>
        <v/>
      </c>
      <c r="C261" s="16">
        <f t="shared" si="83"/>
        <v>1606306.642773564</v>
      </c>
      <c r="D261" s="16">
        <f t="shared" si="91"/>
        <v>5352.2436675255149</v>
      </c>
      <c r="E261" s="16">
        <f t="shared" si="92"/>
        <v>-654.61169856050185</v>
      </c>
      <c r="F261" s="16">
        <f t="shared" si="93"/>
        <v>-320.41688622638367</v>
      </c>
      <c r="G261" s="16">
        <f t="shared" si="84"/>
        <v>0</v>
      </c>
      <c r="H261" s="16">
        <v>0</v>
      </c>
      <c r="I261" s="16">
        <v>0</v>
      </c>
      <c r="J261" s="16">
        <v>0</v>
      </c>
      <c r="K261" s="16">
        <f t="shared" si="85"/>
        <v>-2622.054407072922</v>
      </c>
      <c r="L261" s="16">
        <f t="shared" si="86"/>
        <v>975.02858478688552</v>
      </c>
      <c r="M261" s="16">
        <f t="shared" si="74"/>
        <v>3597.0829918598074</v>
      </c>
      <c r="N261" s="16">
        <f t="shared" si="75"/>
        <v>2298.5877147056544</v>
      </c>
      <c r="O261" s="16">
        <f t="shared" si="76"/>
        <v>4377.2150827386286</v>
      </c>
      <c r="P261" s="16">
        <f t="shared" si="87"/>
        <v>228182.82482857417</v>
      </c>
      <c r="Q261" s="16">
        <f t="shared" si="77"/>
        <v>1378123.8179449898</v>
      </c>
      <c r="R261" s="16">
        <f t="shared" si="78"/>
        <v>1978.1708284792708</v>
      </c>
      <c r="S261" s="16" cm="1">
        <f t="array" ref="S261">Y261*tax_rate</f>
        <v>0</v>
      </c>
      <c r="T261" s="16">
        <f t="shared" si="88"/>
        <v>531051.73284354084</v>
      </c>
      <c r="U261" s="16">
        <f t="shared" si="79"/>
        <v>1909175.5507885306</v>
      </c>
      <c r="V261" s="16"/>
      <c r="W261" s="144">
        <f t="shared" si="89"/>
        <v>0.15004453625973777</v>
      </c>
      <c r="X261" s="144" t="str">
        <f t="shared" si="95"/>
        <v/>
      </c>
      <c r="Y261" s="146"/>
      <c r="Z261" s="139">
        <f t="shared" si="80"/>
        <v>4377.2150827386286</v>
      </c>
      <c r="AA261" s="114">
        <v>234</v>
      </c>
      <c r="AB261" s="46">
        <f t="shared" si="90"/>
        <v>-1433.5706784822801</v>
      </c>
      <c r="AC261" s="47"/>
      <c r="AD261" s="47">
        <f t="shared" si="94"/>
        <v>13353.555877716746</v>
      </c>
      <c r="AE261" s="86"/>
      <c r="AF261" s="140"/>
      <c r="AG261" s="140"/>
      <c r="AH261" s="140">
        <f t="shared" si="81"/>
        <v>1812797.1522221167</v>
      </c>
      <c r="AI261" s="15"/>
      <c r="AJ261" s="9"/>
      <c r="AK261" s="9"/>
    </row>
    <row r="262" spans="2:37" ht="12" hidden="1" customHeight="1" outlineLevel="1" x14ac:dyDescent="0.25">
      <c r="B262" s="143" t="str">
        <f t="shared" si="82"/>
        <v/>
      </c>
      <c r="C262" s="16">
        <f t="shared" si="83"/>
        <v>1614338.1759874315</v>
      </c>
      <c r="D262" s="16">
        <f t="shared" si="91"/>
        <v>5352.2436675255149</v>
      </c>
      <c r="E262" s="16">
        <f t="shared" si="92"/>
        <v>-654.61169856050185</v>
      </c>
      <c r="F262" s="16">
        <f t="shared" si="93"/>
        <v>-320.41688622638367</v>
      </c>
      <c r="G262" s="16">
        <f t="shared" si="84"/>
        <v>0</v>
      </c>
      <c r="H262" s="16">
        <v>0</v>
      </c>
      <c r="I262" s="16">
        <v>0</v>
      </c>
      <c r="J262" s="16">
        <v>0</v>
      </c>
      <c r="K262" s="16">
        <f t="shared" si="85"/>
        <v>-2622.054407072922</v>
      </c>
      <c r="L262" s="16">
        <f t="shared" si="86"/>
        <v>975.02858478688552</v>
      </c>
      <c r="M262" s="16">
        <f t="shared" si="74"/>
        <v>3597.0829918598074</v>
      </c>
      <c r="N262" s="16">
        <f t="shared" si="75"/>
        <v>2298.5877147056544</v>
      </c>
      <c r="O262" s="16">
        <f t="shared" si="76"/>
        <v>4377.2150827386286</v>
      </c>
      <c r="P262" s="16">
        <f t="shared" si="87"/>
        <v>226986.91307667983</v>
      </c>
      <c r="Q262" s="16">
        <f t="shared" si="77"/>
        <v>1387351.2629107516</v>
      </c>
      <c r="R262" s="16">
        <f t="shared" si="78"/>
        <v>1978.1708284792708</v>
      </c>
      <c r="S262" s="16" cm="1">
        <f t="array" ref="S262">Y262*tax_rate</f>
        <v>0</v>
      </c>
      <c r="T262" s="16">
        <f t="shared" si="88"/>
        <v>535242.61922553484</v>
      </c>
      <c r="U262" s="16">
        <f t="shared" si="79"/>
        <v>1922593.8821362865</v>
      </c>
      <c r="V262" s="16"/>
      <c r="W262" s="144">
        <f t="shared" si="89"/>
        <v>0.14977171143351389</v>
      </c>
      <c r="X262" s="144" t="str">
        <f t="shared" si="95"/>
        <v/>
      </c>
      <c r="Y262" s="146"/>
      <c r="Z262" s="139">
        <f t="shared" si="80"/>
        <v>4377.2150827386286</v>
      </c>
      <c r="AA262" s="114">
        <v>235</v>
      </c>
      <c r="AB262" s="46">
        <f t="shared" si="90"/>
        <v>-1426.1426551785885</v>
      </c>
      <c r="AC262" s="47"/>
      <c r="AD262" s="47">
        <f t="shared" si="94"/>
        <v>13418.331347755855</v>
      </c>
      <c r="AE262" s="86"/>
      <c r="AF262" s="140"/>
      <c r="AG262" s="140"/>
      <c r="AH262" s="140">
        <f t="shared" si="81"/>
        <v>1825733.5915770405</v>
      </c>
      <c r="AI262" s="15"/>
      <c r="AJ262" s="9"/>
      <c r="AK262" s="9"/>
    </row>
    <row r="263" spans="2:37" ht="12" hidden="1" customHeight="1" outlineLevel="1" x14ac:dyDescent="0.25">
      <c r="B263" s="143" t="str">
        <f t="shared" si="82"/>
        <v/>
      </c>
      <c r="C263" s="16">
        <f t="shared" si="83"/>
        <v>1622409.8668673686</v>
      </c>
      <c r="D263" s="16">
        <f t="shared" si="91"/>
        <v>5352.2436675255149</v>
      </c>
      <c r="E263" s="16">
        <f t="shared" si="92"/>
        <v>-654.61169856050185</v>
      </c>
      <c r="F263" s="16">
        <f t="shared" si="93"/>
        <v>-320.41688622638367</v>
      </c>
      <c r="G263" s="16">
        <f t="shared" si="84"/>
        <v>0</v>
      </c>
      <c r="H263" s="16">
        <v>0</v>
      </c>
      <c r="I263" s="16">
        <v>0</v>
      </c>
      <c r="J263" s="16">
        <v>0</v>
      </c>
      <c r="K263" s="16">
        <f t="shared" si="85"/>
        <v>-2622.054407072922</v>
      </c>
      <c r="L263" s="16">
        <f t="shared" si="86"/>
        <v>975.02858478688552</v>
      </c>
      <c r="M263" s="16">
        <f t="shared" si="74"/>
        <v>3597.0829918598074</v>
      </c>
      <c r="N263" s="16">
        <f t="shared" si="75"/>
        <v>2298.5877147056544</v>
      </c>
      <c r="O263" s="16">
        <f t="shared" si="76"/>
        <v>4377.2150827386286</v>
      </c>
      <c r="P263" s="16">
        <f t="shared" si="87"/>
        <v>225783.52687633614</v>
      </c>
      <c r="Q263" s="16">
        <f t="shared" si="77"/>
        <v>1396626.3399910324</v>
      </c>
      <c r="R263" s="16">
        <f t="shared" si="78"/>
        <v>1978.1708284792708</v>
      </c>
      <c r="S263" s="16" cm="1">
        <f t="array" ref="S263">Y263*tax_rate</f>
        <v>0</v>
      </c>
      <c r="T263" s="16">
        <f t="shared" si="88"/>
        <v>539450.96763412049</v>
      </c>
      <c r="U263" s="16">
        <f t="shared" si="79"/>
        <v>1936077.3076251529</v>
      </c>
      <c r="V263" s="16"/>
      <c r="W263" s="144">
        <f t="shared" si="89"/>
        <v>0.14950038062171903</v>
      </c>
      <c r="X263" s="144" t="str">
        <f t="shared" si="95"/>
        <v/>
      </c>
      <c r="Y263" s="146"/>
      <c r="Z263" s="139">
        <f t="shared" si="80"/>
        <v>4377.2150827386286</v>
      </c>
      <c r="AA263" s="114">
        <v>236</v>
      </c>
      <c r="AB263" s="46">
        <f t="shared" si="90"/>
        <v>-1418.6682067292488</v>
      </c>
      <c r="AC263" s="47"/>
      <c r="AD263" s="47">
        <f t="shared" si="94"/>
        <v>13483.4254888664</v>
      </c>
      <c r="AE263" s="86"/>
      <c r="AF263" s="140"/>
      <c r="AG263" s="140"/>
      <c r="AH263" s="140">
        <f t="shared" si="81"/>
        <v>1838732.7156131107</v>
      </c>
      <c r="AI263" s="15"/>
      <c r="AJ263" s="9"/>
      <c r="AK263" s="9"/>
    </row>
    <row r="264" spans="2:37" ht="12" hidden="1" customHeight="1" outlineLevel="1" x14ac:dyDescent="0.25">
      <c r="B264" s="143" t="str">
        <f t="shared" si="82"/>
        <v/>
      </c>
      <c r="C264" s="16">
        <f t="shared" si="83"/>
        <v>1630521.9162017053</v>
      </c>
      <c r="D264" s="16">
        <f t="shared" si="91"/>
        <v>5352.2436675255149</v>
      </c>
      <c r="E264" s="16">
        <f t="shared" si="92"/>
        <v>-654.61169856050185</v>
      </c>
      <c r="F264" s="16">
        <f t="shared" si="93"/>
        <v>-320.41688622638367</v>
      </c>
      <c r="G264" s="16">
        <f t="shared" si="84"/>
        <v>0</v>
      </c>
      <c r="H264" s="16">
        <v>0</v>
      </c>
      <c r="I264" s="16">
        <v>0</v>
      </c>
      <c r="J264" s="16">
        <v>0</v>
      </c>
      <c r="K264" s="16">
        <f t="shared" si="85"/>
        <v>-2622.054407072922</v>
      </c>
      <c r="L264" s="16">
        <f t="shared" si="86"/>
        <v>975.02858478688552</v>
      </c>
      <c r="M264" s="16">
        <f t="shared" si="74"/>
        <v>3597.0829918598074</v>
      </c>
      <c r="N264" s="16">
        <f t="shared" si="75"/>
        <v>2298.5877147056544</v>
      </c>
      <c r="O264" s="16">
        <f t="shared" si="76"/>
        <v>4377.2150827386286</v>
      </c>
      <c r="P264" s="16">
        <f t="shared" si="87"/>
        <v>224572.61951224032</v>
      </c>
      <c r="Q264" s="16">
        <f t="shared" si="77"/>
        <v>1405949.2966894649</v>
      </c>
      <c r="R264" s="16">
        <f t="shared" si="78"/>
        <v>1978.1708284792708</v>
      </c>
      <c r="S264" s="16" cm="1">
        <f t="array" ref="S264">Y264*tax_rate</f>
        <v>0</v>
      </c>
      <c r="T264" s="16">
        <f t="shared" si="88"/>
        <v>543676.8508277419</v>
      </c>
      <c r="U264" s="16">
        <f t="shared" si="79"/>
        <v>1949626.1475172068</v>
      </c>
      <c r="V264" s="16"/>
      <c r="W264" s="144">
        <f t="shared" si="89"/>
        <v>0.14923053282972767</v>
      </c>
      <c r="X264" s="144" t="str">
        <f t="shared" si="95"/>
        <v/>
      </c>
      <c r="Y264" s="146"/>
      <c r="Z264" s="139">
        <f t="shared" si="80"/>
        <v>4377.2150827386286</v>
      </c>
      <c r="AA264" s="114">
        <v>237</v>
      </c>
      <c r="AB264" s="46">
        <f t="shared" si="90"/>
        <v>-1411.1470429771005</v>
      </c>
      <c r="AC264" s="47"/>
      <c r="AD264" s="47">
        <f t="shared" si="94"/>
        <v>13548.839892053977</v>
      </c>
      <c r="AE264" s="86"/>
      <c r="AF264" s="140"/>
      <c r="AG264" s="140"/>
      <c r="AH264" s="140">
        <f t="shared" si="81"/>
        <v>1851794.8325451044</v>
      </c>
      <c r="AI264" s="15"/>
      <c r="AJ264" s="9"/>
      <c r="AK264" s="9"/>
    </row>
    <row r="265" spans="2:37" ht="12" hidden="1" customHeight="1" outlineLevel="1" x14ac:dyDescent="0.25">
      <c r="B265" s="143" t="str">
        <f t="shared" si="82"/>
        <v/>
      </c>
      <c r="C265" s="16">
        <f t="shared" si="83"/>
        <v>1638674.5257827137</v>
      </c>
      <c r="D265" s="16">
        <f t="shared" si="91"/>
        <v>5352.2436675255149</v>
      </c>
      <c r="E265" s="16">
        <f t="shared" si="92"/>
        <v>-654.61169856050185</v>
      </c>
      <c r="F265" s="16">
        <f t="shared" si="93"/>
        <v>-320.41688622638367</v>
      </c>
      <c r="G265" s="16">
        <f t="shared" si="84"/>
        <v>0</v>
      </c>
      <c r="H265" s="16">
        <v>0</v>
      </c>
      <c r="I265" s="16">
        <v>0</v>
      </c>
      <c r="J265" s="16">
        <v>0</v>
      </c>
      <c r="K265" s="16">
        <f t="shared" si="85"/>
        <v>-2622.054407072922</v>
      </c>
      <c r="L265" s="16">
        <f t="shared" si="86"/>
        <v>975.02858478688552</v>
      </c>
      <c r="M265" s="16">
        <f t="shared" si="74"/>
        <v>3597.0829918598074</v>
      </c>
      <c r="N265" s="16">
        <f t="shared" si="75"/>
        <v>2298.5877147056544</v>
      </c>
      <c r="O265" s="16">
        <f t="shared" si="76"/>
        <v>4377.2150827386286</v>
      </c>
      <c r="P265" s="16">
        <f t="shared" si="87"/>
        <v>223354.14397711889</v>
      </c>
      <c r="Q265" s="16">
        <f t="shared" si="77"/>
        <v>1415320.3818055948</v>
      </c>
      <c r="R265" s="16">
        <f t="shared" si="78"/>
        <v>1978.1708284792708</v>
      </c>
      <c r="S265" s="16" cm="1">
        <f t="array" ref="S265">Y265*tax_rate</f>
        <v>0</v>
      </c>
      <c r="T265" s="16">
        <f t="shared" si="88"/>
        <v>547920.34186800336</v>
      </c>
      <c r="U265" s="16">
        <f t="shared" si="79"/>
        <v>1963240.7236735981</v>
      </c>
      <c r="V265" s="16"/>
      <c r="W265" s="144">
        <f t="shared" si="89"/>
        <v>0.14896215714580499</v>
      </c>
      <c r="X265" s="144" t="str">
        <f t="shared" si="95"/>
        <v/>
      </c>
      <c r="Y265" s="146"/>
      <c r="Z265" s="139">
        <f t="shared" si="80"/>
        <v>4377.2150827386286</v>
      </c>
      <c r="AA265" s="114">
        <v>238</v>
      </c>
      <c r="AB265" s="46">
        <f t="shared" si="90"/>
        <v>-1403.5788719515019</v>
      </c>
      <c r="AC265" s="47"/>
      <c r="AD265" s="47">
        <f t="shared" si="94"/>
        <v>13614.576156391297</v>
      </c>
      <c r="AE265" s="86"/>
      <c r="AF265" s="140"/>
      <c r="AG265" s="140"/>
      <c r="AH265" s="140">
        <f t="shared" si="81"/>
        <v>1864920.2521266353</v>
      </c>
      <c r="AI265" s="15"/>
      <c r="AJ265" s="9"/>
      <c r="AK265" s="9"/>
    </row>
    <row r="266" spans="2:37" ht="12" hidden="1" customHeight="1" outlineLevel="1" x14ac:dyDescent="0.25">
      <c r="B266" s="143" t="str">
        <f t="shared" si="82"/>
        <v/>
      </c>
      <c r="C266" s="16">
        <f t="shared" si="83"/>
        <v>1646867.8984116272</v>
      </c>
      <c r="D266" s="16">
        <f t="shared" si="91"/>
        <v>5352.2436675255149</v>
      </c>
      <c r="E266" s="16">
        <f t="shared" si="92"/>
        <v>-654.61169856050185</v>
      </c>
      <c r="F266" s="16">
        <f t="shared" si="93"/>
        <v>-320.41688622638367</v>
      </c>
      <c r="G266" s="16">
        <f t="shared" si="84"/>
        <v>0</v>
      </c>
      <c r="H266" s="16">
        <v>0</v>
      </c>
      <c r="I266" s="16">
        <v>0</v>
      </c>
      <c r="J266" s="16">
        <v>0</v>
      </c>
      <c r="K266" s="16">
        <f t="shared" si="85"/>
        <v>-2622.054407072922</v>
      </c>
      <c r="L266" s="16">
        <f t="shared" si="86"/>
        <v>975.02858478688552</v>
      </c>
      <c r="M266" s="16">
        <f t="shared" si="74"/>
        <v>3597.0829918598074</v>
      </c>
      <c r="N266" s="16">
        <f t="shared" si="75"/>
        <v>2298.5877147056544</v>
      </c>
      <c r="O266" s="16">
        <f t="shared" si="76"/>
        <v>4377.2150827386286</v>
      </c>
      <c r="P266" s="16">
        <f t="shared" si="87"/>
        <v>222128.05296990296</v>
      </c>
      <c r="Q266" s="16">
        <f t="shared" si="77"/>
        <v>1424739.8454417242</v>
      </c>
      <c r="R266" s="16">
        <f t="shared" si="78"/>
        <v>1978.1708284792708</v>
      </c>
      <c r="S266" s="16" cm="1">
        <f t="array" ref="S266">Y266*tax_rate</f>
        <v>0</v>
      </c>
      <c r="T266" s="16">
        <f t="shared" si="88"/>
        <v>552181.51412093255</v>
      </c>
      <c r="U266" s="16">
        <f t="shared" si="79"/>
        <v>1976921.3595626568</v>
      </c>
      <c r="V266" s="16"/>
      <c r="W266" s="144">
        <f t="shared" si="89"/>
        <v>0.14869524274109044</v>
      </c>
      <c r="X266" s="144" t="str">
        <f t="shared" si="95"/>
        <v/>
      </c>
      <c r="Y266" s="146"/>
      <c r="Z266" s="139">
        <f t="shared" si="80"/>
        <v>4377.2150827386286</v>
      </c>
      <c r="AA266" s="114">
        <v>239</v>
      </c>
      <c r="AB266" s="46">
        <f t="shared" si="90"/>
        <v>-1395.963399856993</v>
      </c>
      <c r="AC266" s="47"/>
      <c r="AD266" s="47">
        <f t="shared" si="94"/>
        <v>13680.6358890587</v>
      </c>
      <c r="AE266" s="86"/>
      <c r="AF266" s="140"/>
      <c r="AG266" s="140"/>
      <c r="AH266" s="140">
        <f t="shared" si="81"/>
        <v>1878109.2856579593</v>
      </c>
      <c r="AI266" s="15"/>
      <c r="AJ266" s="9"/>
      <c r="AK266" s="9"/>
    </row>
    <row r="267" spans="2:37" ht="15" customHeight="1" collapsed="1" x14ac:dyDescent="0.25">
      <c r="B267" s="143">
        <f t="shared" si="82"/>
        <v>20</v>
      </c>
      <c r="C267" s="16">
        <f t="shared" si="83"/>
        <v>1655102.2379036851</v>
      </c>
      <c r="D267" s="16">
        <f t="shared" si="91"/>
        <v>5352.2436675255149</v>
      </c>
      <c r="E267" s="16">
        <f t="shared" si="92"/>
        <v>-654.61169856050185</v>
      </c>
      <c r="F267" s="16">
        <f t="shared" si="93"/>
        <v>-320.41688622638367</v>
      </c>
      <c r="G267" s="16">
        <f t="shared" si="84"/>
        <v>0</v>
      </c>
      <c r="H267" s="16">
        <v>0</v>
      </c>
      <c r="I267" s="16">
        <v>0</v>
      </c>
      <c r="J267" s="16">
        <v>0</v>
      </c>
      <c r="K267" s="16">
        <f t="shared" si="85"/>
        <v>-2622.054407072922</v>
      </c>
      <c r="L267" s="16">
        <f t="shared" si="86"/>
        <v>975.02858478688552</v>
      </c>
      <c r="M267" s="16">
        <f t="shared" si="74"/>
        <v>3597.0829918598074</v>
      </c>
      <c r="N267" s="16">
        <f t="shared" si="75"/>
        <v>2298.5877147056544</v>
      </c>
      <c r="O267" s="16">
        <f t="shared" si="76"/>
        <v>4377.2150827386286</v>
      </c>
      <c r="P267" s="16">
        <f t="shared" si="87"/>
        <v>220894.29889389192</v>
      </c>
      <c r="Q267" s="16">
        <f t="shared" si="77"/>
        <v>1434207.9390097931</v>
      </c>
      <c r="R267" s="16">
        <f t="shared" si="78"/>
        <v>1978.1708284792708</v>
      </c>
      <c r="S267" s="16" cm="1">
        <f t="array" ref="S267">Y267*tax_rate</f>
        <v>8702.283713452287</v>
      </c>
      <c r="T267" s="16">
        <f t="shared" si="88"/>
        <v>565162.72497170127</v>
      </c>
      <c r="U267" s="16">
        <f t="shared" si="79"/>
        <v>1999370.6639814945</v>
      </c>
      <c r="V267" s="16">
        <f>U267-U255</f>
        <v>169355.85953339282</v>
      </c>
      <c r="W267" s="144">
        <f t="shared" si="89"/>
        <v>0.14868027936394015</v>
      </c>
      <c r="X267" s="144">
        <f t="shared" si="95"/>
        <v>9.2543436873707363E-2</v>
      </c>
      <c r="Y267" s="145">
        <f>(((Sale_Price*0.8)+Improvement_Costs+Closing_Costs_Total)/27.5)+(-E267*12)+-AC267</f>
        <v>39555.835061146761</v>
      </c>
      <c r="Z267" s="139">
        <f t="shared" si="80"/>
        <v>4377.2150827386286</v>
      </c>
      <c r="AA267" s="114">
        <v>240</v>
      </c>
      <c r="AB267" s="48">
        <f t="shared" si="90"/>
        <v>-1388.3003310618933</v>
      </c>
      <c r="AC267" s="48">
        <f>SUM(AB256:AB267)</f>
        <v>-17155.040132966191</v>
      </c>
      <c r="AD267" s="49">
        <f t="shared" si="94"/>
        <v>22449.304418837652</v>
      </c>
      <c r="AE267" s="50">
        <f>D267*12</f>
        <v>64226.924010306175</v>
      </c>
      <c r="AF267" s="140"/>
      <c r="AG267" s="140"/>
      <c r="AH267" s="140">
        <f t="shared" si="81"/>
        <v>1900064.5297072735</v>
      </c>
      <c r="AI267" s="15">
        <f>AI255*(1+Comparison_Rate_of_Return)</f>
        <v>840937.49366570148</v>
      </c>
      <c r="AJ267" s="9"/>
      <c r="AK267" s="9"/>
    </row>
    <row r="268" spans="2:37" ht="12" hidden="1" customHeight="1" outlineLevel="1" x14ac:dyDescent="0.25">
      <c r="B268" s="8" t="str">
        <f t="shared" si="82"/>
        <v/>
      </c>
      <c r="C268" s="85">
        <f t="shared" si="83"/>
        <v>1663377.7490932033</v>
      </c>
      <c r="D268" s="85">
        <f t="shared" si="91"/>
        <v>5539.5721958889071</v>
      </c>
      <c r="E268" s="85">
        <f t="shared" si="92"/>
        <v>-677.52310801011936</v>
      </c>
      <c r="F268" s="85">
        <f t="shared" si="93"/>
        <v>-331.63147724430706</v>
      </c>
      <c r="G268" s="85">
        <f t="shared" si="84"/>
        <v>0</v>
      </c>
      <c r="H268" s="85">
        <v>0</v>
      </c>
      <c r="I268" s="85">
        <v>0</v>
      </c>
      <c r="J268" s="85">
        <v>0</v>
      </c>
      <c r="K268" s="85">
        <f t="shared" si="85"/>
        <v>-2622.054407072922</v>
      </c>
      <c r="L268" s="85">
        <f t="shared" si="86"/>
        <v>1009.1545852544264</v>
      </c>
      <c r="M268" s="85">
        <f t="shared" si="74"/>
        <v>3631.2089923273484</v>
      </c>
      <c r="N268" s="85">
        <f t="shared" si="75"/>
        <v>2470.8101889679037</v>
      </c>
      <c r="O268" s="85">
        <f t="shared" si="76"/>
        <v>4530.4176106344803</v>
      </c>
      <c r="P268" s="85">
        <f t="shared" si="87"/>
        <v>219652.8338549058</v>
      </c>
      <c r="Q268" s="85">
        <f t="shared" si="77"/>
        <v>1443724.9152382975</v>
      </c>
      <c r="R268" s="85">
        <f t="shared" si="78"/>
        <v>2139.1787117235967</v>
      </c>
      <c r="S268" s="85" cm="1">
        <f t="array" ref="S268">Y268*tax_rate</f>
        <v>0</v>
      </c>
      <c r="T268" s="85">
        <f t="shared" si="88"/>
        <v>569656.74837080704</v>
      </c>
      <c r="U268" s="85">
        <f t="shared" si="79"/>
        <v>2013381.6636091047</v>
      </c>
      <c r="V268" s="85"/>
      <c r="W268" s="138">
        <f t="shared" si="89"/>
        <v>0.14841904617885601</v>
      </c>
      <c r="X268" s="138" t="str">
        <f t="shared" si="95"/>
        <v/>
      </c>
      <c r="Y268" s="142"/>
      <c r="Z268" s="139">
        <f t="shared" si="80"/>
        <v>4530.4176106344803</v>
      </c>
      <c r="AA268" s="114">
        <v>241</v>
      </c>
      <c r="AB268" s="48">
        <f t="shared" si="90"/>
        <v>-1380.5893680868244</v>
      </c>
      <c r="AC268" s="49"/>
      <c r="AD268" s="49">
        <f t="shared" si="94"/>
        <v>14010.999627610203</v>
      </c>
      <c r="AE268" s="50"/>
      <c r="AF268" s="140"/>
      <c r="AG268" s="140"/>
      <c r="AH268" s="140">
        <f t="shared" si="81"/>
        <v>1913578.9986635125</v>
      </c>
      <c r="AI268" s="9"/>
      <c r="AJ268" s="9"/>
      <c r="AK268" s="9"/>
    </row>
    <row r="269" spans="2:37" ht="12" hidden="1" customHeight="1" outlineLevel="1" x14ac:dyDescent="0.25">
      <c r="B269" s="8" t="str">
        <f t="shared" si="82"/>
        <v/>
      </c>
      <c r="C269" s="85">
        <f t="shared" si="83"/>
        <v>1671694.6378386691</v>
      </c>
      <c r="D269" s="85">
        <f t="shared" si="91"/>
        <v>5539.5721958889071</v>
      </c>
      <c r="E269" s="85">
        <f t="shared" si="92"/>
        <v>-677.52310801011936</v>
      </c>
      <c r="F269" s="85">
        <f t="shared" si="93"/>
        <v>-331.63147724430706</v>
      </c>
      <c r="G269" s="85">
        <f t="shared" si="84"/>
        <v>0</v>
      </c>
      <c r="H269" s="85">
        <v>0</v>
      </c>
      <c r="I269" s="85">
        <v>0</v>
      </c>
      <c r="J269" s="85">
        <v>0</v>
      </c>
      <c r="K269" s="85">
        <f t="shared" si="85"/>
        <v>-2622.054407072922</v>
      </c>
      <c r="L269" s="85">
        <f t="shared" si="86"/>
        <v>1009.1545852544264</v>
      </c>
      <c r="M269" s="85">
        <f t="shared" si="74"/>
        <v>3631.2089923273484</v>
      </c>
      <c r="N269" s="85">
        <f t="shared" si="75"/>
        <v>2470.8101889679037</v>
      </c>
      <c r="O269" s="85">
        <f t="shared" si="76"/>
        <v>4530.4176106344803</v>
      </c>
      <c r="P269" s="85">
        <f t="shared" si="87"/>
        <v>218403.60965942603</v>
      </c>
      <c r="Q269" s="85">
        <f t="shared" si="77"/>
        <v>1453291.0281792432</v>
      </c>
      <c r="R269" s="85">
        <f t="shared" si="78"/>
        <v>2139.1787117235967</v>
      </c>
      <c r="S269" s="85" cm="1">
        <f t="array" ref="S269">Y269*tax_rate</f>
        <v>0</v>
      </c>
      <c r="T269" s="85">
        <f t="shared" si="88"/>
        <v>574169.49686740909</v>
      </c>
      <c r="U269" s="85">
        <f t="shared" si="79"/>
        <v>2027460.5250466522</v>
      </c>
      <c r="V269" s="85"/>
      <c r="W269" s="138">
        <f t="shared" si="89"/>
        <v>0.14815917911705545</v>
      </c>
      <c r="X269" s="138" t="str">
        <f t="shared" si="95"/>
        <v/>
      </c>
      <c r="Y269" s="142"/>
      <c r="Z269" s="139">
        <f t="shared" si="80"/>
        <v>4530.4176106344803</v>
      </c>
      <c r="AA269" s="114">
        <v>242</v>
      </c>
      <c r="AB269" s="48">
        <f t="shared" si="90"/>
        <v>-1372.830211593161</v>
      </c>
      <c r="AC269" s="49"/>
      <c r="AD269" s="49">
        <f t="shared" si="94"/>
        <v>14078.861437547486</v>
      </c>
      <c r="AE269" s="50"/>
      <c r="AF269" s="140"/>
      <c r="AG269" s="140"/>
      <c r="AH269" s="140">
        <f t="shared" si="81"/>
        <v>1927158.846776332</v>
      </c>
      <c r="AI269" s="9"/>
      <c r="AJ269" s="9"/>
      <c r="AK269" s="9"/>
    </row>
    <row r="270" spans="2:37" ht="12" hidden="1" customHeight="1" outlineLevel="1" x14ac:dyDescent="0.25">
      <c r="B270" s="8" t="str">
        <f t="shared" si="82"/>
        <v/>
      </c>
      <c r="C270" s="85">
        <f t="shared" si="83"/>
        <v>1680053.1110278622</v>
      </c>
      <c r="D270" s="85">
        <f t="shared" si="91"/>
        <v>5539.5721958889071</v>
      </c>
      <c r="E270" s="85">
        <f t="shared" si="92"/>
        <v>-677.52310801011936</v>
      </c>
      <c r="F270" s="85">
        <f t="shared" si="93"/>
        <v>-331.63147724430706</v>
      </c>
      <c r="G270" s="85">
        <f t="shared" si="84"/>
        <v>0</v>
      </c>
      <c r="H270" s="85">
        <v>0</v>
      </c>
      <c r="I270" s="85">
        <v>0</v>
      </c>
      <c r="J270" s="85">
        <v>0</v>
      </c>
      <c r="K270" s="85">
        <f t="shared" si="85"/>
        <v>-2622.054407072922</v>
      </c>
      <c r="L270" s="85">
        <f t="shared" si="86"/>
        <v>1009.1545852544264</v>
      </c>
      <c r="M270" s="85">
        <f t="shared" si="74"/>
        <v>3631.2089923273484</v>
      </c>
      <c r="N270" s="85">
        <f t="shared" si="75"/>
        <v>2470.8101889679037</v>
      </c>
      <c r="O270" s="85">
        <f t="shared" si="76"/>
        <v>4530.4176106344803</v>
      </c>
      <c r="P270" s="85">
        <f t="shared" si="87"/>
        <v>217146.57781272451</v>
      </c>
      <c r="Q270" s="85">
        <f t="shared" si="77"/>
        <v>1462906.5332151377</v>
      </c>
      <c r="R270" s="85">
        <f t="shared" si="78"/>
        <v>2139.1787117235967</v>
      </c>
      <c r="S270" s="85" cm="1">
        <f t="array" ref="S270">Y270*tax_rate</f>
        <v>0</v>
      </c>
      <c r="T270" s="85">
        <f t="shared" si="88"/>
        <v>578701.04848274693</v>
      </c>
      <c r="U270" s="85">
        <f t="shared" si="79"/>
        <v>2041607.5816978845</v>
      </c>
      <c r="V270" s="85"/>
      <c r="W270" s="138">
        <f t="shared" si="89"/>
        <v>0.14790066896449136</v>
      </c>
      <c r="X270" s="138" t="str">
        <f t="shared" si="95"/>
        <v/>
      </c>
      <c r="Y270" s="142"/>
      <c r="Z270" s="139">
        <f t="shared" si="80"/>
        <v>4530.4176106344803</v>
      </c>
      <c r="AA270" s="114">
        <v>243</v>
      </c>
      <c r="AB270" s="48">
        <f t="shared" si="90"/>
        <v>-1365.0225603714125</v>
      </c>
      <c r="AC270" s="49"/>
      <c r="AD270" s="49">
        <f t="shared" si="94"/>
        <v>14147.056651232298</v>
      </c>
      <c r="AE270" s="50"/>
      <c r="AF270" s="140"/>
      <c r="AG270" s="140"/>
      <c r="AH270" s="140">
        <f t="shared" si="81"/>
        <v>1940804.3950362126</v>
      </c>
      <c r="AI270" s="9"/>
      <c r="AJ270" s="9"/>
      <c r="AK270" s="9"/>
    </row>
    <row r="271" spans="2:37" ht="12" hidden="1" customHeight="1" outlineLevel="1" x14ac:dyDescent="0.25">
      <c r="B271" s="8" t="str">
        <f t="shared" si="82"/>
        <v/>
      </c>
      <c r="C271" s="85">
        <f t="shared" si="83"/>
        <v>1688453.3765830013</v>
      </c>
      <c r="D271" s="85">
        <f t="shared" si="91"/>
        <v>5539.5721958889071</v>
      </c>
      <c r="E271" s="85">
        <f t="shared" si="92"/>
        <v>-677.52310801011936</v>
      </c>
      <c r="F271" s="85">
        <f t="shared" si="93"/>
        <v>-331.63147724430706</v>
      </c>
      <c r="G271" s="85">
        <f t="shared" si="84"/>
        <v>0</v>
      </c>
      <c r="H271" s="85">
        <v>0</v>
      </c>
      <c r="I271" s="85">
        <v>0</v>
      </c>
      <c r="J271" s="85">
        <v>0</v>
      </c>
      <c r="K271" s="85">
        <f t="shared" si="85"/>
        <v>-2622.054407072922</v>
      </c>
      <c r="L271" s="85">
        <f t="shared" si="86"/>
        <v>1009.1545852544264</v>
      </c>
      <c r="M271" s="85">
        <f t="shared" si="74"/>
        <v>3631.2089923273484</v>
      </c>
      <c r="N271" s="85">
        <f t="shared" si="75"/>
        <v>2470.8101889679037</v>
      </c>
      <c r="O271" s="85">
        <f t="shared" si="76"/>
        <v>4530.4176106344803</v>
      </c>
      <c r="P271" s="85">
        <f t="shared" si="87"/>
        <v>215881.6895169811</v>
      </c>
      <c r="Q271" s="85">
        <f t="shared" si="77"/>
        <v>1472571.6870660202</v>
      </c>
      <c r="R271" s="85">
        <f t="shared" si="78"/>
        <v>2139.1787117235967</v>
      </c>
      <c r="S271" s="85" cm="1">
        <f t="array" ref="S271">Y271*tax_rate</f>
        <v>0</v>
      </c>
      <c r="T271" s="85">
        <f t="shared" si="88"/>
        <v>583251.48156314867</v>
      </c>
      <c r="U271" s="85">
        <f t="shared" si="79"/>
        <v>2055823.168629169</v>
      </c>
      <c r="V271" s="85"/>
      <c r="W271" s="138">
        <f t="shared" si="89"/>
        <v>0.14764350656010208</v>
      </c>
      <c r="X271" s="138" t="str">
        <f t="shared" si="95"/>
        <v/>
      </c>
      <c r="Y271" s="142"/>
      <c r="Z271" s="139">
        <f t="shared" si="80"/>
        <v>4530.4176106344803</v>
      </c>
      <c r="AA271" s="114">
        <v>244</v>
      </c>
      <c r="AB271" s="46">
        <f t="shared" si="90"/>
        <v>-1357.1661113295281</v>
      </c>
      <c r="AC271" s="47"/>
      <c r="AD271" s="47">
        <f t="shared" si="94"/>
        <v>14215.586931284517</v>
      </c>
      <c r="AE271" s="86"/>
      <c r="AF271" s="140"/>
      <c r="AG271" s="140"/>
      <c r="AH271" s="140">
        <f t="shared" si="81"/>
        <v>1954515.9660341889</v>
      </c>
      <c r="AI271" s="9"/>
      <c r="AJ271" s="9"/>
      <c r="AK271" s="9"/>
    </row>
    <row r="272" spans="2:37" ht="12" hidden="1" customHeight="1" outlineLevel="1" x14ac:dyDescent="0.25">
      <c r="B272" s="8" t="str">
        <f t="shared" si="82"/>
        <v/>
      </c>
      <c r="C272" s="85">
        <f t="shared" si="83"/>
        <v>1696895.6434659162</v>
      </c>
      <c r="D272" s="85">
        <f t="shared" si="91"/>
        <v>5539.5721958889071</v>
      </c>
      <c r="E272" s="85">
        <f t="shared" si="92"/>
        <v>-677.52310801011936</v>
      </c>
      <c r="F272" s="85">
        <f t="shared" si="93"/>
        <v>-331.63147724430706</v>
      </c>
      <c r="G272" s="85">
        <f t="shared" si="84"/>
        <v>0</v>
      </c>
      <c r="H272" s="85">
        <v>0</v>
      </c>
      <c r="I272" s="85">
        <v>0</v>
      </c>
      <c r="J272" s="85">
        <v>0</v>
      </c>
      <c r="K272" s="85">
        <f t="shared" si="85"/>
        <v>-2622.054407072922</v>
      </c>
      <c r="L272" s="85">
        <f t="shared" si="86"/>
        <v>1009.1545852544264</v>
      </c>
      <c r="M272" s="85">
        <f t="shared" si="74"/>
        <v>3631.2089923273484</v>
      </c>
      <c r="N272" s="85">
        <f t="shared" si="75"/>
        <v>2470.8101889679037</v>
      </c>
      <c r="O272" s="85">
        <f t="shared" si="76"/>
        <v>4530.4176106344803</v>
      </c>
      <c r="P272" s="85">
        <f t="shared" si="87"/>
        <v>214608.89566938931</v>
      </c>
      <c r="Q272" s="85">
        <f t="shared" si="77"/>
        <v>1482286.7477965269</v>
      </c>
      <c r="R272" s="85">
        <f t="shared" si="78"/>
        <v>2139.1787117235967</v>
      </c>
      <c r="S272" s="85" cm="1">
        <f t="array" ref="S272">Y272*tax_rate</f>
        <v>0</v>
      </c>
      <c r="T272" s="85">
        <f t="shared" si="88"/>
        <v>587820.87478138541</v>
      </c>
      <c r="U272" s="85">
        <f t="shared" si="79"/>
        <v>2070107.6225779122</v>
      </c>
      <c r="V272" s="85"/>
      <c r="W272" s="138">
        <f t="shared" si="89"/>
        <v>0.14738768279637471</v>
      </c>
      <c r="X272" s="138" t="str">
        <f t="shared" si="95"/>
        <v/>
      </c>
      <c r="Y272" s="142"/>
      <c r="Z272" s="139">
        <f t="shared" si="80"/>
        <v>4530.4176106344803</v>
      </c>
      <c r="AA272" s="114">
        <v>245</v>
      </c>
      <c r="AB272" s="46">
        <f t="shared" si="90"/>
        <v>-1349.2605594811318</v>
      </c>
      <c r="AC272" s="47"/>
      <c r="AD272" s="47">
        <f t="shared" si="94"/>
        <v>14284.453948743176</v>
      </c>
      <c r="AE272" s="86"/>
      <c r="AF272" s="140"/>
      <c r="AG272" s="140"/>
      <c r="AH272" s="140">
        <f t="shared" si="81"/>
        <v>1968293.8839699572</v>
      </c>
      <c r="AI272" s="9"/>
      <c r="AJ272" s="9"/>
      <c r="AK272" s="9"/>
    </row>
    <row r="273" spans="2:37" ht="12" hidden="1" customHeight="1" outlineLevel="1" x14ac:dyDescent="0.25">
      <c r="B273" s="8" t="str">
        <f t="shared" si="82"/>
        <v/>
      </c>
      <c r="C273" s="85">
        <f t="shared" si="83"/>
        <v>1705380.1216832455</v>
      </c>
      <c r="D273" s="85">
        <f t="shared" si="91"/>
        <v>5539.5721958889071</v>
      </c>
      <c r="E273" s="85">
        <f t="shared" si="92"/>
        <v>-677.52310801011936</v>
      </c>
      <c r="F273" s="85">
        <f t="shared" si="93"/>
        <v>-331.63147724430706</v>
      </c>
      <c r="G273" s="85">
        <f t="shared" si="84"/>
        <v>0</v>
      </c>
      <c r="H273" s="85">
        <v>0</v>
      </c>
      <c r="I273" s="85">
        <v>0</v>
      </c>
      <c r="J273" s="85">
        <v>0</v>
      </c>
      <c r="K273" s="85">
        <f t="shared" si="85"/>
        <v>-2622.054407072922</v>
      </c>
      <c r="L273" s="85">
        <f t="shared" si="86"/>
        <v>1009.1545852544264</v>
      </c>
      <c r="M273" s="85">
        <f t="shared" si="74"/>
        <v>3631.2089923273484</v>
      </c>
      <c r="N273" s="85">
        <f t="shared" si="75"/>
        <v>2470.8101889679037</v>
      </c>
      <c r="O273" s="85">
        <f t="shared" si="76"/>
        <v>4530.4176106344803</v>
      </c>
      <c r="P273" s="85">
        <f t="shared" si="87"/>
        <v>213328.14686025007</v>
      </c>
      <c r="Q273" s="85">
        <f t="shared" si="77"/>
        <v>1492051.9748229955</v>
      </c>
      <c r="R273" s="85">
        <f t="shared" si="78"/>
        <v>2139.1787117235967</v>
      </c>
      <c r="S273" s="85" cm="1">
        <f t="array" ref="S273">Y273*tax_rate</f>
        <v>0</v>
      </c>
      <c r="T273" s="85">
        <f t="shared" si="88"/>
        <v>592409.30713803147</v>
      </c>
      <c r="U273" s="85">
        <f t="shared" si="79"/>
        <v>2084461.2819610271</v>
      </c>
      <c r="V273" s="85"/>
      <c r="W273" s="138">
        <f t="shared" si="89"/>
        <v>0.14713318861985974</v>
      </c>
      <c r="X273" s="138" t="str">
        <f t="shared" si="95"/>
        <v/>
      </c>
      <c r="Y273" s="142"/>
      <c r="Z273" s="139">
        <f t="shared" si="80"/>
        <v>4530.4176106344803</v>
      </c>
      <c r="AA273" s="114">
        <v>246</v>
      </c>
      <c r="AB273" s="46">
        <f t="shared" si="90"/>
        <v>-1341.3055979336832</v>
      </c>
      <c r="AC273" s="47"/>
      <c r="AD273" s="47">
        <f t="shared" si="94"/>
        <v>14353.659383114893</v>
      </c>
      <c r="AE273" s="86"/>
      <c r="AF273" s="140"/>
      <c r="AG273" s="140"/>
      <c r="AH273" s="140">
        <f t="shared" si="81"/>
        <v>1982138.4746600324</v>
      </c>
      <c r="AI273" s="9"/>
      <c r="AJ273" s="9"/>
      <c r="AK273" s="9"/>
    </row>
    <row r="274" spans="2:37" ht="12" hidden="1" customHeight="1" outlineLevel="1" x14ac:dyDescent="0.25">
      <c r="B274" s="8" t="str">
        <f t="shared" si="82"/>
        <v/>
      </c>
      <c r="C274" s="85">
        <f t="shared" si="83"/>
        <v>1713907.0222916615</v>
      </c>
      <c r="D274" s="85">
        <f t="shared" si="91"/>
        <v>5539.5721958889071</v>
      </c>
      <c r="E274" s="85">
        <f t="shared" si="92"/>
        <v>-677.52310801011936</v>
      </c>
      <c r="F274" s="85">
        <f t="shared" si="93"/>
        <v>-331.63147724430706</v>
      </c>
      <c r="G274" s="85">
        <f t="shared" si="84"/>
        <v>0</v>
      </c>
      <c r="H274" s="85">
        <v>0</v>
      </c>
      <c r="I274" s="85">
        <v>0</v>
      </c>
      <c r="J274" s="85">
        <v>0</v>
      </c>
      <c r="K274" s="85">
        <f t="shared" si="85"/>
        <v>-2622.054407072922</v>
      </c>
      <c r="L274" s="85">
        <f t="shared" si="86"/>
        <v>1009.1545852544264</v>
      </c>
      <c r="M274" s="85">
        <f t="shared" si="74"/>
        <v>3631.2089923273484</v>
      </c>
      <c r="N274" s="85">
        <f t="shared" si="75"/>
        <v>2470.8101889679037</v>
      </c>
      <c r="O274" s="85">
        <f t="shared" si="76"/>
        <v>4530.4176106344803</v>
      </c>
      <c r="P274" s="85">
        <f t="shared" si="87"/>
        <v>212039.39337105371</v>
      </c>
      <c r="Q274" s="85">
        <f t="shared" si="77"/>
        <v>1501867.6289206077</v>
      </c>
      <c r="R274" s="85">
        <f t="shared" si="78"/>
        <v>2139.1787117235967</v>
      </c>
      <c r="S274" s="85" cm="1">
        <f t="array" ref="S274">Y274*tax_rate</f>
        <v>0</v>
      </c>
      <c r="T274" s="85">
        <f t="shared" si="88"/>
        <v>597016.85796283023</v>
      </c>
      <c r="U274" s="85">
        <f t="shared" si="79"/>
        <v>2098884.4868834382</v>
      </c>
      <c r="V274" s="85"/>
      <c r="W274" s="138">
        <f t="shared" si="89"/>
        <v>0.14688001503164133</v>
      </c>
      <c r="X274" s="138" t="str">
        <f t="shared" si="95"/>
        <v/>
      </c>
      <c r="Y274" s="142"/>
      <c r="Z274" s="139">
        <f t="shared" si="80"/>
        <v>4530.4176106344803</v>
      </c>
      <c r="AA274" s="114">
        <v>247</v>
      </c>
      <c r="AB274" s="46">
        <f t="shared" si="90"/>
        <v>-1333.3009178765628</v>
      </c>
      <c r="AC274" s="47"/>
      <c r="AD274" s="47">
        <f t="shared" si="94"/>
        <v>14423.204922411125</v>
      </c>
      <c r="AE274" s="86"/>
      <c r="AF274" s="140"/>
      <c r="AG274" s="140"/>
      <c r="AH274" s="140">
        <f t="shared" si="81"/>
        <v>1996050.0655459384</v>
      </c>
      <c r="AI274" s="9"/>
      <c r="AJ274" s="9"/>
      <c r="AK274" s="9"/>
    </row>
    <row r="275" spans="2:37" ht="12" hidden="1" customHeight="1" outlineLevel="1" x14ac:dyDescent="0.25">
      <c r="B275" s="8" t="str">
        <f t="shared" si="82"/>
        <v/>
      </c>
      <c r="C275" s="85">
        <f t="shared" si="83"/>
        <v>1722476.5574031195</v>
      </c>
      <c r="D275" s="85">
        <f t="shared" si="91"/>
        <v>5539.5721958889071</v>
      </c>
      <c r="E275" s="85">
        <f t="shared" si="92"/>
        <v>-677.52310801011936</v>
      </c>
      <c r="F275" s="85">
        <f t="shared" si="93"/>
        <v>-331.63147724430706</v>
      </c>
      <c r="G275" s="85">
        <f t="shared" si="84"/>
        <v>0</v>
      </c>
      <c r="H275" s="85">
        <v>0</v>
      </c>
      <c r="I275" s="85">
        <v>0</v>
      </c>
      <c r="J275" s="85">
        <v>0</v>
      </c>
      <c r="K275" s="85">
        <f t="shared" si="85"/>
        <v>-2622.054407072922</v>
      </c>
      <c r="L275" s="85">
        <f t="shared" si="86"/>
        <v>1009.1545852544264</v>
      </c>
      <c r="M275" s="85">
        <f t="shared" si="74"/>
        <v>3631.2089923273484</v>
      </c>
      <c r="N275" s="85">
        <f t="shared" si="75"/>
        <v>2470.8101889679037</v>
      </c>
      <c r="O275" s="85">
        <f t="shared" si="76"/>
        <v>4530.4176106344803</v>
      </c>
      <c r="P275" s="85">
        <f t="shared" si="87"/>
        <v>210742.58517254985</v>
      </c>
      <c r="Q275" s="85">
        <f t="shared" si="77"/>
        <v>1511733.9722305697</v>
      </c>
      <c r="R275" s="85">
        <f t="shared" si="78"/>
        <v>2139.1787117235967</v>
      </c>
      <c r="S275" s="85" cm="1">
        <f t="array" ref="S275">Y275*tax_rate</f>
        <v>0</v>
      </c>
      <c r="T275" s="85">
        <f t="shared" si="88"/>
        <v>601643.60691606568</v>
      </c>
      <c r="U275" s="85">
        <f t="shared" si="79"/>
        <v>2113377.5791466353</v>
      </c>
      <c r="V275" s="85"/>
      <c r="W275" s="138">
        <f t="shared" si="89"/>
        <v>0.1466281530877635</v>
      </c>
      <c r="X275" s="138" t="str">
        <f t="shared" si="95"/>
        <v/>
      </c>
      <c r="Y275" s="142"/>
      <c r="Z275" s="139">
        <f t="shared" si="80"/>
        <v>4530.4176106344803</v>
      </c>
      <c r="AA275" s="114">
        <v>248</v>
      </c>
      <c r="AB275" s="46">
        <f t="shared" si="90"/>
        <v>-1325.2462085690856</v>
      </c>
      <c r="AC275" s="47"/>
      <c r="AD275" s="47">
        <f t="shared" si="94"/>
        <v>14493.092263197061</v>
      </c>
      <c r="AE275" s="86"/>
      <c r="AF275" s="140"/>
      <c r="AG275" s="140"/>
      <c r="AH275" s="140">
        <f t="shared" si="81"/>
        <v>2010028.9857024481</v>
      </c>
      <c r="AI275" s="9"/>
      <c r="AJ275" s="9"/>
      <c r="AK275" s="9"/>
    </row>
    <row r="276" spans="2:37" ht="12" hidden="1" customHeight="1" outlineLevel="1" x14ac:dyDescent="0.25">
      <c r="B276" s="8" t="str">
        <f t="shared" si="82"/>
        <v/>
      </c>
      <c r="C276" s="85">
        <f t="shared" si="83"/>
        <v>1731088.940190135</v>
      </c>
      <c r="D276" s="85">
        <f t="shared" si="91"/>
        <v>5539.5721958889071</v>
      </c>
      <c r="E276" s="85">
        <f t="shared" si="92"/>
        <v>-677.52310801011936</v>
      </c>
      <c r="F276" s="85">
        <f t="shared" si="93"/>
        <v>-331.63147724430706</v>
      </c>
      <c r="G276" s="85">
        <f t="shared" si="84"/>
        <v>0</v>
      </c>
      <c r="H276" s="85">
        <v>0</v>
      </c>
      <c r="I276" s="85">
        <v>0</v>
      </c>
      <c r="J276" s="85">
        <v>0</v>
      </c>
      <c r="K276" s="85">
        <f t="shared" si="85"/>
        <v>-2622.054407072922</v>
      </c>
      <c r="L276" s="85">
        <f t="shared" si="86"/>
        <v>1009.1545852544264</v>
      </c>
      <c r="M276" s="85">
        <f t="shared" si="74"/>
        <v>3631.2089923273484</v>
      </c>
      <c r="N276" s="85">
        <f t="shared" si="75"/>
        <v>2470.8101889679037</v>
      </c>
      <c r="O276" s="85">
        <f t="shared" si="76"/>
        <v>4530.4176106344803</v>
      </c>
      <c r="P276" s="85">
        <f t="shared" si="87"/>
        <v>209437.67192280534</v>
      </c>
      <c r="Q276" s="85">
        <f t="shared" si="77"/>
        <v>1521651.2682673298</v>
      </c>
      <c r="R276" s="85">
        <f t="shared" si="78"/>
        <v>2139.1787117235967</v>
      </c>
      <c r="S276" s="85" cm="1">
        <f t="array" ref="S276">Y276*tax_rate</f>
        <v>0</v>
      </c>
      <c r="T276" s="85">
        <f t="shared" si="88"/>
        <v>606289.63398993958</v>
      </c>
      <c r="U276" s="85">
        <f t="shared" si="79"/>
        <v>2127940.9022572692</v>
      </c>
      <c r="V276" s="85"/>
      <c r="W276" s="138">
        <f t="shared" si="89"/>
        <v>0.14637759389961413</v>
      </c>
      <c r="X276" s="138" t="str">
        <f t="shared" si="95"/>
        <v/>
      </c>
      <c r="Y276" s="142"/>
      <c r="Z276" s="139">
        <f t="shared" si="80"/>
        <v>4530.4176106344803</v>
      </c>
      <c r="AA276" s="114">
        <v>249</v>
      </c>
      <c r="AB276" s="46">
        <f t="shared" si="90"/>
        <v>-1317.1411573284365</v>
      </c>
      <c r="AC276" s="47"/>
      <c r="AD276" s="47">
        <f t="shared" si="94"/>
        <v>14563.323110633995</v>
      </c>
      <c r="AE276" s="86"/>
      <c r="AF276" s="140"/>
      <c r="AG276" s="140"/>
      <c r="AH276" s="140">
        <f t="shared" si="81"/>
        <v>2024075.5658458611</v>
      </c>
      <c r="AI276" s="9"/>
      <c r="AJ276" s="9"/>
      <c r="AK276" s="9"/>
    </row>
    <row r="277" spans="2:37" ht="12" hidden="1" customHeight="1" outlineLevel="1" x14ac:dyDescent="0.25">
      <c r="B277" s="8" t="str">
        <f t="shared" si="82"/>
        <v/>
      </c>
      <c r="C277" s="85">
        <f t="shared" si="83"/>
        <v>1739744.3848910856</v>
      </c>
      <c r="D277" s="85">
        <f t="shared" si="91"/>
        <v>5539.5721958889071</v>
      </c>
      <c r="E277" s="85">
        <f t="shared" si="92"/>
        <v>-677.52310801011936</v>
      </c>
      <c r="F277" s="85">
        <f t="shared" si="93"/>
        <v>-331.63147724430706</v>
      </c>
      <c r="G277" s="85">
        <f t="shared" si="84"/>
        <v>0</v>
      </c>
      <c r="H277" s="85">
        <v>0</v>
      </c>
      <c r="I277" s="85">
        <v>0</v>
      </c>
      <c r="J277" s="85">
        <v>0</v>
      </c>
      <c r="K277" s="85">
        <f t="shared" si="85"/>
        <v>-2622.054407072922</v>
      </c>
      <c r="L277" s="85">
        <f t="shared" si="86"/>
        <v>1009.1545852544264</v>
      </c>
      <c r="M277" s="85">
        <f t="shared" si="74"/>
        <v>3631.2089923273484</v>
      </c>
      <c r="N277" s="85">
        <f t="shared" si="75"/>
        <v>2470.8101889679037</v>
      </c>
      <c r="O277" s="85">
        <f t="shared" si="76"/>
        <v>4530.4176106344803</v>
      </c>
      <c r="P277" s="85">
        <f t="shared" si="87"/>
        <v>208124.60296524994</v>
      </c>
      <c r="Q277" s="85">
        <f t="shared" si="77"/>
        <v>1531619.7819258356</v>
      </c>
      <c r="R277" s="85">
        <f t="shared" si="78"/>
        <v>2139.1787117235967</v>
      </c>
      <c r="S277" s="85" cm="1">
        <f t="array" ref="S277">Y277*tax_rate</f>
        <v>0</v>
      </c>
      <c r="T277" s="85">
        <f t="shared" si="88"/>
        <v>610955.01950995461</v>
      </c>
      <c r="U277" s="85">
        <f t="shared" si="79"/>
        <v>2142574.80143579</v>
      </c>
      <c r="V277" s="85"/>
      <c r="W277" s="138">
        <f t="shared" si="89"/>
        <v>0.14612832863427089</v>
      </c>
      <c r="X277" s="138" t="str">
        <f t="shared" si="95"/>
        <v/>
      </c>
      <c r="Y277" s="142"/>
      <c r="Z277" s="139">
        <f t="shared" si="80"/>
        <v>4530.4176106344803</v>
      </c>
      <c r="AA277" s="114">
        <v>250</v>
      </c>
      <c r="AB277" s="46">
        <f t="shared" si="90"/>
        <v>-1308.9854495175332</v>
      </c>
      <c r="AC277" s="47"/>
      <c r="AD277" s="47">
        <f t="shared" si="94"/>
        <v>14633.899178520776</v>
      </c>
      <c r="AE277" s="86"/>
      <c r="AF277" s="140"/>
      <c r="AG277" s="140"/>
      <c r="AH277" s="140">
        <f t="shared" si="81"/>
        <v>2038190.1383423249</v>
      </c>
      <c r="AI277" s="9"/>
      <c r="AJ277" s="9"/>
      <c r="AK277" s="9"/>
    </row>
    <row r="278" spans="2:37" ht="12" hidden="1" customHeight="1" outlineLevel="1" x14ac:dyDescent="0.25">
      <c r="B278" s="8" t="str">
        <f t="shared" si="82"/>
        <v/>
      </c>
      <c r="C278" s="85">
        <f t="shared" si="83"/>
        <v>1748443.1068155407</v>
      </c>
      <c r="D278" s="85">
        <f t="shared" si="91"/>
        <v>5539.5721958889071</v>
      </c>
      <c r="E278" s="85">
        <f t="shared" si="92"/>
        <v>-677.52310801011936</v>
      </c>
      <c r="F278" s="85">
        <f t="shared" si="93"/>
        <v>-331.63147724430706</v>
      </c>
      <c r="G278" s="85">
        <f t="shared" si="84"/>
        <v>0</v>
      </c>
      <c r="H278" s="85">
        <v>0</v>
      </c>
      <c r="I278" s="85">
        <v>0</v>
      </c>
      <c r="J278" s="85">
        <v>0</v>
      </c>
      <c r="K278" s="85">
        <f t="shared" si="85"/>
        <v>-2622.054407072922</v>
      </c>
      <c r="L278" s="85">
        <f t="shared" si="86"/>
        <v>1009.1545852544264</v>
      </c>
      <c r="M278" s="85">
        <f t="shared" si="74"/>
        <v>3631.2089923273484</v>
      </c>
      <c r="N278" s="85">
        <f t="shared" si="75"/>
        <v>2470.8101889679037</v>
      </c>
      <c r="O278" s="85">
        <f t="shared" si="76"/>
        <v>4530.4176106344803</v>
      </c>
      <c r="P278" s="85">
        <f t="shared" si="87"/>
        <v>206803.32732670981</v>
      </c>
      <c r="Q278" s="85">
        <f t="shared" si="77"/>
        <v>1541639.7794888308</v>
      </c>
      <c r="R278" s="85">
        <f t="shared" si="78"/>
        <v>2139.1787117235967</v>
      </c>
      <c r="S278" s="85" cm="1">
        <f t="array" ref="S278">Y278*tax_rate</f>
        <v>0</v>
      </c>
      <c r="T278" s="85">
        <f t="shared" si="88"/>
        <v>615639.84413630306</v>
      </c>
      <c r="U278" s="85">
        <f t="shared" si="79"/>
        <v>2157279.6236251341</v>
      </c>
      <c r="V278" s="85"/>
      <c r="W278" s="138">
        <f t="shared" si="89"/>
        <v>0.14588034851480716</v>
      </c>
      <c r="X278" s="138" t="str">
        <f t="shared" si="95"/>
        <v/>
      </c>
      <c r="Y278" s="142"/>
      <c r="Z278" s="139">
        <f t="shared" si="80"/>
        <v>4530.4176106344803</v>
      </c>
      <c r="AA278" s="114">
        <v>251</v>
      </c>
      <c r="AB278" s="46">
        <f t="shared" si="90"/>
        <v>-1300.7787685328121</v>
      </c>
      <c r="AC278" s="47"/>
      <c r="AD278" s="47">
        <f t="shared" si="94"/>
        <v>14704.822189344093</v>
      </c>
      <c r="AE278" s="86"/>
      <c r="AF278" s="140"/>
      <c r="AG278" s="140"/>
      <c r="AH278" s="140">
        <f t="shared" si="81"/>
        <v>2052373.0372162017</v>
      </c>
      <c r="AI278" s="9"/>
      <c r="AJ278" s="9"/>
      <c r="AK278" s="9"/>
    </row>
    <row r="279" spans="2:37" ht="15" customHeight="1" collapsed="1" x14ac:dyDescent="0.25">
      <c r="B279" s="8">
        <f t="shared" si="82"/>
        <v>21</v>
      </c>
      <c r="C279" s="85">
        <f t="shared" si="83"/>
        <v>1757185.3223496182</v>
      </c>
      <c r="D279" s="85">
        <f t="shared" si="91"/>
        <v>5539.5721958889071</v>
      </c>
      <c r="E279" s="85">
        <f t="shared" si="92"/>
        <v>-677.52310801011936</v>
      </c>
      <c r="F279" s="85">
        <f t="shared" si="93"/>
        <v>-331.63147724430706</v>
      </c>
      <c r="G279" s="85">
        <f t="shared" si="84"/>
        <v>0</v>
      </c>
      <c r="H279" s="85">
        <v>0</v>
      </c>
      <c r="I279" s="85">
        <v>0</v>
      </c>
      <c r="J279" s="85">
        <v>0</v>
      </c>
      <c r="K279" s="85">
        <f t="shared" si="85"/>
        <v>-2622.054407072922</v>
      </c>
      <c r="L279" s="85">
        <f t="shared" si="86"/>
        <v>1009.1545852544264</v>
      </c>
      <c r="M279" s="85">
        <f t="shared" si="74"/>
        <v>3631.2089923273484</v>
      </c>
      <c r="N279" s="85">
        <f t="shared" si="75"/>
        <v>2470.8101889679037</v>
      </c>
      <c r="O279" s="85">
        <f t="shared" si="76"/>
        <v>4530.4176106344803</v>
      </c>
      <c r="P279" s="85">
        <f t="shared" si="87"/>
        <v>205473.79371542882</v>
      </c>
      <c r="Q279" s="85">
        <f t="shared" si="77"/>
        <v>1551711.5286341894</v>
      </c>
      <c r="R279" s="85">
        <f t="shared" si="78"/>
        <v>2139.1787117235967</v>
      </c>
      <c r="S279" s="85" cm="1">
        <f t="array" ref="S279">Y279*tax_rate</f>
        <v>8518.3735005573799</v>
      </c>
      <c r="T279" s="85">
        <f t="shared" si="88"/>
        <v>628862.56236581865</v>
      </c>
      <c r="U279" s="85">
        <f t="shared" si="79"/>
        <v>2180574.0910000079</v>
      </c>
      <c r="V279" s="85">
        <f>U279-U267</f>
        <v>181203.42701851344</v>
      </c>
      <c r="W279" s="138">
        <f t="shared" si="89"/>
        <v>0.14584719622672154</v>
      </c>
      <c r="X279" s="138">
        <f t="shared" si="95"/>
        <v>9.0630231943920628E-2</v>
      </c>
      <c r="Y279" s="141">
        <f>(((Sale_Price*0.8)+Improvement_Costs+Closing_Costs_Total)/27.5)+(-E279*12)+-AC279</f>
        <v>38719.879547988086</v>
      </c>
      <c r="Z279" s="139">
        <f t="shared" si="80"/>
        <v>4530.4176106344803</v>
      </c>
      <c r="AA279" s="114">
        <v>252</v>
      </c>
      <c r="AB279" s="46">
        <f t="shared" si="90"/>
        <v>-1292.5207957919363</v>
      </c>
      <c r="AC279" s="46">
        <f>SUM(AB268:AB279)</f>
        <v>-16044.147706412108</v>
      </c>
      <c r="AD279" s="47">
        <f t="shared" si="94"/>
        <v>23294.467374873813</v>
      </c>
      <c r="AE279" s="86">
        <f>D279*12</f>
        <v>66474.866350666882</v>
      </c>
      <c r="AF279" s="140"/>
      <c r="AG279" s="140"/>
      <c r="AH279" s="140">
        <f t="shared" si="81"/>
        <v>2075142.9716590308</v>
      </c>
      <c r="AI279" s="9">
        <f>AI267*(1+Comparison_Rate_of_Return)</f>
        <v>925031.24303227174</v>
      </c>
      <c r="AJ279" s="9"/>
      <c r="AK279" s="9"/>
    </row>
    <row r="280" spans="2:37" ht="12" hidden="1" customHeight="1" outlineLevel="1" x14ac:dyDescent="0.25">
      <c r="B280" s="8" t="str">
        <f t="shared" si="82"/>
        <v/>
      </c>
      <c r="C280" s="85">
        <f t="shared" si="83"/>
        <v>1765971.248961366</v>
      </c>
      <c r="D280" s="85">
        <f t="shared" si="91"/>
        <v>5733.457222745018</v>
      </c>
      <c r="E280" s="85">
        <f t="shared" si="92"/>
        <v>-701.23641679047353</v>
      </c>
      <c r="F280" s="85">
        <f t="shared" si="93"/>
        <v>-343.23857894785777</v>
      </c>
      <c r="G280" s="85">
        <f t="shared" si="84"/>
        <v>0</v>
      </c>
      <c r="H280" s="85">
        <v>0</v>
      </c>
      <c r="I280" s="85">
        <v>0</v>
      </c>
      <c r="J280" s="85">
        <v>0</v>
      </c>
      <c r="K280" s="85">
        <f t="shared" si="85"/>
        <v>-2622.054407072922</v>
      </c>
      <c r="L280" s="85">
        <f t="shared" si="86"/>
        <v>1044.4749957383312</v>
      </c>
      <c r="M280" s="85">
        <f t="shared" si="74"/>
        <v>3666.529402811253</v>
      </c>
      <c r="N280" s="85">
        <f t="shared" si="75"/>
        <v>2649.0604498293324</v>
      </c>
      <c r="O280" s="85">
        <f t="shared" si="76"/>
        <v>4688.982227006687</v>
      </c>
      <c r="P280" s="85">
        <f t="shared" si="87"/>
        <v>204135.95051907731</v>
      </c>
      <c r="Q280" s="85">
        <f t="shared" si="77"/>
        <v>1561835.2984422888</v>
      </c>
      <c r="R280" s="85">
        <f t="shared" si="78"/>
        <v>2305.8218708814748</v>
      </c>
      <c r="S280" s="85" cm="1">
        <f t="array" ref="S280">Y280*tax_rate</f>
        <v>0</v>
      </c>
      <c r="T280" s="85">
        <f t="shared" si="88"/>
        <v>633788.64491322439</v>
      </c>
      <c r="U280" s="85">
        <f t="shared" si="79"/>
        <v>2195623.9433555133</v>
      </c>
      <c r="V280" s="85"/>
      <c r="W280" s="138">
        <f t="shared" si="89"/>
        <v>0.14560443205821152</v>
      </c>
      <c r="X280" s="138" t="str">
        <f t="shared" si="95"/>
        <v/>
      </c>
      <c r="Y280" s="142"/>
      <c r="Z280" s="139">
        <f t="shared" si="80"/>
        <v>4688.982227006687</v>
      </c>
      <c r="AA280" s="114">
        <v>253</v>
      </c>
      <c r="AB280" s="46">
        <f t="shared" si="90"/>
        <v>-1284.21121072143</v>
      </c>
      <c r="AC280" s="47"/>
      <c r="AD280" s="47">
        <f t="shared" si="94"/>
        <v>15049.85235550534</v>
      </c>
      <c r="AE280" s="86"/>
      <c r="AF280" s="140"/>
      <c r="AG280" s="140"/>
      <c r="AH280" s="140">
        <f t="shared" si="81"/>
        <v>2089665.6684178314</v>
      </c>
      <c r="AI280" s="9"/>
      <c r="AJ280" s="9"/>
      <c r="AK280" s="9"/>
    </row>
    <row r="281" spans="2:37" ht="12" hidden="1" customHeight="1" outlineLevel="1" x14ac:dyDescent="0.25">
      <c r="B281" s="8" t="str">
        <f t="shared" si="82"/>
        <v/>
      </c>
      <c r="C281" s="85">
        <f t="shared" si="83"/>
        <v>1774801.1052061727</v>
      </c>
      <c r="D281" s="85">
        <f t="shared" si="91"/>
        <v>5733.457222745018</v>
      </c>
      <c r="E281" s="85">
        <f t="shared" si="92"/>
        <v>-701.23641679047353</v>
      </c>
      <c r="F281" s="85">
        <f t="shared" si="93"/>
        <v>-343.23857894785777</v>
      </c>
      <c r="G281" s="85">
        <f t="shared" si="84"/>
        <v>0</v>
      </c>
      <c r="H281" s="85">
        <v>0</v>
      </c>
      <c r="I281" s="85">
        <v>0</v>
      </c>
      <c r="J281" s="85">
        <v>0</v>
      </c>
      <c r="K281" s="85">
        <f t="shared" si="85"/>
        <v>-2622.054407072922</v>
      </c>
      <c r="L281" s="85">
        <f t="shared" si="86"/>
        <v>1044.4749957383312</v>
      </c>
      <c r="M281" s="85">
        <f t="shared" si="74"/>
        <v>3666.529402811253</v>
      </c>
      <c r="N281" s="85">
        <f t="shared" si="75"/>
        <v>2649.0604498293324</v>
      </c>
      <c r="O281" s="85">
        <f t="shared" si="76"/>
        <v>4688.982227006687</v>
      </c>
      <c r="P281" s="85">
        <f t="shared" si="87"/>
        <v>202789.7458027486</v>
      </c>
      <c r="Q281" s="85">
        <f t="shared" si="77"/>
        <v>1572011.359403424</v>
      </c>
      <c r="R281" s="85">
        <f t="shared" si="78"/>
        <v>2305.8218708814748</v>
      </c>
      <c r="S281" s="85" cm="1">
        <f t="array" ref="S281">Y281*tax_rate</f>
        <v>0</v>
      </c>
      <c r="T281" s="85">
        <f t="shared" si="88"/>
        <v>638735.25280457758</v>
      </c>
      <c r="U281" s="85">
        <f t="shared" si="79"/>
        <v>2210746.6122080013</v>
      </c>
      <c r="V281" s="85"/>
      <c r="W281" s="138">
        <f t="shared" si="89"/>
        <v>0.14536287014523408</v>
      </c>
      <c r="X281" s="138" t="str">
        <f t="shared" si="95"/>
        <v/>
      </c>
      <c r="Y281" s="142"/>
      <c r="Z281" s="139">
        <f t="shared" si="80"/>
        <v>4688.982227006687</v>
      </c>
      <c r="AA281" s="114">
        <v>254</v>
      </c>
      <c r="AB281" s="46">
        <f t="shared" si="90"/>
        <v>-1275.8496907442332</v>
      </c>
      <c r="AC281" s="47"/>
      <c r="AD281" s="47">
        <f t="shared" si="94"/>
        <v>15122.668852488045</v>
      </c>
      <c r="AE281" s="86"/>
      <c r="AF281" s="140"/>
      <c r="AG281" s="140"/>
      <c r="AH281" s="140">
        <f t="shared" si="81"/>
        <v>2104258.545895631</v>
      </c>
      <c r="AI281" s="9"/>
      <c r="AJ281" s="9"/>
      <c r="AK281" s="9"/>
    </row>
    <row r="282" spans="2:37" ht="12" hidden="1" customHeight="1" outlineLevel="1" x14ac:dyDescent="0.25">
      <c r="B282" s="8" t="str">
        <f t="shared" si="82"/>
        <v/>
      </c>
      <c r="C282" s="85">
        <f t="shared" si="83"/>
        <v>1783675.1107322033</v>
      </c>
      <c r="D282" s="85">
        <f t="shared" si="91"/>
        <v>5733.457222745018</v>
      </c>
      <c r="E282" s="85">
        <f t="shared" si="92"/>
        <v>-701.23641679047353</v>
      </c>
      <c r="F282" s="85">
        <f t="shared" si="93"/>
        <v>-343.23857894785777</v>
      </c>
      <c r="G282" s="85">
        <f t="shared" si="84"/>
        <v>0</v>
      </c>
      <c r="H282" s="85">
        <v>0</v>
      </c>
      <c r="I282" s="85">
        <v>0</v>
      </c>
      <c r="J282" s="85">
        <v>0</v>
      </c>
      <c r="K282" s="85">
        <f t="shared" si="85"/>
        <v>-2622.054407072922</v>
      </c>
      <c r="L282" s="85">
        <f t="shared" si="86"/>
        <v>1044.4749957383312</v>
      </c>
      <c r="M282" s="85">
        <f t="shared" si="74"/>
        <v>3666.529402811253</v>
      </c>
      <c r="N282" s="85">
        <f t="shared" si="75"/>
        <v>2649.0604498293324</v>
      </c>
      <c r="O282" s="85">
        <f t="shared" si="76"/>
        <v>4688.982227006687</v>
      </c>
      <c r="P282" s="85">
        <f t="shared" si="87"/>
        <v>201435.12730694286</v>
      </c>
      <c r="Q282" s="85">
        <f t="shared" si="77"/>
        <v>1582239.9834252605</v>
      </c>
      <c r="R282" s="85">
        <f t="shared" si="78"/>
        <v>2305.8218708814748</v>
      </c>
      <c r="S282" s="85" cm="1">
        <f t="array" ref="S282">Y282*tax_rate</f>
        <v>0</v>
      </c>
      <c r="T282" s="85">
        <f t="shared" si="88"/>
        <v>643702.47156214481</v>
      </c>
      <c r="U282" s="85">
        <f t="shared" si="79"/>
        <v>2225942.4549874053</v>
      </c>
      <c r="V282" s="85"/>
      <c r="W282" s="138">
        <f t="shared" si="89"/>
        <v>0.14512250304469096</v>
      </c>
      <c r="X282" s="138" t="str">
        <f t="shared" si="95"/>
        <v/>
      </c>
      <c r="Y282" s="142"/>
      <c r="Z282" s="139">
        <f t="shared" si="80"/>
        <v>4688.982227006687</v>
      </c>
      <c r="AA282" s="114">
        <v>255</v>
      </c>
      <c r="AB282" s="46">
        <f t="shared" si="90"/>
        <v>-1267.4359112671787</v>
      </c>
      <c r="AC282" s="47"/>
      <c r="AD282" s="47">
        <f t="shared" si="94"/>
        <v>15195.842779404018</v>
      </c>
      <c r="AE282" s="86"/>
      <c r="AF282" s="140"/>
      <c r="AG282" s="140"/>
      <c r="AH282" s="140">
        <f t="shared" si="81"/>
        <v>2118921.948343473</v>
      </c>
      <c r="AI282" s="9"/>
      <c r="AJ282" s="9"/>
      <c r="AK282" s="9"/>
    </row>
    <row r="283" spans="2:37" ht="12" hidden="1" customHeight="1" outlineLevel="1" x14ac:dyDescent="0.25">
      <c r="B283" s="8" t="str">
        <f t="shared" si="82"/>
        <v/>
      </c>
      <c r="C283" s="85">
        <f t="shared" si="83"/>
        <v>1792593.4862858641</v>
      </c>
      <c r="D283" s="85">
        <f t="shared" si="91"/>
        <v>5733.457222745018</v>
      </c>
      <c r="E283" s="85">
        <f t="shared" si="92"/>
        <v>-701.23641679047353</v>
      </c>
      <c r="F283" s="85">
        <f t="shared" si="93"/>
        <v>-343.23857894785777</v>
      </c>
      <c r="G283" s="85">
        <f t="shared" si="84"/>
        <v>0</v>
      </c>
      <c r="H283" s="85">
        <v>0</v>
      </c>
      <c r="I283" s="85">
        <v>0</v>
      </c>
      <c r="J283" s="85">
        <v>0</v>
      </c>
      <c r="K283" s="85">
        <f t="shared" si="85"/>
        <v>-2622.054407072922</v>
      </c>
      <c r="L283" s="85">
        <f t="shared" si="86"/>
        <v>1044.4749957383312</v>
      </c>
      <c r="M283" s="85">
        <f t="shared" ref="M283:M346" si="96">-E283-F283-G283-H283-I283-J283-K283</f>
        <v>3666.529402811253</v>
      </c>
      <c r="N283" s="85">
        <f t="shared" ref="N283:N346" si="97">(D283/Rent_Occupancy)+E283+G283+(H283+I283+J283)+K283</f>
        <v>2649.0604498293324</v>
      </c>
      <c r="O283" s="85">
        <f t="shared" ref="O283:O346" si="98">D283+E283+F283+G283+(H283+I283+J283)</f>
        <v>4688.982227006687</v>
      </c>
      <c r="P283" s="85">
        <f t="shared" si="87"/>
        <v>200072.0424455383</v>
      </c>
      <c r="Q283" s="85">
        <f t="shared" ref="Q283:Q346" si="99">C283-P283</f>
        <v>1592521.4438403258</v>
      </c>
      <c r="R283" s="85">
        <f t="shared" ref="R283:R346" si="100">IF(Net_Income_Toward_Loan="No",N283+F283,IF((N283+F283)&lt;0,(N283+F283),IF((N283+F283)+PI_Payment&gt;P283,D283+E283-P283,0)))</f>
        <v>2305.8218708814748</v>
      </c>
      <c r="S283" s="85" cm="1">
        <f t="array" ref="S283">Y283*tax_rate</f>
        <v>0</v>
      </c>
      <c r="T283" s="85">
        <f t="shared" si="88"/>
        <v>648690.38706453517</v>
      </c>
      <c r="U283" s="85">
        <f t="shared" ref="U283:U346" si="101">Q283+T283</f>
        <v>2241211.830904861</v>
      </c>
      <c r="V283" s="85"/>
      <c r="W283" s="138">
        <f t="shared" si="89"/>
        <v>0.14488332334624077</v>
      </c>
      <c r="X283" s="138" t="str">
        <f t="shared" si="95"/>
        <v/>
      </c>
      <c r="Y283" s="142"/>
      <c r="Z283" s="139">
        <f t="shared" ref="Z283:Z346" si="102">IF(D283+E283+F283+G283+H283+I283+J283&gt;-K283,D283+E283+F283+G283+H283+I283+J283,-K283)</f>
        <v>4688.982227006687</v>
      </c>
      <c r="AA283" s="114">
        <v>256</v>
      </c>
      <c r="AB283" s="46">
        <f t="shared" si="90"/>
        <v>-1258.9695456683928</v>
      </c>
      <c r="AC283" s="47"/>
      <c r="AD283" s="47">
        <f t="shared" si="94"/>
        <v>15269.375917455647</v>
      </c>
      <c r="AE283" s="86"/>
      <c r="AF283" s="140"/>
      <c r="AG283" s="140"/>
      <c r="AH283" s="140">
        <f t="shared" ref="AH283:AH346" si="103">U283-(C283*Cost_of_Sale_Percentage)</f>
        <v>2133656.2217277093</v>
      </c>
      <c r="AI283" s="9"/>
      <c r="AJ283" s="9"/>
      <c r="AK283" s="9"/>
    </row>
    <row r="284" spans="2:37" ht="12" hidden="1" customHeight="1" outlineLevel="1" x14ac:dyDescent="0.25">
      <c r="B284" s="8" t="str">
        <f t="shared" ref="B284:B347" si="104">IF(MOD(AA284,12)=0,AA284/12,"")</f>
        <v/>
      </c>
      <c r="C284" s="85">
        <f t="shared" ref="C284:C347" si="105">C283*(1+(Annual_Appreciation_Percentage/12))</f>
        <v>1801556.4537172932</v>
      </c>
      <c r="D284" s="85">
        <f t="shared" si="91"/>
        <v>5733.457222745018</v>
      </c>
      <c r="E284" s="85">
        <f t="shared" si="92"/>
        <v>-701.23641679047353</v>
      </c>
      <c r="F284" s="85">
        <f t="shared" si="93"/>
        <v>-343.23857894785777</v>
      </c>
      <c r="G284" s="85">
        <f t="shared" ref="G284:G347" si="106">IF(Other_Monthly_Cost_Months&gt;=AA284,-Other_Fixed_Monthly_Cost,0)</f>
        <v>0</v>
      </c>
      <c r="H284" s="85">
        <v>0</v>
      </c>
      <c r="I284" s="85">
        <v>0</v>
      </c>
      <c r="J284" s="85">
        <v>0</v>
      </c>
      <c r="K284" s="85">
        <f t="shared" ref="K284:K347" si="107">IF(P283&gt;PI_Payment,-PI_Payment,-P283)</f>
        <v>-2622.054407072922</v>
      </c>
      <c r="L284" s="85">
        <f t="shared" ref="L284:L347" si="108">-E284-F284-G284</f>
        <v>1044.4749957383312</v>
      </c>
      <c r="M284" s="85">
        <f t="shared" si="96"/>
        <v>3666.529402811253</v>
      </c>
      <c r="N284" s="85">
        <f t="shared" si="97"/>
        <v>2649.0604498293324</v>
      </c>
      <c r="O284" s="85">
        <f t="shared" si="98"/>
        <v>4688.982227006687</v>
      </c>
      <c r="P284" s="85">
        <f t="shared" ref="P284:P347" si="109">IF(Net_Income_Toward_Loan="No",-IF(FV(Loan_Rate/12,1,(K284),P283,0)&lt;0,FV(Loan_Rate/12,1,(K284),P283,0),0),-IF(FV(Loan_Rate/12,1,(-Z284),P283,0)&lt;0,FV(Loan_Rate/12,1,(-Z284),P283,0),0))</f>
        <v>198700.43830374998</v>
      </c>
      <c r="Q284" s="85">
        <f t="shared" si="99"/>
        <v>1602856.0154135432</v>
      </c>
      <c r="R284" s="85">
        <f t="shared" si="100"/>
        <v>2305.8218708814748</v>
      </c>
      <c r="S284" s="85" cm="1">
        <f t="array" ref="S284">Y284*tax_rate</f>
        <v>0</v>
      </c>
      <c r="T284" s="85">
        <f t="shared" ref="T284:T347" si="110">T283*(1+Time_Value_of_Money_Percentage/12)+R284+S284</f>
        <v>653699.08554818551</v>
      </c>
      <c r="U284" s="85">
        <f t="shared" si="101"/>
        <v>2256555.100961729</v>
      </c>
      <c r="V284" s="85"/>
      <c r="W284" s="138">
        <f t="shared" ref="W284:W347" si="111">RATE(AA284/12,0,-Total_Initial_Investment,U284,0)</f>
        <v>0.14464532367302357</v>
      </c>
      <c r="X284" s="138" t="str">
        <f t="shared" si="95"/>
        <v/>
      </c>
      <c r="Y284" s="142"/>
      <c r="Z284" s="139">
        <f t="shared" si="102"/>
        <v>4688.982227006687</v>
      </c>
      <c r="AA284" s="114">
        <v>257</v>
      </c>
      <c r="AB284" s="46">
        <f t="shared" ref="AB284:AB347" si="112">IF(AA284&lt;Loan_Term*12,IPMT(Loan_Rate/12,1,(Loan_Term*12)-AA283,P283,0),0)</f>
        <v>-1250.4502652846143</v>
      </c>
      <c r="AC284" s="47"/>
      <c r="AD284" s="47">
        <f t="shared" si="94"/>
        <v>15343.270056867972</v>
      </c>
      <c r="AE284" s="86"/>
      <c r="AF284" s="140"/>
      <c r="AG284" s="140"/>
      <c r="AH284" s="140">
        <f t="shared" si="103"/>
        <v>2148461.7137386915</v>
      </c>
      <c r="AI284" s="9"/>
      <c r="AJ284" s="9"/>
      <c r="AK284" s="9"/>
    </row>
    <row r="285" spans="2:37" ht="12" hidden="1" customHeight="1" outlineLevel="1" x14ac:dyDescent="0.25">
      <c r="B285" s="8" t="str">
        <f t="shared" si="104"/>
        <v/>
      </c>
      <c r="C285" s="85">
        <f t="shared" si="105"/>
        <v>1810564.2359858796</v>
      </c>
      <c r="D285" s="85">
        <f t="shared" ref="D285:D348" si="113">IF(MOD(AA285-1,12)&gt;0,D284,D284*(1+Annual_Rent_Increase_Percentage))</f>
        <v>5733.457222745018</v>
      </c>
      <c r="E285" s="85">
        <f t="shared" ref="E285:E348" si="114">IF(MOD($AA285-1,12)&gt;0,E284,E284*(1+Annual_Inflation_Percentage))</f>
        <v>-701.23641679047353</v>
      </c>
      <c r="F285" s="85">
        <f t="shared" ref="F285:F348" si="115">IF(MOD($AA285-1,12)&gt;0,F284,F284*(1+Annual_Inflation_Percentage))</f>
        <v>-343.23857894785777</v>
      </c>
      <c r="G285" s="85">
        <f t="shared" si="106"/>
        <v>0</v>
      </c>
      <c r="H285" s="85">
        <v>0</v>
      </c>
      <c r="I285" s="85">
        <v>0</v>
      </c>
      <c r="J285" s="85">
        <v>0</v>
      </c>
      <c r="K285" s="85">
        <f t="shared" si="107"/>
        <v>-2622.054407072922</v>
      </c>
      <c r="L285" s="85">
        <f t="shared" si="108"/>
        <v>1044.4749957383312</v>
      </c>
      <c r="M285" s="85">
        <f t="shared" si="96"/>
        <v>3666.529402811253</v>
      </c>
      <c r="N285" s="85">
        <f t="shared" si="97"/>
        <v>2649.0604498293324</v>
      </c>
      <c r="O285" s="85">
        <f t="shared" si="98"/>
        <v>4688.982227006687</v>
      </c>
      <c r="P285" s="85">
        <f t="shared" si="109"/>
        <v>197320.26163607548</v>
      </c>
      <c r="Q285" s="85">
        <f t="shared" si="99"/>
        <v>1613243.974349804</v>
      </c>
      <c r="R285" s="85">
        <f t="shared" si="100"/>
        <v>2305.8218708814748</v>
      </c>
      <c r="S285" s="85" cm="1">
        <f t="array" ref="S285">Y285*tax_rate</f>
        <v>0</v>
      </c>
      <c r="T285" s="85">
        <f t="shared" si="110"/>
        <v>658728.65360885113</v>
      </c>
      <c r="U285" s="85">
        <f t="shared" si="101"/>
        <v>2271972.6279586554</v>
      </c>
      <c r="V285" s="85"/>
      <c r="W285" s="138">
        <f t="shared" si="111"/>
        <v>0.14440849668233943</v>
      </c>
      <c r="X285" s="138" t="str">
        <f t="shared" si="95"/>
        <v/>
      </c>
      <c r="Y285" s="142"/>
      <c r="Z285" s="139">
        <f t="shared" si="102"/>
        <v>4688.982227006687</v>
      </c>
      <c r="AA285" s="114">
        <v>258</v>
      </c>
      <c r="AB285" s="46">
        <f t="shared" si="112"/>
        <v>-1241.8777393984374</v>
      </c>
      <c r="AC285" s="47"/>
      <c r="AD285" s="47">
        <f t="shared" ref="AD285:AD348" si="116">U285-U284</f>
        <v>15417.526996926405</v>
      </c>
      <c r="AE285" s="86"/>
      <c r="AF285" s="140"/>
      <c r="AG285" s="140"/>
      <c r="AH285" s="140">
        <f t="shared" si="103"/>
        <v>2163338.7737995028</v>
      </c>
      <c r="AI285" s="9"/>
      <c r="AJ285" s="9"/>
      <c r="AK285" s="9"/>
    </row>
    <row r="286" spans="2:37" ht="12" hidden="1" customHeight="1" outlineLevel="1" x14ac:dyDescent="0.25">
      <c r="B286" s="8" t="str">
        <f t="shared" si="104"/>
        <v/>
      </c>
      <c r="C286" s="85">
        <f t="shared" si="105"/>
        <v>1819617.0571658087</v>
      </c>
      <c r="D286" s="85">
        <f t="shared" si="113"/>
        <v>5733.457222745018</v>
      </c>
      <c r="E286" s="85">
        <f t="shared" si="114"/>
        <v>-701.23641679047353</v>
      </c>
      <c r="F286" s="85">
        <f t="shared" si="115"/>
        <v>-343.23857894785777</v>
      </c>
      <c r="G286" s="85">
        <f t="shared" si="106"/>
        <v>0</v>
      </c>
      <c r="H286" s="85">
        <v>0</v>
      </c>
      <c r="I286" s="85">
        <v>0</v>
      </c>
      <c r="J286" s="85">
        <v>0</v>
      </c>
      <c r="K286" s="85">
        <f t="shared" si="107"/>
        <v>-2622.054407072922</v>
      </c>
      <c r="L286" s="85">
        <f t="shared" si="108"/>
        <v>1044.4749957383312</v>
      </c>
      <c r="M286" s="85">
        <f t="shared" si="96"/>
        <v>3666.529402811253</v>
      </c>
      <c r="N286" s="85">
        <f t="shared" si="97"/>
        <v>2649.0604498293324</v>
      </c>
      <c r="O286" s="85">
        <f t="shared" si="98"/>
        <v>4688.982227006687</v>
      </c>
      <c r="P286" s="85">
        <f t="shared" si="109"/>
        <v>195931.45886422801</v>
      </c>
      <c r="Q286" s="85">
        <f t="shared" si="99"/>
        <v>1623685.5983015806</v>
      </c>
      <c r="R286" s="85">
        <f t="shared" si="100"/>
        <v>2305.8218708814748</v>
      </c>
      <c r="S286" s="85" cm="1">
        <f t="array" ref="S286">Y286*tax_rate</f>
        <v>0</v>
      </c>
      <c r="T286" s="85">
        <f t="shared" si="110"/>
        <v>663779.17820310278</v>
      </c>
      <c r="U286" s="85">
        <f t="shared" si="101"/>
        <v>2287464.7765046833</v>
      </c>
      <c r="V286" s="85"/>
      <c r="W286" s="138">
        <f t="shared" si="111"/>
        <v>0.14417283506628642</v>
      </c>
      <c r="X286" s="138" t="str">
        <f t="shared" si="95"/>
        <v/>
      </c>
      <c r="Y286" s="142"/>
      <c r="Z286" s="139">
        <f t="shared" si="102"/>
        <v>4688.982227006687</v>
      </c>
      <c r="AA286" s="114">
        <v>259</v>
      </c>
      <c r="AB286" s="46">
        <f t="shared" si="112"/>
        <v>-1233.2516352254715</v>
      </c>
      <c r="AC286" s="47"/>
      <c r="AD286" s="47">
        <f t="shared" si="116"/>
        <v>15492.148546027951</v>
      </c>
      <c r="AE286" s="86"/>
      <c r="AF286" s="140"/>
      <c r="AG286" s="140"/>
      <c r="AH286" s="140">
        <f t="shared" si="103"/>
        <v>2178287.7530747349</v>
      </c>
      <c r="AI286" s="9"/>
      <c r="AJ286" s="9"/>
      <c r="AK286" s="9"/>
    </row>
    <row r="287" spans="2:37" ht="12" hidden="1" customHeight="1" outlineLevel="1" x14ac:dyDescent="0.25">
      <c r="B287" s="8" t="str">
        <f t="shared" si="104"/>
        <v/>
      </c>
      <c r="C287" s="85">
        <f t="shared" si="105"/>
        <v>1828715.1424516377</v>
      </c>
      <c r="D287" s="85">
        <f t="shared" si="113"/>
        <v>5733.457222745018</v>
      </c>
      <c r="E287" s="85">
        <f t="shared" si="114"/>
        <v>-701.23641679047353</v>
      </c>
      <c r="F287" s="85">
        <f t="shared" si="115"/>
        <v>-343.23857894785777</v>
      </c>
      <c r="G287" s="85">
        <f t="shared" si="106"/>
        <v>0</v>
      </c>
      <c r="H287" s="85">
        <v>0</v>
      </c>
      <c r="I287" s="85">
        <v>0</v>
      </c>
      <c r="J287" s="85">
        <v>0</v>
      </c>
      <c r="K287" s="85">
        <f t="shared" si="107"/>
        <v>-2622.054407072922</v>
      </c>
      <c r="L287" s="85">
        <f t="shared" si="108"/>
        <v>1044.4749957383312</v>
      </c>
      <c r="M287" s="85">
        <f t="shared" si="96"/>
        <v>3666.529402811253</v>
      </c>
      <c r="N287" s="85">
        <f t="shared" si="97"/>
        <v>2649.0604498293324</v>
      </c>
      <c r="O287" s="85">
        <f t="shared" si="98"/>
        <v>4688.982227006687</v>
      </c>
      <c r="P287" s="85">
        <f t="shared" si="109"/>
        <v>194533.9760750565</v>
      </c>
      <c r="Q287" s="85">
        <f t="shared" si="99"/>
        <v>1634181.1663765812</v>
      </c>
      <c r="R287" s="85">
        <f t="shared" si="100"/>
        <v>2305.8218708814748</v>
      </c>
      <c r="S287" s="85" cm="1">
        <f t="array" ref="S287">Y287*tax_rate</f>
        <v>0</v>
      </c>
      <c r="T287" s="85">
        <f t="shared" si="110"/>
        <v>668850.74664983049</v>
      </c>
      <c r="U287" s="85">
        <f t="shared" si="101"/>
        <v>2303031.9130264116</v>
      </c>
      <c r="V287" s="85"/>
      <c r="W287" s="138">
        <f t="shared" si="111"/>
        <v>0.14393833155235736</v>
      </c>
      <c r="X287" s="138" t="str">
        <f t="shared" si="95"/>
        <v/>
      </c>
      <c r="Y287" s="142"/>
      <c r="Z287" s="139">
        <f t="shared" si="102"/>
        <v>4688.982227006687</v>
      </c>
      <c r="AA287" s="114">
        <v>260</v>
      </c>
      <c r="AB287" s="46">
        <f t="shared" si="112"/>
        <v>-1224.571617901425</v>
      </c>
      <c r="AC287" s="47"/>
      <c r="AD287" s="47">
        <f t="shared" si="116"/>
        <v>15567.136521728244</v>
      </c>
      <c r="AE287" s="86"/>
      <c r="AF287" s="140"/>
      <c r="AG287" s="140"/>
      <c r="AH287" s="140">
        <f t="shared" si="103"/>
        <v>2193309.0044793133</v>
      </c>
      <c r="AI287" s="9"/>
      <c r="AJ287" s="9"/>
      <c r="AK287" s="9"/>
    </row>
    <row r="288" spans="2:37" ht="12" hidden="1" customHeight="1" outlineLevel="1" x14ac:dyDescent="0.25">
      <c r="B288" s="8" t="str">
        <f t="shared" si="104"/>
        <v/>
      </c>
      <c r="C288" s="85">
        <f t="shared" si="105"/>
        <v>1837858.7181638957</v>
      </c>
      <c r="D288" s="85">
        <f t="shared" si="113"/>
        <v>5733.457222745018</v>
      </c>
      <c r="E288" s="85">
        <f t="shared" si="114"/>
        <v>-701.23641679047353</v>
      </c>
      <c r="F288" s="85">
        <f t="shared" si="115"/>
        <v>-343.23857894785777</v>
      </c>
      <c r="G288" s="85">
        <f t="shared" si="106"/>
        <v>0</v>
      </c>
      <c r="H288" s="85">
        <v>0</v>
      </c>
      <c r="I288" s="85">
        <v>0</v>
      </c>
      <c r="J288" s="85">
        <v>0</v>
      </c>
      <c r="K288" s="85">
        <f t="shared" si="107"/>
        <v>-2622.054407072922</v>
      </c>
      <c r="L288" s="85">
        <f t="shared" si="108"/>
        <v>1044.4749957383312</v>
      </c>
      <c r="M288" s="85">
        <f t="shared" si="96"/>
        <v>3666.529402811253</v>
      </c>
      <c r="N288" s="85">
        <f t="shared" si="97"/>
        <v>2649.0604498293324</v>
      </c>
      <c r="O288" s="85">
        <f t="shared" si="98"/>
        <v>4688.982227006687</v>
      </c>
      <c r="P288" s="85">
        <f t="shared" si="109"/>
        <v>193127.75901845266</v>
      </c>
      <c r="Q288" s="85">
        <f t="shared" si="99"/>
        <v>1644730.959145443</v>
      </c>
      <c r="R288" s="85">
        <f t="shared" si="100"/>
        <v>2305.8218708814748</v>
      </c>
      <c r="S288" s="85" cm="1">
        <f t="array" ref="S288">Y288*tax_rate</f>
        <v>0</v>
      </c>
      <c r="T288" s="85">
        <f t="shared" si="110"/>
        <v>673943.44663175289</v>
      </c>
      <c r="U288" s="85">
        <f t="shared" si="101"/>
        <v>2318674.4057771959</v>
      </c>
      <c r="V288" s="85"/>
      <c r="W288" s="138">
        <f t="shared" si="111"/>
        <v>0.14370497890399664</v>
      </c>
      <c r="X288" s="138" t="str">
        <f t="shared" si="95"/>
        <v/>
      </c>
      <c r="Y288" s="142"/>
      <c r="Z288" s="139">
        <f t="shared" si="102"/>
        <v>4688.982227006687</v>
      </c>
      <c r="AA288" s="114">
        <v>261</v>
      </c>
      <c r="AB288" s="46">
        <f t="shared" si="112"/>
        <v>-1215.8373504691031</v>
      </c>
      <c r="AC288" s="47"/>
      <c r="AD288" s="47">
        <f t="shared" si="116"/>
        <v>15642.492750784382</v>
      </c>
      <c r="AE288" s="86"/>
      <c r="AF288" s="140"/>
      <c r="AG288" s="140"/>
      <c r="AH288" s="140">
        <f t="shared" si="103"/>
        <v>2208402.8826873624</v>
      </c>
      <c r="AI288" s="9"/>
      <c r="AJ288" s="9"/>
      <c r="AK288" s="9"/>
    </row>
    <row r="289" spans="2:37" ht="12" hidden="1" customHeight="1" outlineLevel="1" x14ac:dyDescent="0.25">
      <c r="B289" s="8" t="str">
        <f t="shared" si="104"/>
        <v/>
      </c>
      <c r="C289" s="85">
        <f t="shared" si="105"/>
        <v>1847048.0117547149</v>
      </c>
      <c r="D289" s="85">
        <f t="shared" si="113"/>
        <v>5733.457222745018</v>
      </c>
      <c r="E289" s="85">
        <f t="shared" si="114"/>
        <v>-701.23641679047353</v>
      </c>
      <c r="F289" s="85">
        <f t="shared" si="115"/>
        <v>-343.23857894785777</v>
      </c>
      <c r="G289" s="85">
        <f t="shared" si="106"/>
        <v>0</v>
      </c>
      <c r="H289" s="85">
        <v>0</v>
      </c>
      <c r="I289" s="85">
        <v>0</v>
      </c>
      <c r="J289" s="85">
        <v>0</v>
      </c>
      <c r="K289" s="85">
        <f t="shared" si="107"/>
        <v>-2622.054407072922</v>
      </c>
      <c r="L289" s="85">
        <f t="shared" si="108"/>
        <v>1044.4749957383312</v>
      </c>
      <c r="M289" s="85">
        <f t="shared" si="96"/>
        <v>3666.529402811253</v>
      </c>
      <c r="N289" s="85">
        <f t="shared" si="97"/>
        <v>2649.0604498293324</v>
      </c>
      <c r="O289" s="85">
        <f t="shared" si="98"/>
        <v>4688.982227006687</v>
      </c>
      <c r="P289" s="85">
        <f t="shared" si="109"/>
        <v>191712.75310524506</v>
      </c>
      <c r="Q289" s="85">
        <f t="shared" si="99"/>
        <v>1655335.2586494698</v>
      </c>
      <c r="R289" s="85">
        <f t="shared" si="100"/>
        <v>2305.8218708814748</v>
      </c>
      <c r="S289" s="85" cm="1">
        <f t="array" ref="S289">Y289*tax_rate</f>
        <v>0</v>
      </c>
      <c r="T289" s="85">
        <f t="shared" si="110"/>
        <v>679057.36619693332</v>
      </c>
      <c r="U289" s="85">
        <f t="shared" si="101"/>
        <v>2334392.624846403</v>
      </c>
      <c r="V289" s="85"/>
      <c r="W289" s="138">
        <f t="shared" si="111"/>
        <v>0.14347276992112221</v>
      </c>
      <c r="X289" s="138" t="str">
        <f t="shared" si="95"/>
        <v/>
      </c>
      <c r="Y289" s="142"/>
      <c r="Z289" s="139">
        <f t="shared" si="102"/>
        <v>4688.982227006687</v>
      </c>
      <c r="AA289" s="114">
        <v>262</v>
      </c>
      <c r="AB289" s="46">
        <f t="shared" si="112"/>
        <v>-1207.048493865329</v>
      </c>
      <c r="AC289" s="47"/>
      <c r="AD289" s="47">
        <f t="shared" si="116"/>
        <v>15718.219069207087</v>
      </c>
      <c r="AE289" s="86"/>
      <c r="AF289" s="140"/>
      <c r="AG289" s="140"/>
      <c r="AH289" s="140">
        <f t="shared" si="103"/>
        <v>2223569.74414112</v>
      </c>
      <c r="AI289" s="9"/>
      <c r="AJ289" s="9"/>
      <c r="AK289" s="9"/>
    </row>
    <row r="290" spans="2:37" ht="12" hidden="1" customHeight="1" outlineLevel="1" x14ac:dyDescent="0.25">
      <c r="B290" s="8" t="str">
        <f t="shared" si="104"/>
        <v/>
      </c>
      <c r="C290" s="85">
        <f t="shared" si="105"/>
        <v>1856283.2518134883</v>
      </c>
      <c r="D290" s="85">
        <f t="shared" si="113"/>
        <v>5733.457222745018</v>
      </c>
      <c r="E290" s="85">
        <f t="shared" si="114"/>
        <v>-701.23641679047353</v>
      </c>
      <c r="F290" s="85">
        <f t="shared" si="115"/>
        <v>-343.23857894785777</v>
      </c>
      <c r="G290" s="85">
        <f t="shared" si="106"/>
        <v>0</v>
      </c>
      <c r="H290" s="85">
        <v>0</v>
      </c>
      <c r="I290" s="85">
        <v>0</v>
      </c>
      <c r="J290" s="85">
        <v>0</v>
      </c>
      <c r="K290" s="85">
        <f t="shared" si="107"/>
        <v>-2622.054407072922</v>
      </c>
      <c r="L290" s="85">
        <f t="shared" si="108"/>
        <v>1044.4749957383312</v>
      </c>
      <c r="M290" s="85">
        <f t="shared" si="96"/>
        <v>3666.529402811253</v>
      </c>
      <c r="N290" s="85">
        <f t="shared" si="97"/>
        <v>2649.0604498293324</v>
      </c>
      <c r="O290" s="85">
        <f t="shared" si="98"/>
        <v>4688.982227006687</v>
      </c>
      <c r="P290" s="85">
        <f t="shared" si="109"/>
        <v>190288.90340507991</v>
      </c>
      <c r="Q290" s="85">
        <f t="shared" si="99"/>
        <v>1665994.3484084085</v>
      </c>
      <c r="R290" s="85">
        <f t="shared" si="100"/>
        <v>2305.8218708814748</v>
      </c>
      <c r="S290" s="85" cm="1">
        <f t="array" ref="S290">Y290*tax_rate</f>
        <v>0</v>
      </c>
      <c r="T290" s="85">
        <f t="shared" si="110"/>
        <v>684192.59376030206</v>
      </c>
      <c r="U290" s="85">
        <f t="shared" si="101"/>
        <v>2350186.9421687108</v>
      </c>
      <c r="V290" s="85"/>
      <c r="W290" s="138">
        <f t="shared" si="111"/>
        <v>0.14324169744060863</v>
      </c>
      <c r="X290" s="138" t="str">
        <f t="shared" si="95"/>
        <v/>
      </c>
      <c r="Y290" s="142"/>
      <c r="Z290" s="139">
        <f t="shared" si="102"/>
        <v>4688.982227006687</v>
      </c>
      <c r="AA290" s="114">
        <v>263</v>
      </c>
      <c r="AB290" s="46">
        <f t="shared" si="112"/>
        <v>-1198.2047069077817</v>
      </c>
      <c r="AC290" s="47"/>
      <c r="AD290" s="47">
        <f t="shared" si="116"/>
        <v>15794.317322307732</v>
      </c>
      <c r="AE290" s="86"/>
      <c r="AF290" s="140"/>
      <c r="AG290" s="140"/>
      <c r="AH290" s="140">
        <f t="shared" si="103"/>
        <v>2238809.9470599014</v>
      </c>
      <c r="AI290" s="9"/>
      <c r="AJ290" s="9"/>
      <c r="AK290" s="9"/>
    </row>
    <row r="291" spans="2:37" ht="15" customHeight="1" collapsed="1" x14ac:dyDescent="0.25">
      <c r="B291" s="8">
        <f t="shared" si="104"/>
        <v>22</v>
      </c>
      <c r="C291" s="85">
        <f t="shared" si="105"/>
        <v>1865564.6680725554</v>
      </c>
      <c r="D291" s="85">
        <f t="shared" si="113"/>
        <v>5733.457222745018</v>
      </c>
      <c r="E291" s="85">
        <f t="shared" si="114"/>
        <v>-701.23641679047353</v>
      </c>
      <c r="F291" s="85">
        <f t="shared" si="115"/>
        <v>-343.23857894785777</v>
      </c>
      <c r="G291" s="85">
        <f t="shared" si="106"/>
        <v>0</v>
      </c>
      <c r="H291" s="85">
        <v>0</v>
      </c>
      <c r="I291" s="85">
        <v>0</v>
      </c>
      <c r="J291" s="85">
        <v>0</v>
      </c>
      <c r="K291" s="85">
        <f t="shared" si="107"/>
        <v>-2622.054407072922</v>
      </c>
      <c r="L291" s="85">
        <f t="shared" si="108"/>
        <v>1044.4749957383312</v>
      </c>
      <c r="M291" s="85">
        <f t="shared" si="96"/>
        <v>3666.529402811253</v>
      </c>
      <c r="N291" s="85">
        <f t="shared" si="97"/>
        <v>2649.0604498293324</v>
      </c>
      <c r="O291" s="85">
        <f t="shared" si="98"/>
        <v>4688.982227006687</v>
      </c>
      <c r="P291" s="85">
        <f t="shared" si="109"/>
        <v>188856.15464428873</v>
      </c>
      <c r="Q291" s="85">
        <f t="shared" si="99"/>
        <v>1676708.5134282666</v>
      </c>
      <c r="R291" s="85">
        <f t="shared" si="100"/>
        <v>2305.8218708814748</v>
      </c>
      <c r="S291" s="85" cm="1">
        <f t="array" ref="S291">Y291*tax_rate</f>
        <v>8317.6071793485826</v>
      </c>
      <c r="T291" s="85">
        <f t="shared" si="110"/>
        <v>697666.82528453344</v>
      </c>
      <c r="U291" s="85">
        <f t="shared" si="101"/>
        <v>2374375.3387128003</v>
      </c>
      <c r="V291" s="85">
        <f>U291-U279</f>
        <v>193801.24771279236</v>
      </c>
      <c r="W291" s="138">
        <f t="shared" si="111"/>
        <v>0.14319409078098619</v>
      </c>
      <c r="X291" s="138">
        <f t="shared" si="95"/>
        <v>8.8876249842955529E-2</v>
      </c>
      <c r="Y291" s="141">
        <f>(((Sale_Price*0.8)+Improvement_Costs+Closing_Costs_Total)/27.5)+(-E291*12)+-AC291</f>
        <v>37807.305360675375</v>
      </c>
      <c r="Z291" s="139">
        <f t="shared" si="102"/>
        <v>4688.982227006687</v>
      </c>
      <c r="AA291" s="114">
        <v>264</v>
      </c>
      <c r="AB291" s="46">
        <f t="shared" si="112"/>
        <v>-1189.3056462817494</v>
      </c>
      <c r="AC291" s="46">
        <f>SUM(AB280:AB291)</f>
        <v>-14847.013813735144</v>
      </c>
      <c r="AD291" s="47">
        <f t="shared" si="116"/>
        <v>24188.396544089541</v>
      </c>
      <c r="AE291" s="86">
        <f>D291*12</f>
        <v>68801.486672940213</v>
      </c>
      <c r="AF291" s="140"/>
      <c r="AG291" s="140"/>
      <c r="AH291" s="140">
        <f t="shared" si="103"/>
        <v>2262441.4586284468</v>
      </c>
      <c r="AI291" s="9">
        <f>AI279*(1+Comparison_Rate_of_Return)</f>
        <v>1017534.367335499</v>
      </c>
      <c r="AJ291" s="9"/>
      <c r="AK291" s="9"/>
    </row>
    <row r="292" spans="2:37" ht="12" hidden="1" customHeight="1" outlineLevel="1" x14ac:dyDescent="0.25">
      <c r="B292" s="8" t="str">
        <f t="shared" si="104"/>
        <v/>
      </c>
      <c r="C292" s="85">
        <f t="shared" si="105"/>
        <v>1874892.4914129181</v>
      </c>
      <c r="D292" s="85">
        <f t="shared" si="113"/>
        <v>5934.1282255410933</v>
      </c>
      <c r="E292" s="85">
        <f t="shared" si="114"/>
        <v>-725.77969137814</v>
      </c>
      <c r="F292" s="85">
        <f t="shared" si="115"/>
        <v>-355.25192921103275</v>
      </c>
      <c r="G292" s="85">
        <f t="shared" si="106"/>
        <v>0</v>
      </c>
      <c r="H292" s="85">
        <v>0</v>
      </c>
      <c r="I292" s="85">
        <v>0</v>
      </c>
      <c r="J292" s="85">
        <v>0</v>
      </c>
      <c r="K292" s="85">
        <f t="shared" si="107"/>
        <v>-2622.054407072922</v>
      </c>
      <c r="L292" s="85">
        <f t="shared" si="108"/>
        <v>1081.0316205891727</v>
      </c>
      <c r="M292" s="85">
        <f t="shared" si="96"/>
        <v>3703.0860276620947</v>
      </c>
      <c r="N292" s="85">
        <f t="shared" si="97"/>
        <v>2833.5494698209104</v>
      </c>
      <c r="O292" s="85">
        <f t="shared" si="98"/>
        <v>4853.0966049519202</v>
      </c>
      <c r="P292" s="85">
        <f t="shared" si="109"/>
        <v>187414.45120374262</v>
      </c>
      <c r="Q292" s="85">
        <f t="shared" si="99"/>
        <v>1687478.0402091756</v>
      </c>
      <c r="R292" s="85">
        <f t="shared" si="100"/>
        <v>2478.2975406098776</v>
      </c>
      <c r="S292" s="85" cm="1">
        <f t="array" ref="S292">Y292*tax_rate</f>
        <v>0</v>
      </c>
      <c r="T292" s="85">
        <f t="shared" si="110"/>
        <v>703052.06793049548</v>
      </c>
      <c r="U292" s="85">
        <f t="shared" si="101"/>
        <v>2390530.1081396709</v>
      </c>
      <c r="V292" s="85"/>
      <c r="W292" s="138">
        <f t="shared" si="111"/>
        <v>0.14296781638451145</v>
      </c>
      <c r="X292" s="138" t="str">
        <f t="shared" si="95"/>
        <v/>
      </c>
      <c r="Y292" s="142"/>
      <c r="Z292" s="139">
        <f t="shared" si="102"/>
        <v>4853.0966049519202</v>
      </c>
      <c r="AA292" s="114">
        <v>265</v>
      </c>
      <c r="AB292" s="46">
        <f t="shared" si="112"/>
        <v>-1180.3509665268045</v>
      </c>
      <c r="AC292" s="47"/>
      <c r="AD292" s="47">
        <f t="shared" si="116"/>
        <v>16154.769426870625</v>
      </c>
      <c r="AE292" s="86"/>
      <c r="AF292" s="140"/>
      <c r="AG292" s="140"/>
      <c r="AH292" s="140">
        <f t="shared" si="103"/>
        <v>2278036.558654896</v>
      </c>
      <c r="AI292" s="9"/>
      <c r="AJ292" s="9"/>
      <c r="AK292" s="9"/>
    </row>
    <row r="293" spans="2:37" ht="12" hidden="1" customHeight="1" outlineLevel="1" x14ac:dyDescent="0.25">
      <c r="B293" s="8" t="str">
        <f t="shared" si="104"/>
        <v/>
      </c>
      <c r="C293" s="85">
        <f t="shared" si="105"/>
        <v>1884266.9538699824</v>
      </c>
      <c r="D293" s="85">
        <f t="shared" si="113"/>
        <v>5934.1282255410933</v>
      </c>
      <c r="E293" s="85">
        <f t="shared" si="114"/>
        <v>-725.77969137814</v>
      </c>
      <c r="F293" s="85">
        <f t="shared" si="115"/>
        <v>-355.25192921103275</v>
      </c>
      <c r="G293" s="85">
        <f t="shared" si="106"/>
        <v>0</v>
      </c>
      <c r="H293" s="85">
        <v>0</v>
      </c>
      <c r="I293" s="85">
        <v>0</v>
      </c>
      <c r="J293" s="85">
        <v>0</v>
      </c>
      <c r="K293" s="85">
        <f t="shared" si="107"/>
        <v>-2622.054407072922</v>
      </c>
      <c r="L293" s="85">
        <f t="shared" si="108"/>
        <v>1081.0316205891727</v>
      </c>
      <c r="M293" s="85">
        <f t="shared" si="96"/>
        <v>3703.0860276620947</v>
      </c>
      <c r="N293" s="85">
        <f t="shared" si="97"/>
        <v>2833.5494698209104</v>
      </c>
      <c r="O293" s="85">
        <f t="shared" si="98"/>
        <v>4853.0966049519202</v>
      </c>
      <c r="P293" s="85">
        <f t="shared" si="109"/>
        <v>185963.73711669308</v>
      </c>
      <c r="Q293" s="85">
        <f t="shared" si="99"/>
        <v>1698303.2167532893</v>
      </c>
      <c r="R293" s="85">
        <f t="shared" si="100"/>
        <v>2478.2975406098776</v>
      </c>
      <c r="S293" s="85" cm="1">
        <f t="array" ref="S293">Y293*tax_rate</f>
        <v>0</v>
      </c>
      <c r="T293" s="85">
        <f t="shared" si="110"/>
        <v>708459.74908748234</v>
      </c>
      <c r="U293" s="85">
        <f t="shared" si="101"/>
        <v>2406762.9658407718</v>
      </c>
      <c r="V293" s="85"/>
      <c r="W293" s="138">
        <f t="shared" si="111"/>
        <v>0.14274260589172405</v>
      </c>
      <c r="X293" s="138" t="str">
        <f t="shared" si="95"/>
        <v/>
      </c>
      <c r="Y293" s="142"/>
      <c r="Z293" s="139">
        <f t="shared" si="102"/>
        <v>4853.0966049519202</v>
      </c>
      <c r="AA293" s="114">
        <v>266</v>
      </c>
      <c r="AB293" s="46">
        <f t="shared" si="112"/>
        <v>-1171.3403200233913</v>
      </c>
      <c r="AC293" s="47"/>
      <c r="AD293" s="47">
        <f t="shared" si="116"/>
        <v>16232.857701100875</v>
      </c>
      <c r="AE293" s="86"/>
      <c r="AF293" s="140"/>
      <c r="AG293" s="140"/>
      <c r="AH293" s="140">
        <f t="shared" si="103"/>
        <v>2293706.9486085731</v>
      </c>
      <c r="AI293" s="9"/>
      <c r="AJ293" s="9"/>
      <c r="AK293" s="9"/>
    </row>
    <row r="294" spans="2:37" ht="12" hidden="1" customHeight="1" outlineLevel="1" x14ac:dyDescent="0.25">
      <c r="B294" s="8" t="str">
        <f t="shared" si="104"/>
        <v/>
      </c>
      <c r="C294" s="85">
        <f t="shared" si="105"/>
        <v>1893688.2886393322</v>
      </c>
      <c r="D294" s="85">
        <f t="shared" si="113"/>
        <v>5934.1282255410933</v>
      </c>
      <c r="E294" s="85">
        <f t="shared" si="114"/>
        <v>-725.77969137814</v>
      </c>
      <c r="F294" s="85">
        <f t="shared" si="115"/>
        <v>-355.25192921103275</v>
      </c>
      <c r="G294" s="85">
        <f t="shared" si="106"/>
        <v>0</v>
      </c>
      <c r="H294" s="85">
        <v>0</v>
      </c>
      <c r="I294" s="85">
        <v>0</v>
      </c>
      <c r="J294" s="85">
        <v>0</v>
      </c>
      <c r="K294" s="85">
        <f t="shared" si="107"/>
        <v>-2622.054407072922</v>
      </c>
      <c r="L294" s="85">
        <f t="shared" si="108"/>
        <v>1081.0316205891727</v>
      </c>
      <c r="M294" s="85">
        <f t="shared" si="96"/>
        <v>3703.0860276620947</v>
      </c>
      <c r="N294" s="85">
        <f t="shared" si="97"/>
        <v>2833.5494698209104</v>
      </c>
      <c r="O294" s="85">
        <f t="shared" si="98"/>
        <v>4853.0966049519202</v>
      </c>
      <c r="P294" s="85">
        <f t="shared" si="109"/>
        <v>184503.95606659946</v>
      </c>
      <c r="Q294" s="85">
        <f t="shared" si="99"/>
        <v>1709184.3325727326</v>
      </c>
      <c r="R294" s="85">
        <f t="shared" si="100"/>
        <v>2478.2975406098776</v>
      </c>
      <c r="S294" s="85" cm="1">
        <f t="array" ref="S294">Y294*tax_rate</f>
        <v>0</v>
      </c>
      <c r="T294" s="85">
        <f t="shared" si="110"/>
        <v>713889.96224928997</v>
      </c>
      <c r="U294" s="85">
        <f t="shared" si="101"/>
        <v>2423074.2948220223</v>
      </c>
      <c r="V294" s="85"/>
      <c r="W294" s="138">
        <f t="shared" si="111"/>
        <v>0.14251845325082718</v>
      </c>
      <c r="X294" s="138" t="str">
        <f t="shared" si="95"/>
        <v/>
      </c>
      <c r="Y294" s="142"/>
      <c r="Z294" s="139">
        <f t="shared" si="102"/>
        <v>4853.0966049519202</v>
      </c>
      <c r="AA294" s="114">
        <v>267</v>
      </c>
      <c r="AB294" s="46">
        <f t="shared" si="112"/>
        <v>-1162.2733569793318</v>
      </c>
      <c r="AC294" s="47"/>
      <c r="AD294" s="47">
        <f t="shared" si="116"/>
        <v>16311.328981250525</v>
      </c>
      <c r="AE294" s="86"/>
      <c r="AF294" s="140"/>
      <c r="AG294" s="140"/>
      <c r="AH294" s="140">
        <f t="shared" si="103"/>
        <v>2309452.9975036625</v>
      </c>
      <c r="AI294" s="9"/>
      <c r="AJ294" s="9"/>
      <c r="AK294" s="9"/>
    </row>
    <row r="295" spans="2:37" ht="12" hidden="1" customHeight="1" outlineLevel="1" x14ac:dyDescent="0.25">
      <c r="B295" s="8" t="str">
        <f t="shared" si="104"/>
        <v/>
      </c>
      <c r="C295" s="85">
        <f t="shared" si="105"/>
        <v>1903156.7300825287</v>
      </c>
      <c r="D295" s="85">
        <f t="shared" si="113"/>
        <v>5934.1282255410933</v>
      </c>
      <c r="E295" s="85">
        <f t="shared" si="114"/>
        <v>-725.77969137814</v>
      </c>
      <c r="F295" s="85">
        <f t="shared" si="115"/>
        <v>-355.25192921103275</v>
      </c>
      <c r="G295" s="85">
        <f t="shared" si="106"/>
        <v>0</v>
      </c>
      <c r="H295" s="85">
        <v>0</v>
      </c>
      <c r="I295" s="85">
        <v>0</v>
      </c>
      <c r="J295" s="85">
        <v>0</v>
      </c>
      <c r="K295" s="85">
        <f t="shared" si="107"/>
        <v>-2622.054407072922</v>
      </c>
      <c r="L295" s="85">
        <f t="shared" si="108"/>
        <v>1081.0316205891727</v>
      </c>
      <c r="M295" s="85">
        <f t="shared" si="96"/>
        <v>3703.0860276620947</v>
      </c>
      <c r="N295" s="85">
        <f t="shared" si="97"/>
        <v>2833.5494698209104</v>
      </c>
      <c r="O295" s="85">
        <f t="shared" si="98"/>
        <v>4853.0966049519202</v>
      </c>
      <c r="P295" s="85">
        <f t="shared" si="109"/>
        <v>183035.05138494278</v>
      </c>
      <c r="Q295" s="85">
        <f t="shared" si="99"/>
        <v>1720121.6786975858</v>
      </c>
      <c r="R295" s="85">
        <f t="shared" si="100"/>
        <v>2478.2975406098776</v>
      </c>
      <c r="S295" s="85" cm="1">
        <f t="array" ref="S295">Y295*tax_rate</f>
        <v>0</v>
      </c>
      <c r="T295" s="85">
        <f t="shared" si="110"/>
        <v>719342.80129927187</v>
      </c>
      <c r="U295" s="85">
        <f t="shared" si="101"/>
        <v>2439464.4799968577</v>
      </c>
      <c r="V295" s="85"/>
      <c r="W295" s="138">
        <f t="shared" si="111"/>
        <v>0.14229535242869029</v>
      </c>
      <c r="X295" s="138" t="str">
        <f t="shared" si="95"/>
        <v/>
      </c>
      <c r="Y295" s="142"/>
      <c r="Z295" s="139">
        <f t="shared" si="102"/>
        <v>4853.0966049519202</v>
      </c>
      <c r="AA295" s="114">
        <v>268</v>
      </c>
      <c r="AB295" s="46">
        <f t="shared" si="112"/>
        <v>-1153.1497254162466</v>
      </c>
      <c r="AC295" s="47"/>
      <c r="AD295" s="47">
        <f t="shared" si="116"/>
        <v>16390.18517483538</v>
      </c>
      <c r="AE295" s="86"/>
      <c r="AF295" s="140"/>
      <c r="AG295" s="140"/>
      <c r="AH295" s="140">
        <f t="shared" si="103"/>
        <v>2325275.0761919059</v>
      </c>
      <c r="AI295" s="9"/>
      <c r="AJ295" s="9"/>
      <c r="AK295" s="9"/>
    </row>
    <row r="296" spans="2:37" ht="12" hidden="1" customHeight="1" outlineLevel="1" x14ac:dyDescent="0.25">
      <c r="B296" s="8" t="str">
        <f t="shared" si="104"/>
        <v/>
      </c>
      <c r="C296" s="85">
        <f t="shared" si="105"/>
        <v>1912672.5137329411</v>
      </c>
      <c r="D296" s="85">
        <f t="shared" si="113"/>
        <v>5934.1282255410933</v>
      </c>
      <c r="E296" s="85">
        <f t="shared" si="114"/>
        <v>-725.77969137814</v>
      </c>
      <c r="F296" s="85">
        <f t="shared" si="115"/>
        <v>-355.25192921103275</v>
      </c>
      <c r="G296" s="85">
        <f t="shared" si="106"/>
        <v>0</v>
      </c>
      <c r="H296" s="85">
        <v>0</v>
      </c>
      <c r="I296" s="85">
        <v>0</v>
      </c>
      <c r="J296" s="85">
        <v>0</v>
      </c>
      <c r="K296" s="85">
        <f t="shared" si="107"/>
        <v>-2622.054407072922</v>
      </c>
      <c r="L296" s="85">
        <f t="shared" si="108"/>
        <v>1081.0316205891727</v>
      </c>
      <c r="M296" s="85">
        <f t="shared" si="96"/>
        <v>3703.0860276620947</v>
      </c>
      <c r="N296" s="85">
        <f t="shared" si="97"/>
        <v>2833.5494698209104</v>
      </c>
      <c r="O296" s="85">
        <f t="shared" si="98"/>
        <v>4853.0966049519202</v>
      </c>
      <c r="P296" s="85">
        <f t="shared" si="109"/>
        <v>181556.96604902574</v>
      </c>
      <c r="Q296" s="85">
        <f t="shared" si="99"/>
        <v>1731115.5476839154</v>
      </c>
      <c r="R296" s="85">
        <f t="shared" si="100"/>
        <v>2478.2975406098776</v>
      </c>
      <c r="S296" s="85" cm="1">
        <f t="array" ref="S296">Y296*tax_rate</f>
        <v>0</v>
      </c>
      <c r="T296" s="85">
        <f t="shared" si="110"/>
        <v>724818.36051196198</v>
      </c>
      <c r="U296" s="85">
        <f t="shared" si="101"/>
        <v>2455933.9081958774</v>
      </c>
      <c r="V296" s="85"/>
      <c r="W296" s="138">
        <f t="shared" si="111"/>
        <v>0.14207329741163888</v>
      </c>
      <c r="X296" s="138" t="str">
        <f t="shared" ref="X296:X359" si="117">IF(V296=0,"",V296/U284)</f>
        <v/>
      </c>
      <c r="Y296" s="142"/>
      <c r="Z296" s="139">
        <f t="shared" si="102"/>
        <v>4853.0966049519202</v>
      </c>
      <c r="AA296" s="114">
        <v>269</v>
      </c>
      <c r="AB296" s="46">
        <f t="shared" si="112"/>
        <v>-1143.9690711558924</v>
      </c>
      <c r="AC296" s="47"/>
      <c r="AD296" s="47">
        <f t="shared" si="116"/>
        <v>16469.428199019749</v>
      </c>
      <c r="AE296" s="86"/>
      <c r="AF296" s="140"/>
      <c r="AG296" s="140"/>
      <c r="AH296" s="140">
        <f t="shared" si="103"/>
        <v>2341173.5573719009</v>
      </c>
      <c r="AI296" s="9"/>
      <c r="AJ296" s="9"/>
      <c r="AK296" s="9"/>
    </row>
    <row r="297" spans="2:37" ht="12" hidden="1" customHeight="1" outlineLevel="1" x14ac:dyDescent="0.25">
      <c r="B297" s="8" t="str">
        <f t="shared" si="104"/>
        <v/>
      </c>
      <c r="C297" s="85">
        <f t="shared" si="105"/>
        <v>1922235.8763016057</v>
      </c>
      <c r="D297" s="85">
        <f t="shared" si="113"/>
        <v>5934.1282255410933</v>
      </c>
      <c r="E297" s="85">
        <f t="shared" si="114"/>
        <v>-725.77969137814</v>
      </c>
      <c r="F297" s="85">
        <f t="shared" si="115"/>
        <v>-355.25192921103275</v>
      </c>
      <c r="G297" s="85">
        <f t="shared" si="106"/>
        <v>0</v>
      </c>
      <c r="H297" s="85">
        <v>0</v>
      </c>
      <c r="I297" s="85">
        <v>0</v>
      </c>
      <c r="J297" s="85">
        <v>0</v>
      </c>
      <c r="K297" s="85">
        <f t="shared" si="107"/>
        <v>-2622.054407072922</v>
      </c>
      <c r="L297" s="85">
        <f t="shared" si="108"/>
        <v>1081.0316205891727</v>
      </c>
      <c r="M297" s="85">
        <f t="shared" si="96"/>
        <v>3703.0860276620947</v>
      </c>
      <c r="N297" s="85">
        <f t="shared" si="97"/>
        <v>2833.5494698209104</v>
      </c>
      <c r="O297" s="85">
        <f t="shared" si="98"/>
        <v>4853.0966049519202</v>
      </c>
      <c r="P297" s="85">
        <f t="shared" si="109"/>
        <v>180069.64267975921</v>
      </c>
      <c r="Q297" s="85">
        <f t="shared" si="99"/>
        <v>1742166.2336218464</v>
      </c>
      <c r="R297" s="85">
        <f t="shared" si="100"/>
        <v>2478.2975406098776</v>
      </c>
      <c r="S297" s="85" cm="1">
        <f t="array" ref="S297">Y297*tax_rate</f>
        <v>0</v>
      </c>
      <c r="T297" s="85">
        <f t="shared" si="110"/>
        <v>730316.73455470498</v>
      </c>
      <c r="U297" s="85">
        <f t="shared" si="101"/>
        <v>2472482.9681765512</v>
      </c>
      <c r="V297" s="85"/>
      <c r="W297" s="138">
        <f t="shared" si="111"/>
        <v>0.14185228220620316</v>
      </c>
      <c r="X297" s="138" t="str">
        <f t="shared" si="117"/>
        <v/>
      </c>
      <c r="Y297" s="142"/>
      <c r="Z297" s="139">
        <f t="shared" si="102"/>
        <v>4853.0966049519202</v>
      </c>
      <c r="AA297" s="114">
        <v>270</v>
      </c>
      <c r="AB297" s="46">
        <f t="shared" si="112"/>
        <v>-1134.7310378064108</v>
      </c>
      <c r="AC297" s="47"/>
      <c r="AD297" s="47">
        <f t="shared" si="116"/>
        <v>16549.059980673715</v>
      </c>
      <c r="AE297" s="86"/>
      <c r="AF297" s="140"/>
      <c r="AG297" s="140"/>
      <c r="AH297" s="140">
        <f t="shared" si="103"/>
        <v>2357148.8155984548</v>
      </c>
      <c r="AI297" s="9"/>
      <c r="AJ297" s="9"/>
      <c r="AK297" s="9"/>
    </row>
    <row r="298" spans="2:37" ht="12" hidden="1" customHeight="1" outlineLevel="1" x14ac:dyDescent="0.25">
      <c r="B298" s="8" t="str">
        <f t="shared" si="104"/>
        <v/>
      </c>
      <c r="C298" s="85">
        <f t="shared" si="105"/>
        <v>1931847.0556831136</v>
      </c>
      <c r="D298" s="85">
        <f t="shared" si="113"/>
        <v>5934.1282255410933</v>
      </c>
      <c r="E298" s="85">
        <f t="shared" si="114"/>
        <v>-725.77969137814</v>
      </c>
      <c r="F298" s="85">
        <f t="shared" si="115"/>
        <v>-355.25192921103275</v>
      </c>
      <c r="G298" s="85">
        <f t="shared" si="106"/>
        <v>0</v>
      </c>
      <c r="H298" s="85">
        <v>0</v>
      </c>
      <c r="I298" s="85">
        <v>0</v>
      </c>
      <c r="J298" s="85">
        <v>0</v>
      </c>
      <c r="K298" s="85">
        <f t="shared" si="107"/>
        <v>-2622.054407072922</v>
      </c>
      <c r="L298" s="85">
        <f t="shared" si="108"/>
        <v>1081.0316205891727</v>
      </c>
      <c r="M298" s="85">
        <f t="shared" si="96"/>
        <v>3703.0860276620947</v>
      </c>
      <c r="N298" s="85">
        <f t="shared" si="97"/>
        <v>2833.5494698209104</v>
      </c>
      <c r="O298" s="85">
        <f t="shared" si="98"/>
        <v>4853.0966049519202</v>
      </c>
      <c r="P298" s="85">
        <f t="shared" si="109"/>
        <v>178573.02353943477</v>
      </c>
      <c r="Q298" s="85">
        <f t="shared" si="99"/>
        <v>1753274.032143679</v>
      </c>
      <c r="R298" s="85">
        <f t="shared" si="100"/>
        <v>2478.2975406098776</v>
      </c>
      <c r="S298" s="85" cm="1">
        <f t="array" ref="S298">Y298*tax_rate</f>
        <v>0</v>
      </c>
      <c r="T298" s="85">
        <f t="shared" si="110"/>
        <v>735838.01848929271</v>
      </c>
      <c r="U298" s="85">
        <f t="shared" si="101"/>
        <v>2489112.0506329718</v>
      </c>
      <c r="V298" s="85"/>
      <c r="W298" s="138">
        <f t="shared" si="111"/>
        <v>0.14163230083982942</v>
      </c>
      <c r="X298" s="138" t="str">
        <f t="shared" si="117"/>
        <v/>
      </c>
      <c r="Y298" s="142"/>
      <c r="Z298" s="139">
        <f t="shared" si="102"/>
        <v>4853.0966049519202</v>
      </c>
      <c r="AA298" s="114">
        <v>271</v>
      </c>
      <c r="AB298" s="46">
        <f t="shared" si="112"/>
        <v>-1125.435266748495</v>
      </c>
      <c r="AC298" s="47"/>
      <c r="AD298" s="47">
        <f t="shared" si="116"/>
        <v>16629.082456420641</v>
      </c>
      <c r="AE298" s="86"/>
      <c r="AF298" s="140"/>
      <c r="AG298" s="140"/>
      <c r="AH298" s="140">
        <f t="shared" si="103"/>
        <v>2373201.2272919849</v>
      </c>
      <c r="AI298" s="9"/>
      <c r="AJ298" s="9"/>
      <c r="AK298" s="9"/>
    </row>
    <row r="299" spans="2:37" ht="12" hidden="1" customHeight="1" outlineLevel="1" x14ac:dyDescent="0.25">
      <c r="B299" s="8" t="str">
        <f t="shared" si="104"/>
        <v/>
      </c>
      <c r="C299" s="85">
        <f t="shared" si="105"/>
        <v>1941506.2909615289</v>
      </c>
      <c r="D299" s="85">
        <f t="shared" si="113"/>
        <v>5934.1282255410933</v>
      </c>
      <c r="E299" s="85">
        <f t="shared" si="114"/>
        <v>-725.77969137814</v>
      </c>
      <c r="F299" s="85">
        <f t="shared" si="115"/>
        <v>-355.25192921103275</v>
      </c>
      <c r="G299" s="85">
        <f t="shared" si="106"/>
        <v>0</v>
      </c>
      <c r="H299" s="85">
        <v>0</v>
      </c>
      <c r="I299" s="85">
        <v>0</v>
      </c>
      <c r="J299" s="85">
        <v>0</v>
      </c>
      <c r="K299" s="85">
        <f t="shared" si="107"/>
        <v>-2622.054407072922</v>
      </c>
      <c r="L299" s="85">
        <f t="shared" si="108"/>
        <v>1081.0316205891727</v>
      </c>
      <c r="M299" s="85">
        <f t="shared" si="96"/>
        <v>3703.0860276620947</v>
      </c>
      <c r="N299" s="85">
        <f t="shared" si="97"/>
        <v>2833.5494698209104</v>
      </c>
      <c r="O299" s="85">
        <f t="shared" si="98"/>
        <v>4853.0966049519202</v>
      </c>
      <c r="P299" s="85">
        <f t="shared" si="109"/>
        <v>177067.0505294833</v>
      </c>
      <c r="Q299" s="85">
        <f t="shared" si="99"/>
        <v>1764439.2404320457</v>
      </c>
      <c r="R299" s="85">
        <f t="shared" si="100"/>
        <v>2478.2975406098776</v>
      </c>
      <c r="S299" s="85" cm="1">
        <f t="array" ref="S299">Y299*tax_rate</f>
        <v>0</v>
      </c>
      <c r="T299" s="85">
        <f t="shared" si="110"/>
        <v>741382.3077736079</v>
      </c>
      <c r="U299" s="85">
        <f t="shared" si="101"/>
        <v>2505821.5482056537</v>
      </c>
      <c r="V299" s="85"/>
      <c r="W299" s="138">
        <f t="shared" si="111"/>
        <v>0.14141334736155323</v>
      </c>
      <c r="X299" s="138" t="str">
        <f t="shared" si="117"/>
        <v/>
      </c>
      <c r="Y299" s="142"/>
      <c r="Z299" s="139">
        <f t="shared" si="102"/>
        <v>4853.0966049519202</v>
      </c>
      <c r="AA299" s="114">
        <v>272</v>
      </c>
      <c r="AB299" s="46">
        <f t="shared" si="112"/>
        <v>-1116.0813971214673</v>
      </c>
      <c r="AC299" s="47"/>
      <c r="AD299" s="47">
        <f t="shared" si="116"/>
        <v>16709.497572681867</v>
      </c>
      <c r="AE299" s="86"/>
      <c r="AF299" s="140"/>
      <c r="AG299" s="140"/>
      <c r="AH299" s="140">
        <f t="shared" si="103"/>
        <v>2389331.1707479618</v>
      </c>
      <c r="AI299" s="9"/>
      <c r="AJ299" s="9"/>
      <c r="AK299" s="9"/>
    </row>
    <row r="300" spans="2:37" ht="12" hidden="1" customHeight="1" outlineLevel="1" x14ac:dyDescent="0.25">
      <c r="B300" s="8" t="str">
        <f t="shared" si="104"/>
        <v/>
      </c>
      <c r="C300" s="85">
        <f t="shared" si="105"/>
        <v>1951213.8224163363</v>
      </c>
      <c r="D300" s="85">
        <f t="shared" si="113"/>
        <v>5934.1282255410933</v>
      </c>
      <c r="E300" s="85">
        <f t="shared" si="114"/>
        <v>-725.77969137814</v>
      </c>
      <c r="F300" s="85">
        <f t="shared" si="115"/>
        <v>-355.25192921103275</v>
      </c>
      <c r="G300" s="85">
        <f t="shared" si="106"/>
        <v>0</v>
      </c>
      <c r="H300" s="85">
        <v>0</v>
      </c>
      <c r="I300" s="85">
        <v>0</v>
      </c>
      <c r="J300" s="85">
        <v>0</v>
      </c>
      <c r="K300" s="85">
        <f t="shared" si="107"/>
        <v>-2622.054407072922</v>
      </c>
      <c r="L300" s="85">
        <f t="shared" si="108"/>
        <v>1081.0316205891727</v>
      </c>
      <c r="M300" s="85">
        <f t="shared" si="96"/>
        <v>3703.0860276620947</v>
      </c>
      <c r="N300" s="85">
        <f t="shared" si="97"/>
        <v>2833.5494698209104</v>
      </c>
      <c r="O300" s="85">
        <f t="shared" si="98"/>
        <v>4853.0966049519202</v>
      </c>
      <c r="P300" s="85">
        <f t="shared" si="109"/>
        <v>175551.66518821963</v>
      </c>
      <c r="Q300" s="85">
        <f t="shared" si="99"/>
        <v>1775662.1572281166</v>
      </c>
      <c r="R300" s="85">
        <f t="shared" si="100"/>
        <v>2478.2975406098776</v>
      </c>
      <c r="S300" s="85" cm="1">
        <f t="array" ref="S300">Y300*tax_rate</f>
        <v>0</v>
      </c>
      <c r="T300" s="85">
        <f t="shared" si="110"/>
        <v>746949.69826327439</v>
      </c>
      <c r="U300" s="85">
        <f t="shared" si="101"/>
        <v>2522611.8554913909</v>
      </c>
      <c r="V300" s="85"/>
      <c r="W300" s="138">
        <f t="shared" si="111"/>
        <v>0.1411954158426387</v>
      </c>
      <c r="X300" s="138" t="str">
        <f t="shared" si="117"/>
        <v/>
      </c>
      <c r="Y300" s="142"/>
      <c r="Z300" s="139">
        <f t="shared" si="102"/>
        <v>4853.0966049519202</v>
      </c>
      <c r="AA300" s="114">
        <v>273</v>
      </c>
      <c r="AB300" s="46">
        <f t="shared" si="112"/>
        <v>-1106.6690658092705</v>
      </c>
      <c r="AC300" s="47"/>
      <c r="AD300" s="47">
        <f t="shared" si="116"/>
        <v>16790.307285737246</v>
      </c>
      <c r="AE300" s="86"/>
      <c r="AF300" s="140"/>
      <c r="AG300" s="140"/>
      <c r="AH300" s="140">
        <f t="shared" si="103"/>
        <v>2405539.026146411</v>
      </c>
      <c r="AI300" s="9"/>
      <c r="AJ300" s="9"/>
      <c r="AK300" s="9"/>
    </row>
    <row r="301" spans="2:37" ht="12" hidden="1" customHeight="1" outlineLevel="1" x14ac:dyDescent="0.25">
      <c r="B301" s="8" t="str">
        <f t="shared" si="104"/>
        <v/>
      </c>
      <c r="C301" s="85">
        <f t="shared" si="105"/>
        <v>1960969.8915284178</v>
      </c>
      <c r="D301" s="85">
        <f t="shared" si="113"/>
        <v>5934.1282255410933</v>
      </c>
      <c r="E301" s="85">
        <f t="shared" si="114"/>
        <v>-725.77969137814</v>
      </c>
      <c r="F301" s="85">
        <f t="shared" si="115"/>
        <v>-355.25192921103275</v>
      </c>
      <c r="G301" s="85">
        <f t="shared" si="106"/>
        <v>0</v>
      </c>
      <c r="H301" s="85">
        <v>0</v>
      </c>
      <c r="I301" s="85">
        <v>0</v>
      </c>
      <c r="J301" s="85">
        <v>0</v>
      </c>
      <c r="K301" s="85">
        <f t="shared" si="107"/>
        <v>-2622.054407072922</v>
      </c>
      <c r="L301" s="85">
        <f t="shared" si="108"/>
        <v>1081.0316205891727</v>
      </c>
      <c r="M301" s="85">
        <f t="shared" si="96"/>
        <v>3703.0860276620947</v>
      </c>
      <c r="N301" s="85">
        <f t="shared" si="97"/>
        <v>2833.5494698209104</v>
      </c>
      <c r="O301" s="85">
        <f t="shared" si="98"/>
        <v>4853.0966049519202</v>
      </c>
      <c r="P301" s="85">
        <f t="shared" si="109"/>
        <v>174026.80868857307</v>
      </c>
      <c r="Q301" s="85">
        <f t="shared" si="99"/>
        <v>1786943.0828398447</v>
      </c>
      <c r="R301" s="85">
        <f t="shared" si="100"/>
        <v>2478.2975406098776</v>
      </c>
      <c r="S301" s="85" cm="1">
        <f t="array" ref="S301">Y301*tax_rate</f>
        <v>0</v>
      </c>
      <c r="T301" s="85">
        <f t="shared" si="110"/>
        <v>752540.28621331451</v>
      </c>
      <c r="U301" s="85">
        <f t="shared" si="101"/>
        <v>2539483.3690531594</v>
      </c>
      <c r="V301" s="85"/>
      <c r="W301" s="138">
        <f t="shared" si="111"/>
        <v>0.14097850037718374</v>
      </c>
      <c r="X301" s="138" t="str">
        <f t="shared" si="117"/>
        <v/>
      </c>
      <c r="Y301" s="142"/>
      <c r="Z301" s="139">
        <f t="shared" si="102"/>
        <v>4853.0966049519202</v>
      </c>
      <c r="AA301" s="114">
        <v>274</v>
      </c>
      <c r="AB301" s="46">
        <f t="shared" si="112"/>
        <v>-1097.1979074263727</v>
      </c>
      <c r="AC301" s="47"/>
      <c r="AD301" s="47">
        <f t="shared" si="116"/>
        <v>16871.513561768457</v>
      </c>
      <c r="AE301" s="86"/>
      <c r="AF301" s="140"/>
      <c r="AG301" s="140"/>
      <c r="AH301" s="140">
        <f t="shared" si="103"/>
        <v>2421825.1755614541</v>
      </c>
      <c r="AI301" s="9"/>
      <c r="AJ301" s="9"/>
      <c r="AK301" s="9"/>
    </row>
    <row r="302" spans="2:37" ht="12" hidden="1" customHeight="1" outlineLevel="1" x14ac:dyDescent="0.25">
      <c r="B302" s="8" t="str">
        <f t="shared" si="104"/>
        <v/>
      </c>
      <c r="C302" s="85">
        <f t="shared" si="105"/>
        <v>1970774.7409860597</v>
      </c>
      <c r="D302" s="85">
        <f t="shared" si="113"/>
        <v>5934.1282255410933</v>
      </c>
      <c r="E302" s="85">
        <f t="shared" si="114"/>
        <v>-725.77969137814</v>
      </c>
      <c r="F302" s="85">
        <f t="shared" si="115"/>
        <v>-355.25192921103275</v>
      </c>
      <c r="G302" s="85">
        <f t="shared" si="106"/>
        <v>0</v>
      </c>
      <c r="H302" s="85">
        <v>0</v>
      </c>
      <c r="I302" s="85">
        <v>0</v>
      </c>
      <c r="J302" s="85">
        <v>0</v>
      </c>
      <c r="K302" s="85">
        <f t="shared" si="107"/>
        <v>-2622.054407072922</v>
      </c>
      <c r="L302" s="85">
        <f t="shared" si="108"/>
        <v>1081.0316205891727</v>
      </c>
      <c r="M302" s="85">
        <f t="shared" si="96"/>
        <v>3703.0860276620947</v>
      </c>
      <c r="N302" s="85">
        <f t="shared" si="97"/>
        <v>2833.5494698209104</v>
      </c>
      <c r="O302" s="85">
        <f t="shared" si="98"/>
        <v>4853.0966049519202</v>
      </c>
      <c r="P302" s="85">
        <f t="shared" si="109"/>
        <v>172492.42183580372</v>
      </c>
      <c r="Q302" s="85">
        <f t="shared" si="99"/>
        <v>1798282.319150256</v>
      </c>
      <c r="R302" s="85">
        <f t="shared" si="100"/>
        <v>2478.2975406098776</v>
      </c>
      <c r="S302" s="85" cm="1">
        <f t="array" ref="S302">Y302*tax_rate</f>
        <v>0</v>
      </c>
      <c r="T302" s="85">
        <f t="shared" si="110"/>
        <v>758154.16827981314</v>
      </c>
      <c r="U302" s="85">
        <f t="shared" si="101"/>
        <v>2556436.4874300691</v>
      </c>
      <c r="V302" s="85"/>
      <c r="W302" s="138">
        <f t="shared" si="111"/>
        <v>0.14076259508269151</v>
      </c>
      <c r="X302" s="138" t="str">
        <f t="shared" si="117"/>
        <v/>
      </c>
      <c r="Y302" s="142"/>
      <c r="Z302" s="139">
        <f t="shared" si="102"/>
        <v>4853.0966049519202</v>
      </c>
      <c r="AA302" s="114">
        <v>275</v>
      </c>
      <c r="AB302" s="46">
        <f t="shared" si="112"/>
        <v>-1087.6675543035817</v>
      </c>
      <c r="AC302" s="47"/>
      <c r="AD302" s="47">
        <f t="shared" si="116"/>
        <v>16953.118376909755</v>
      </c>
      <c r="AE302" s="86"/>
      <c r="AF302" s="140"/>
      <c r="AG302" s="140"/>
      <c r="AH302" s="140">
        <f t="shared" si="103"/>
        <v>2438190.0029709055</v>
      </c>
      <c r="AI302" s="9"/>
      <c r="AJ302" s="9"/>
      <c r="AK302" s="9"/>
    </row>
    <row r="303" spans="2:37" ht="15" customHeight="1" collapsed="1" x14ac:dyDescent="0.25">
      <c r="B303" s="8">
        <f t="shared" si="104"/>
        <v>23</v>
      </c>
      <c r="C303" s="85">
        <f t="shared" si="105"/>
        <v>1980628.6146909897</v>
      </c>
      <c r="D303" s="85">
        <f t="shared" si="113"/>
        <v>5934.1282255410933</v>
      </c>
      <c r="E303" s="85">
        <f t="shared" si="114"/>
        <v>-725.77969137814</v>
      </c>
      <c r="F303" s="85">
        <f t="shared" si="115"/>
        <v>-355.25192921103275</v>
      </c>
      <c r="G303" s="85">
        <f t="shared" si="106"/>
        <v>0</v>
      </c>
      <c r="H303" s="85">
        <v>0</v>
      </c>
      <c r="I303" s="85">
        <v>0</v>
      </c>
      <c r="J303" s="85">
        <v>0</v>
      </c>
      <c r="K303" s="85">
        <f t="shared" si="107"/>
        <v>-2622.054407072922</v>
      </c>
      <c r="L303" s="85">
        <f t="shared" si="108"/>
        <v>1081.0316205891727</v>
      </c>
      <c r="M303" s="85">
        <f t="shared" si="96"/>
        <v>3703.0860276620947</v>
      </c>
      <c r="N303" s="85">
        <f t="shared" si="97"/>
        <v>2833.5494698209104</v>
      </c>
      <c r="O303" s="85">
        <f t="shared" si="98"/>
        <v>4853.0966049519202</v>
      </c>
      <c r="P303" s="85">
        <f t="shared" si="109"/>
        <v>170948.44506520455</v>
      </c>
      <c r="Q303" s="85">
        <f t="shared" si="99"/>
        <v>1809680.1696257852</v>
      </c>
      <c r="R303" s="85">
        <f t="shared" si="100"/>
        <v>2478.2975406098776</v>
      </c>
      <c r="S303" s="85" cm="1">
        <f t="array" ref="S303">Y303*tax_rate</f>
        <v>8098.5859125123179</v>
      </c>
      <c r="T303" s="85">
        <f t="shared" si="110"/>
        <v>771890.0274341011</v>
      </c>
      <c r="U303" s="85">
        <f t="shared" si="101"/>
        <v>2581570.1970598865</v>
      </c>
      <c r="V303" s="85">
        <f>U303-U291</f>
        <v>207194.85834708624</v>
      </c>
      <c r="W303" s="138">
        <f t="shared" si="111"/>
        <v>0.14070351389761507</v>
      </c>
      <c r="X303" s="138">
        <f t="shared" si="117"/>
        <v>8.7262891830493405E-2</v>
      </c>
      <c r="Y303" s="141">
        <f>(((Sale_Price*0.8)+Improvement_Costs+Closing_Costs_Total)/27.5)+(-E303*12)+-AC303</f>
        <v>36811.754147783264</v>
      </c>
      <c r="Z303" s="139">
        <f t="shared" si="102"/>
        <v>4853.0966049519202</v>
      </c>
      <c r="AA303" s="114">
        <v>276</v>
      </c>
      <c r="AB303" s="46">
        <f t="shared" si="112"/>
        <v>-1078.0776364737731</v>
      </c>
      <c r="AC303" s="46">
        <f>SUM(AB292:AB303)</f>
        <v>-13556.943305791036</v>
      </c>
      <c r="AD303" s="47">
        <f t="shared" si="116"/>
        <v>25133.7096298174</v>
      </c>
      <c r="AE303" s="86">
        <f>D303*12</f>
        <v>71209.538706493127</v>
      </c>
      <c r="AF303" s="140"/>
      <c r="AG303" s="140"/>
      <c r="AH303" s="140">
        <f t="shared" si="103"/>
        <v>2462732.480178427</v>
      </c>
      <c r="AI303" s="9">
        <f>AI291*(1+Comparison_Rate_of_Return)</f>
        <v>1119287.804069049</v>
      </c>
      <c r="AJ303" s="9"/>
      <c r="AK303" s="9"/>
    </row>
    <row r="304" spans="2:37" ht="12" hidden="1" customHeight="1" outlineLevel="1" x14ac:dyDescent="0.25">
      <c r="B304" s="8" t="str">
        <f t="shared" si="104"/>
        <v/>
      </c>
      <c r="C304" s="85">
        <f t="shared" si="105"/>
        <v>1990531.7577644445</v>
      </c>
      <c r="D304" s="85">
        <f t="shared" si="113"/>
        <v>6141.8227134350309</v>
      </c>
      <c r="E304" s="85">
        <f t="shared" si="114"/>
        <v>-751.18198057637483</v>
      </c>
      <c r="F304" s="85">
        <f t="shared" si="115"/>
        <v>-367.68574673341885</v>
      </c>
      <c r="G304" s="85">
        <f t="shared" si="106"/>
        <v>0</v>
      </c>
      <c r="H304" s="85">
        <v>0</v>
      </c>
      <c r="I304" s="85">
        <v>0</v>
      </c>
      <c r="J304" s="85">
        <v>0</v>
      </c>
      <c r="K304" s="85">
        <f t="shared" si="107"/>
        <v>-2622.054407072922</v>
      </c>
      <c r="L304" s="85">
        <f t="shared" si="108"/>
        <v>1118.8677273097937</v>
      </c>
      <c r="M304" s="85">
        <f t="shared" si="96"/>
        <v>3740.9221343827157</v>
      </c>
      <c r="N304" s="85">
        <f t="shared" si="97"/>
        <v>3024.4956055121938</v>
      </c>
      <c r="O304" s="85">
        <f t="shared" si="98"/>
        <v>5022.9549861252372</v>
      </c>
      <c r="P304" s="85">
        <f t="shared" si="109"/>
        <v>169394.81843978915</v>
      </c>
      <c r="Q304" s="85">
        <f t="shared" si="99"/>
        <v>1821136.9393246553</v>
      </c>
      <c r="R304" s="85">
        <f t="shared" si="100"/>
        <v>2656.8098587787749</v>
      </c>
      <c r="S304" s="85" cm="1">
        <f t="array" ref="S304">Y304*tax_rate</f>
        <v>0</v>
      </c>
      <c r="T304" s="85">
        <f t="shared" si="110"/>
        <v>777763.04574052186</v>
      </c>
      <c r="U304" s="85">
        <f t="shared" si="101"/>
        <v>2598899.9850651771</v>
      </c>
      <c r="V304" s="85"/>
      <c r="W304" s="138">
        <f t="shared" si="111"/>
        <v>0.14049203091611384</v>
      </c>
      <c r="X304" s="138" t="str">
        <f t="shared" si="117"/>
        <v/>
      </c>
      <c r="Y304" s="142"/>
      <c r="Z304" s="139">
        <f t="shared" si="102"/>
        <v>5022.9549861252372</v>
      </c>
      <c r="AA304" s="114">
        <v>277</v>
      </c>
      <c r="AB304" s="46">
        <f t="shared" si="112"/>
        <v>-1068.4277816575284</v>
      </c>
      <c r="AC304" s="47"/>
      <c r="AD304" s="47">
        <f t="shared" si="116"/>
        <v>17329.788005290553</v>
      </c>
      <c r="AE304" s="86"/>
      <c r="AF304" s="140"/>
      <c r="AG304" s="140"/>
      <c r="AH304" s="140">
        <f t="shared" si="103"/>
        <v>2479468.0795993106</v>
      </c>
      <c r="AI304" s="9"/>
      <c r="AJ304" s="9"/>
      <c r="AK304" s="9"/>
    </row>
    <row r="305" spans="2:37" ht="12" hidden="1" customHeight="1" outlineLevel="1" x14ac:dyDescent="0.25">
      <c r="B305" s="8" t="str">
        <f t="shared" si="104"/>
        <v/>
      </c>
      <c r="C305" s="85">
        <f t="shared" si="105"/>
        <v>2000484.4165532666</v>
      </c>
      <c r="D305" s="85">
        <f t="shared" si="113"/>
        <v>6141.8227134350309</v>
      </c>
      <c r="E305" s="85">
        <f t="shared" si="114"/>
        <v>-751.18198057637483</v>
      </c>
      <c r="F305" s="85">
        <f t="shared" si="115"/>
        <v>-367.68574673341885</v>
      </c>
      <c r="G305" s="85">
        <f t="shared" si="106"/>
        <v>0</v>
      </c>
      <c r="H305" s="85">
        <v>0</v>
      </c>
      <c r="I305" s="85">
        <v>0</v>
      </c>
      <c r="J305" s="85">
        <v>0</v>
      </c>
      <c r="K305" s="85">
        <f t="shared" si="107"/>
        <v>-2622.054407072922</v>
      </c>
      <c r="L305" s="85">
        <f t="shared" si="108"/>
        <v>1118.8677273097937</v>
      </c>
      <c r="M305" s="85">
        <f t="shared" si="96"/>
        <v>3740.9221343827157</v>
      </c>
      <c r="N305" s="85">
        <f t="shared" si="97"/>
        <v>3024.4956055121938</v>
      </c>
      <c r="O305" s="85">
        <f t="shared" si="98"/>
        <v>5022.9549861252372</v>
      </c>
      <c r="P305" s="85">
        <f t="shared" si="109"/>
        <v>167831.48164796489</v>
      </c>
      <c r="Q305" s="85">
        <f t="shared" si="99"/>
        <v>1832652.9349053018</v>
      </c>
      <c r="R305" s="85">
        <f t="shared" si="100"/>
        <v>2656.8098587787749</v>
      </c>
      <c r="S305" s="85" cm="1">
        <f t="array" ref="S305">Y305*tax_rate</f>
        <v>0</v>
      </c>
      <c r="T305" s="85">
        <f t="shared" si="110"/>
        <v>783660.53495655279</v>
      </c>
      <c r="U305" s="85">
        <f t="shared" si="101"/>
        <v>2616313.4698618548</v>
      </c>
      <c r="V305" s="85"/>
      <c r="W305" s="138">
        <f t="shared" si="111"/>
        <v>0.14028149420067482</v>
      </c>
      <c r="X305" s="138" t="str">
        <f t="shared" si="117"/>
        <v/>
      </c>
      <c r="Y305" s="142"/>
      <c r="Z305" s="139">
        <f t="shared" si="102"/>
        <v>5022.9549861252372</v>
      </c>
      <c r="AA305" s="114">
        <v>278</v>
      </c>
      <c r="AB305" s="46">
        <f t="shared" si="112"/>
        <v>-1058.717615248682</v>
      </c>
      <c r="AC305" s="47"/>
      <c r="AD305" s="47">
        <f t="shared" si="116"/>
        <v>17413.484796677716</v>
      </c>
      <c r="AE305" s="86"/>
      <c r="AF305" s="140"/>
      <c r="AG305" s="140"/>
      <c r="AH305" s="140">
        <f t="shared" si="103"/>
        <v>2496284.4048686586</v>
      </c>
      <c r="AI305" s="9"/>
      <c r="AJ305" s="9"/>
      <c r="AK305" s="9"/>
    </row>
    <row r="306" spans="2:37" ht="12" hidden="1" customHeight="1" outlineLevel="1" x14ac:dyDescent="0.25">
      <c r="B306" s="8" t="str">
        <f t="shared" si="104"/>
        <v/>
      </c>
      <c r="C306" s="85">
        <f t="shared" si="105"/>
        <v>2010486.8386360328</v>
      </c>
      <c r="D306" s="85">
        <f t="shared" si="113"/>
        <v>6141.8227134350309</v>
      </c>
      <c r="E306" s="85">
        <f t="shared" si="114"/>
        <v>-751.18198057637483</v>
      </c>
      <c r="F306" s="85">
        <f t="shared" si="115"/>
        <v>-367.68574673341885</v>
      </c>
      <c r="G306" s="85">
        <f t="shared" si="106"/>
        <v>0</v>
      </c>
      <c r="H306" s="85">
        <v>0</v>
      </c>
      <c r="I306" s="85">
        <v>0</v>
      </c>
      <c r="J306" s="85">
        <v>0</v>
      </c>
      <c r="K306" s="85">
        <f t="shared" si="107"/>
        <v>-2622.054407072922</v>
      </c>
      <c r="L306" s="85">
        <f t="shared" si="108"/>
        <v>1118.8677273097937</v>
      </c>
      <c r="M306" s="85">
        <f t="shared" si="96"/>
        <v>3740.9221343827157</v>
      </c>
      <c r="N306" s="85">
        <f t="shared" si="97"/>
        <v>3024.4956055121938</v>
      </c>
      <c r="O306" s="85">
        <f t="shared" si="98"/>
        <v>5022.9549861252372</v>
      </c>
      <c r="P306" s="85">
        <f t="shared" si="109"/>
        <v>166258.37400119173</v>
      </c>
      <c r="Q306" s="85">
        <f t="shared" si="99"/>
        <v>1844228.4646348411</v>
      </c>
      <c r="R306" s="85">
        <f t="shared" si="100"/>
        <v>2656.8098587787749</v>
      </c>
      <c r="S306" s="85" cm="1">
        <f t="array" ref="S306">Y306*tax_rate</f>
        <v>0</v>
      </c>
      <c r="T306" s="85">
        <f t="shared" si="110"/>
        <v>789582.59704431717</v>
      </c>
      <c r="U306" s="85">
        <f t="shared" si="101"/>
        <v>2633811.0616791584</v>
      </c>
      <c r="V306" s="85"/>
      <c r="W306" s="138">
        <f t="shared" si="111"/>
        <v>0.14007189880211815</v>
      </c>
      <c r="X306" s="138" t="str">
        <f t="shared" si="117"/>
        <v/>
      </c>
      <c r="Y306" s="142"/>
      <c r="Z306" s="139">
        <f t="shared" si="102"/>
        <v>5022.9549861252372</v>
      </c>
      <c r="AA306" s="114">
        <v>279</v>
      </c>
      <c r="AB306" s="46">
        <f t="shared" si="112"/>
        <v>-1048.9467602997804</v>
      </c>
      <c r="AC306" s="47"/>
      <c r="AD306" s="47">
        <f t="shared" si="116"/>
        <v>17497.591817303561</v>
      </c>
      <c r="AE306" s="86"/>
      <c r="AF306" s="140"/>
      <c r="AG306" s="140"/>
      <c r="AH306" s="140">
        <f t="shared" si="103"/>
        <v>2513181.8513609963</v>
      </c>
      <c r="AI306" s="9"/>
      <c r="AJ306" s="9"/>
      <c r="AK306" s="9"/>
    </row>
    <row r="307" spans="2:37" ht="12" hidden="1" customHeight="1" outlineLevel="1" x14ac:dyDescent="0.25">
      <c r="B307" s="8" t="str">
        <f t="shared" si="104"/>
        <v/>
      </c>
      <c r="C307" s="85">
        <f t="shared" si="105"/>
        <v>2020539.2728292127</v>
      </c>
      <c r="D307" s="85">
        <f t="shared" si="113"/>
        <v>6141.8227134350309</v>
      </c>
      <c r="E307" s="85">
        <f t="shared" si="114"/>
        <v>-751.18198057637483</v>
      </c>
      <c r="F307" s="85">
        <f t="shared" si="115"/>
        <v>-367.68574673341885</v>
      </c>
      <c r="G307" s="85">
        <f t="shared" si="106"/>
        <v>0</v>
      </c>
      <c r="H307" s="85">
        <v>0</v>
      </c>
      <c r="I307" s="85">
        <v>0</v>
      </c>
      <c r="J307" s="85">
        <v>0</v>
      </c>
      <c r="K307" s="85">
        <f t="shared" si="107"/>
        <v>-2622.054407072922</v>
      </c>
      <c r="L307" s="85">
        <f t="shared" si="108"/>
        <v>1118.8677273097937</v>
      </c>
      <c r="M307" s="85">
        <f t="shared" si="96"/>
        <v>3740.9221343827157</v>
      </c>
      <c r="N307" s="85">
        <f t="shared" si="97"/>
        <v>3024.4956055121938</v>
      </c>
      <c r="O307" s="85">
        <f t="shared" si="98"/>
        <v>5022.9549861252372</v>
      </c>
      <c r="P307" s="85">
        <f t="shared" si="109"/>
        <v>164675.43443162623</v>
      </c>
      <c r="Q307" s="85">
        <f t="shared" si="99"/>
        <v>1855863.8383975865</v>
      </c>
      <c r="R307" s="85">
        <f t="shared" si="100"/>
        <v>2656.8098587787749</v>
      </c>
      <c r="S307" s="85" cm="1">
        <f t="array" ref="S307">Y307*tax_rate</f>
        <v>0</v>
      </c>
      <c r="T307" s="85">
        <f t="shared" si="110"/>
        <v>795529.33439078054</v>
      </c>
      <c r="U307" s="85">
        <f t="shared" si="101"/>
        <v>2651393.1727883671</v>
      </c>
      <c r="V307" s="85"/>
      <c r="W307" s="138">
        <f t="shared" si="111"/>
        <v>0.13986323978011334</v>
      </c>
      <c r="X307" s="138" t="str">
        <f t="shared" si="117"/>
        <v/>
      </c>
      <c r="Y307" s="142"/>
      <c r="Z307" s="139">
        <f t="shared" si="102"/>
        <v>5022.9549861252372</v>
      </c>
      <c r="AA307" s="114">
        <v>280</v>
      </c>
      <c r="AB307" s="46">
        <f t="shared" si="112"/>
        <v>-1039.1148375074481</v>
      </c>
      <c r="AC307" s="47"/>
      <c r="AD307" s="47">
        <f t="shared" si="116"/>
        <v>17582.111109208781</v>
      </c>
      <c r="AE307" s="86"/>
      <c r="AF307" s="140"/>
      <c r="AG307" s="140"/>
      <c r="AH307" s="140">
        <f t="shared" si="103"/>
        <v>2530160.8164186142</v>
      </c>
      <c r="AI307" s="9"/>
      <c r="AJ307" s="9"/>
      <c r="AK307" s="9"/>
    </row>
    <row r="308" spans="2:37" ht="12" hidden="1" customHeight="1" outlineLevel="1" x14ac:dyDescent="0.25">
      <c r="B308" s="8" t="str">
        <f t="shared" si="104"/>
        <v/>
      </c>
      <c r="C308" s="85">
        <f t="shared" si="105"/>
        <v>2030641.9691933587</v>
      </c>
      <c r="D308" s="85">
        <f t="shared" si="113"/>
        <v>6141.8227134350309</v>
      </c>
      <c r="E308" s="85">
        <f t="shared" si="114"/>
        <v>-751.18198057637483</v>
      </c>
      <c r="F308" s="85">
        <f t="shared" si="115"/>
        <v>-367.68574673341885</v>
      </c>
      <c r="G308" s="85">
        <f t="shared" si="106"/>
        <v>0</v>
      </c>
      <c r="H308" s="85">
        <v>0</v>
      </c>
      <c r="I308" s="85">
        <v>0</v>
      </c>
      <c r="J308" s="85">
        <v>0</v>
      </c>
      <c r="K308" s="85">
        <f t="shared" si="107"/>
        <v>-2622.054407072922</v>
      </c>
      <c r="L308" s="85">
        <f t="shared" si="108"/>
        <v>1118.8677273097937</v>
      </c>
      <c r="M308" s="85">
        <f t="shared" si="96"/>
        <v>3740.9221343827157</v>
      </c>
      <c r="N308" s="85">
        <f t="shared" si="97"/>
        <v>3024.4956055121938</v>
      </c>
      <c r="O308" s="85">
        <f t="shared" si="98"/>
        <v>5022.9549861252372</v>
      </c>
      <c r="P308" s="85">
        <f t="shared" si="109"/>
        <v>163082.60148975096</v>
      </c>
      <c r="Q308" s="85">
        <f t="shared" si="99"/>
        <v>1867559.3677036078</v>
      </c>
      <c r="R308" s="85">
        <f t="shared" si="100"/>
        <v>2656.8098587787749</v>
      </c>
      <c r="S308" s="85" cm="1">
        <f t="array" ref="S308">Y308*tax_rate</f>
        <v>0</v>
      </c>
      <c r="T308" s="85">
        <f t="shared" si="110"/>
        <v>801500.84980952088</v>
      </c>
      <c r="U308" s="85">
        <f t="shared" si="101"/>
        <v>2669060.2175131286</v>
      </c>
      <c r="V308" s="85"/>
      <c r="W308" s="138">
        <f t="shared" si="111"/>
        <v>0.13965551220397718</v>
      </c>
      <c r="X308" s="138" t="str">
        <f t="shared" si="117"/>
        <v/>
      </c>
      <c r="Y308" s="142"/>
      <c r="Z308" s="139">
        <f t="shared" si="102"/>
        <v>5022.9549861252372</v>
      </c>
      <c r="AA308" s="114">
        <v>281</v>
      </c>
      <c r="AB308" s="46">
        <f t="shared" si="112"/>
        <v>-1029.2214651976637</v>
      </c>
      <c r="AC308" s="47"/>
      <c r="AD308" s="47">
        <f t="shared" si="116"/>
        <v>17667.044724761508</v>
      </c>
      <c r="AE308" s="86"/>
      <c r="AF308" s="140"/>
      <c r="AG308" s="140"/>
      <c r="AH308" s="140">
        <f t="shared" si="103"/>
        <v>2547221.6993615273</v>
      </c>
      <c r="AI308" s="9"/>
      <c r="AJ308" s="9"/>
      <c r="AK308" s="9"/>
    </row>
    <row r="309" spans="2:37" ht="12" hidden="1" customHeight="1" outlineLevel="1" x14ac:dyDescent="0.25">
      <c r="B309" s="8" t="str">
        <f t="shared" si="104"/>
        <v/>
      </c>
      <c r="C309" s="85">
        <f t="shared" si="105"/>
        <v>2040795.1790393253</v>
      </c>
      <c r="D309" s="85">
        <f t="shared" si="113"/>
        <v>6141.8227134350309</v>
      </c>
      <c r="E309" s="85">
        <f t="shared" si="114"/>
        <v>-751.18198057637483</v>
      </c>
      <c r="F309" s="85">
        <f t="shared" si="115"/>
        <v>-367.68574673341885</v>
      </c>
      <c r="G309" s="85">
        <f t="shared" si="106"/>
        <v>0</v>
      </c>
      <c r="H309" s="85">
        <v>0</v>
      </c>
      <c r="I309" s="85">
        <v>0</v>
      </c>
      <c r="J309" s="85">
        <v>0</v>
      </c>
      <c r="K309" s="85">
        <f t="shared" si="107"/>
        <v>-2622.054407072922</v>
      </c>
      <c r="L309" s="85">
        <f t="shared" si="108"/>
        <v>1118.8677273097937</v>
      </c>
      <c r="M309" s="85">
        <f t="shared" si="96"/>
        <v>3740.9221343827157</v>
      </c>
      <c r="N309" s="85">
        <f t="shared" si="97"/>
        <v>3024.4956055121938</v>
      </c>
      <c r="O309" s="85">
        <f t="shared" si="98"/>
        <v>5022.9549861252372</v>
      </c>
      <c r="P309" s="85">
        <f t="shared" si="109"/>
        <v>161479.81334198898</v>
      </c>
      <c r="Q309" s="85">
        <f t="shared" si="99"/>
        <v>1879315.3656973364</v>
      </c>
      <c r="R309" s="85">
        <f t="shared" si="100"/>
        <v>2656.8098587787749</v>
      </c>
      <c r="S309" s="85" cm="1">
        <f t="array" ref="S309">Y309*tax_rate</f>
        <v>0</v>
      </c>
      <c r="T309" s="85">
        <f t="shared" si="110"/>
        <v>807497.24654250592</v>
      </c>
      <c r="U309" s="85">
        <f t="shared" si="101"/>
        <v>2686812.6122398423</v>
      </c>
      <c r="V309" s="85"/>
      <c r="W309" s="138">
        <f t="shared" si="111"/>
        <v>0.13944871115343388</v>
      </c>
      <c r="X309" s="138" t="str">
        <f t="shared" si="117"/>
        <v/>
      </c>
      <c r="Y309" s="142"/>
      <c r="Z309" s="139">
        <f t="shared" si="102"/>
        <v>5022.9549861252372</v>
      </c>
      <c r="AA309" s="114">
        <v>282</v>
      </c>
      <c r="AB309" s="46">
        <f t="shared" si="112"/>
        <v>-1019.2662593109434</v>
      </c>
      <c r="AC309" s="47"/>
      <c r="AD309" s="47">
        <f t="shared" si="116"/>
        <v>17752.394726713654</v>
      </c>
      <c r="AE309" s="86"/>
      <c r="AF309" s="140"/>
      <c r="AG309" s="140"/>
      <c r="AH309" s="140">
        <f t="shared" si="103"/>
        <v>2564364.9014974828</v>
      </c>
      <c r="AI309" s="9"/>
      <c r="AJ309" s="9"/>
      <c r="AK309" s="9"/>
    </row>
    <row r="310" spans="2:37" ht="12" hidden="1" customHeight="1" outlineLevel="1" x14ac:dyDescent="0.25">
      <c r="B310" s="8" t="str">
        <f t="shared" si="104"/>
        <v/>
      </c>
      <c r="C310" s="85">
        <f t="shared" si="105"/>
        <v>2050999.1549345218</v>
      </c>
      <c r="D310" s="85">
        <f t="shared" si="113"/>
        <v>6141.8227134350309</v>
      </c>
      <c r="E310" s="85">
        <f t="shared" si="114"/>
        <v>-751.18198057637483</v>
      </c>
      <c r="F310" s="85">
        <f t="shared" si="115"/>
        <v>-367.68574673341885</v>
      </c>
      <c r="G310" s="85">
        <f t="shared" si="106"/>
        <v>0</v>
      </c>
      <c r="H310" s="85">
        <v>0</v>
      </c>
      <c r="I310" s="85">
        <v>0</v>
      </c>
      <c r="J310" s="85">
        <v>0</v>
      </c>
      <c r="K310" s="85">
        <f t="shared" si="107"/>
        <v>-2622.054407072922</v>
      </c>
      <c r="L310" s="85">
        <f t="shared" si="108"/>
        <v>1118.8677273097937</v>
      </c>
      <c r="M310" s="85">
        <f t="shared" si="96"/>
        <v>3740.9221343827157</v>
      </c>
      <c r="N310" s="85">
        <f t="shared" si="97"/>
        <v>3024.4956055121938</v>
      </c>
      <c r="O310" s="85">
        <f t="shared" si="98"/>
        <v>5022.9549861252372</v>
      </c>
      <c r="P310" s="85">
        <f t="shared" si="109"/>
        <v>159867.00776830348</v>
      </c>
      <c r="Q310" s="85">
        <f t="shared" si="99"/>
        <v>1891132.1471662184</v>
      </c>
      <c r="R310" s="85">
        <f t="shared" si="100"/>
        <v>2656.8098587787749</v>
      </c>
      <c r="S310" s="85" cm="1">
        <f t="array" ref="S310">Y310*tax_rate</f>
        <v>0</v>
      </c>
      <c r="T310" s="85">
        <f t="shared" si="110"/>
        <v>813518.62826187839</v>
      </c>
      <c r="U310" s="85">
        <f t="shared" si="101"/>
        <v>2704650.7754280968</v>
      </c>
      <c r="V310" s="85"/>
      <c r="W310" s="138">
        <f t="shared" si="111"/>
        <v>0.13924283171934593</v>
      </c>
      <c r="X310" s="138" t="str">
        <f t="shared" si="117"/>
        <v/>
      </c>
      <c r="Y310" s="142"/>
      <c r="Z310" s="139">
        <f t="shared" si="102"/>
        <v>5022.9549861252372</v>
      </c>
      <c r="AA310" s="114">
        <v>283</v>
      </c>
      <c r="AB310" s="46">
        <f t="shared" si="112"/>
        <v>-1009.248833387431</v>
      </c>
      <c r="AC310" s="47"/>
      <c r="AD310" s="47">
        <f t="shared" si="116"/>
        <v>17838.163188254461</v>
      </c>
      <c r="AE310" s="86"/>
      <c r="AF310" s="140"/>
      <c r="AG310" s="140"/>
      <c r="AH310" s="140">
        <f t="shared" si="103"/>
        <v>2581590.8261320256</v>
      </c>
      <c r="AI310" s="9"/>
      <c r="AJ310" s="9"/>
      <c r="AK310" s="9"/>
    </row>
    <row r="311" spans="2:37" ht="12" hidden="1" customHeight="1" outlineLevel="1" x14ac:dyDescent="0.25">
      <c r="B311" s="8" t="str">
        <f t="shared" si="104"/>
        <v/>
      </c>
      <c r="C311" s="85">
        <f t="shared" si="105"/>
        <v>2061254.1507091941</v>
      </c>
      <c r="D311" s="85">
        <f t="shared" si="113"/>
        <v>6141.8227134350309</v>
      </c>
      <c r="E311" s="85">
        <f t="shared" si="114"/>
        <v>-751.18198057637483</v>
      </c>
      <c r="F311" s="85">
        <f t="shared" si="115"/>
        <v>-367.68574673341885</v>
      </c>
      <c r="G311" s="85">
        <f t="shared" si="106"/>
        <v>0</v>
      </c>
      <c r="H311" s="85">
        <v>0</v>
      </c>
      <c r="I311" s="85">
        <v>0</v>
      </c>
      <c r="J311" s="85">
        <v>0</v>
      </c>
      <c r="K311" s="85">
        <f t="shared" si="107"/>
        <v>-2622.054407072922</v>
      </c>
      <c r="L311" s="85">
        <f t="shared" si="108"/>
        <v>1118.8677273097937</v>
      </c>
      <c r="M311" s="85">
        <f t="shared" si="96"/>
        <v>3740.9221343827157</v>
      </c>
      <c r="N311" s="85">
        <f t="shared" si="97"/>
        <v>3024.4956055121938</v>
      </c>
      <c r="O311" s="85">
        <f t="shared" si="98"/>
        <v>5022.9549861252372</v>
      </c>
      <c r="P311" s="85">
        <f t="shared" si="109"/>
        <v>158244.12215978245</v>
      </c>
      <c r="Q311" s="85">
        <f t="shared" si="99"/>
        <v>1903010.0285494118</v>
      </c>
      <c r="R311" s="85">
        <f t="shared" si="100"/>
        <v>2656.8098587787749</v>
      </c>
      <c r="S311" s="85" cm="1">
        <f t="array" ref="S311">Y311*tax_rate</f>
        <v>0</v>
      </c>
      <c r="T311" s="85">
        <f t="shared" si="110"/>
        <v>819565.09907174821</v>
      </c>
      <c r="U311" s="85">
        <f t="shared" si="101"/>
        <v>2722575.1276211599</v>
      </c>
      <c r="V311" s="85"/>
      <c r="W311" s="138">
        <f t="shared" si="111"/>
        <v>0.13903786900440701</v>
      </c>
      <c r="X311" s="138" t="str">
        <f t="shared" si="117"/>
        <v/>
      </c>
      <c r="Y311" s="142"/>
      <c r="Z311" s="139">
        <f t="shared" si="102"/>
        <v>5022.9549861252372</v>
      </c>
      <c r="AA311" s="114">
        <v>284</v>
      </c>
      <c r="AB311" s="46">
        <f t="shared" si="112"/>
        <v>-999.16879855189666</v>
      </c>
      <c r="AC311" s="47"/>
      <c r="AD311" s="47">
        <f t="shared" si="116"/>
        <v>17924.352193063125</v>
      </c>
      <c r="AE311" s="86"/>
      <c r="AF311" s="140"/>
      <c r="AG311" s="140"/>
      <c r="AH311" s="140">
        <f t="shared" si="103"/>
        <v>2598899.8785786084</v>
      </c>
      <c r="AI311" s="9"/>
      <c r="AJ311" s="9"/>
      <c r="AK311" s="9"/>
    </row>
    <row r="312" spans="2:37" ht="12" hidden="1" customHeight="1" outlineLevel="1" x14ac:dyDescent="0.25">
      <c r="B312" s="8" t="str">
        <f t="shared" si="104"/>
        <v/>
      </c>
      <c r="C312" s="85">
        <f t="shared" si="105"/>
        <v>2071560.4214627398</v>
      </c>
      <c r="D312" s="85">
        <f t="shared" si="113"/>
        <v>6141.8227134350309</v>
      </c>
      <c r="E312" s="85">
        <f t="shared" si="114"/>
        <v>-751.18198057637483</v>
      </c>
      <c r="F312" s="85">
        <f t="shared" si="115"/>
        <v>-367.68574673341885</v>
      </c>
      <c r="G312" s="85">
        <f t="shared" si="106"/>
        <v>0</v>
      </c>
      <c r="H312" s="85">
        <v>0</v>
      </c>
      <c r="I312" s="85">
        <v>0</v>
      </c>
      <c r="J312" s="85">
        <v>0</v>
      </c>
      <c r="K312" s="85">
        <f t="shared" si="107"/>
        <v>-2622.054407072922</v>
      </c>
      <c r="L312" s="85">
        <f t="shared" si="108"/>
        <v>1118.8677273097937</v>
      </c>
      <c r="M312" s="85">
        <f t="shared" si="96"/>
        <v>3740.9221343827157</v>
      </c>
      <c r="N312" s="85">
        <f t="shared" si="97"/>
        <v>3024.4956055121938</v>
      </c>
      <c r="O312" s="85">
        <f t="shared" si="98"/>
        <v>5022.9549861252372</v>
      </c>
      <c r="P312" s="85">
        <f t="shared" si="109"/>
        <v>156611.09351620814</v>
      </c>
      <c r="Q312" s="85">
        <f t="shared" si="99"/>
        <v>1914949.3279465316</v>
      </c>
      <c r="R312" s="85">
        <f t="shared" si="100"/>
        <v>2656.8098587787749</v>
      </c>
      <c r="S312" s="85" cm="1">
        <f t="array" ref="S312">Y312*tax_rate</f>
        <v>0</v>
      </c>
      <c r="T312" s="85">
        <f t="shared" si="110"/>
        <v>825636.76350999251</v>
      </c>
      <c r="U312" s="85">
        <f t="shared" si="101"/>
        <v>2740586.0914565241</v>
      </c>
      <c r="V312" s="85"/>
      <c r="W312" s="138">
        <f t="shared" si="111"/>
        <v>0.13883381812380841</v>
      </c>
      <c r="X312" s="138" t="str">
        <f t="shared" si="117"/>
        <v/>
      </c>
      <c r="Y312" s="142"/>
      <c r="Z312" s="139">
        <f t="shared" si="102"/>
        <v>5022.9549861252372</v>
      </c>
      <c r="AA312" s="114">
        <v>285</v>
      </c>
      <c r="AB312" s="46">
        <f t="shared" si="112"/>
        <v>-989.02576349864023</v>
      </c>
      <c r="AC312" s="47"/>
      <c r="AD312" s="47">
        <f t="shared" si="116"/>
        <v>18010.963835364208</v>
      </c>
      <c r="AE312" s="86"/>
      <c r="AF312" s="140"/>
      <c r="AG312" s="140"/>
      <c r="AH312" s="140">
        <f t="shared" si="103"/>
        <v>2616292.4661687599</v>
      </c>
      <c r="AI312" s="9"/>
      <c r="AJ312" s="9"/>
      <c r="AK312" s="9"/>
    </row>
    <row r="313" spans="2:37" ht="12" hidden="1" customHeight="1" outlineLevel="1" x14ac:dyDescent="0.25">
      <c r="B313" s="8" t="str">
        <f t="shared" si="104"/>
        <v/>
      </c>
      <c r="C313" s="85">
        <f t="shared" si="105"/>
        <v>2081918.2235700532</v>
      </c>
      <c r="D313" s="85">
        <f t="shared" si="113"/>
        <v>6141.8227134350309</v>
      </c>
      <c r="E313" s="85">
        <f t="shared" si="114"/>
        <v>-751.18198057637483</v>
      </c>
      <c r="F313" s="85">
        <f t="shared" si="115"/>
        <v>-367.68574673341885</v>
      </c>
      <c r="G313" s="85">
        <f t="shared" si="106"/>
        <v>0</v>
      </c>
      <c r="H313" s="85">
        <v>0</v>
      </c>
      <c r="I313" s="85">
        <v>0</v>
      </c>
      <c r="J313" s="85">
        <v>0</v>
      </c>
      <c r="K313" s="85">
        <f t="shared" si="107"/>
        <v>-2622.054407072922</v>
      </c>
      <c r="L313" s="85">
        <f t="shared" si="108"/>
        <v>1118.8677273097937</v>
      </c>
      <c r="M313" s="85">
        <f t="shared" si="96"/>
        <v>3740.9221343827157</v>
      </c>
      <c r="N313" s="85">
        <f t="shared" si="97"/>
        <v>3024.4956055121938</v>
      </c>
      <c r="O313" s="85">
        <f t="shared" si="98"/>
        <v>5022.9549861252372</v>
      </c>
      <c r="P313" s="85">
        <f t="shared" si="109"/>
        <v>154967.85844361151</v>
      </c>
      <c r="Q313" s="85">
        <f t="shared" si="99"/>
        <v>1926950.3651264417</v>
      </c>
      <c r="R313" s="85">
        <f t="shared" si="100"/>
        <v>2656.8098587787749</v>
      </c>
      <c r="S313" s="85" cm="1">
        <f t="array" ref="S313">Y313*tax_rate</f>
        <v>0</v>
      </c>
      <c r="T313" s="85">
        <f t="shared" si="110"/>
        <v>831733.72655006289</v>
      </c>
      <c r="U313" s="85">
        <f t="shared" si="101"/>
        <v>2758684.0916765044</v>
      </c>
      <c r="V313" s="85"/>
      <c r="W313" s="138">
        <f t="shared" si="111"/>
        <v>0.13863067420587105</v>
      </c>
      <c r="X313" s="138" t="str">
        <f t="shared" si="117"/>
        <v/>
      </c>
      <c r="Y313" s="142"/>
      <c r="Z313" s="139">
        <f t="shared" si="102"/>
        <v>5022.9549861252372</v>
      </c>
      <c r="AA313" s="114">
        <v>286</v>
      </c>
      <c r="AB313" s="46">
        <f t="shared" si="112"/>
        <v>-978.81933447630081</v>
      </c>
      <c r="AC313" s="47"/>
      <c r="AD313" s="47">
        <f t="shared" si="116"/>
        <v>18098.000219980255</v>
      </c>
      <c r="AE313" s="86"/>
      <c r="AF313" s="140"/>
      <c r="AG313" s="140"/>
      <c r="AH313" s="140">
        <f t="shared" si="103"/>
        <v>2633768.9982623011</v>
      </c>
      <c r="AI313" s="9"/>
      <c r="AJ313" s="9"/>
      <c r="AK313" s="9"/>
    </row>
    <row r="314" spans="2:37" ht="12" hidden="1" customHeight="1" outlineLevel="1" x14ac:dyDescent="0.25">
      <c r="B314" s="8" t="str">
        <f t="shared" si="104"/>
        <v/>
      </c>
      <c r="C314" s="85">
        <f t="shared" si="105"/>
        <v>2092327.8146879033</v>
      </c>
      <c r="D314" s="85">
        <f t="shared" si="113"/>
        <v>6141.8227134350309</v>
      </c>
      <c r="E314" s="85">
        <f t="shared" si="114"/>
        <v>-751.18198057637483</v>
      </c>
      <c r="F314" s="85">
        <f t="shared" si="115"/>
        <v>-367.68574673341885</v>
      </c>
      <c r="G314" s="85">
        <f t="shared" si="106"/>
        <v>0</v>
      </c>
      <c r="H314" s="85">
        <v>0</v>
      </c>
      <c r="I314" s="85">
        <v>0</v>
      </c>
      <c r="J314" s="85">
        <v>0</v>
      </c>
      <c r="K314" s="85">
        <f t="shared" si="107"/>
        <v>-2622.054407072922</v>
      </c>
      <c r="L314" s="85">
        <f t="shared" si="108"/>
        <v>1118.8677273097937</v>
      </c>
      <c r="M314" s="85">
        <f t="shared" si="96"/>
        <v>3740.9221343827157</v>
      </c>
      <c r="N314" s="85">
        <f t="shared" si="97"/>
        <v>3024.4956055121938</v>
      </c>
      <c r="O314" s="85">
        <f t="shared" si="98"/>
        <v>5022.9549861252372</v>
      </c>
      <c r="P314" s="85">
        <f t="shared" si="109"/>
        <v>153314.35315181114</v>
      </c>
      <c r="Q314" s="85">
        <f t="shared" si="99"/>
        <v>1939013.4615360922</v>
      </c>
      <c r="R314" s="85">
        <f t="shared" si="100"/>
        <v>2656.8098587787749</v>
      </c>
      <c r="S314" s="85" cm="1">
        <f t="array" ref="S314">Y314*tax_rate</f>
        <v>0</v>
      </c>
      <c r="T314" s="85">
        <f t="shared" si="110"/>
        <v>837856.09360280016</v>
      </c>
      <c r="U314" s="85">
        <f t="shared" si="101"/>
        <v>2776869.5551388925</v>
      </c>
      <c r="V314" s="85"/>
      <c r="W314" s="138">
        <f t="shared" si="111"/>
        <v>0.13842843239265107</v>
      </c>
      <c r="X314" s="138" t="str">
        <f t="shared" si="117"/>
        <v/>
      </c>
      <c r="Y314" s="142"/>
      <c r="Z314" s="139">
        <f t="shared" si="102"/>
        <v>5022.9549861252372</v>
      </c>
      <c r="AA314" s="114">
        <v>287</v>
      </c>
      <c r="AB314" s="46">
        <f t="shared" si="112"/>
        <v>-968.54911527257184</v>
      </c>
      <c r="AC314" s="47"/>
      <c r="AD314" s="47">
        <f t="shared" si="116"/>
        <v>18185.463462388143</v>
      </c>
      <c r="AE314" s="86"/>
      <c r="AF314" s="140"/>
      <c r="AG314" s="140"/>
      <c r="AH314" s="140">
        <f t="shared" si="103"/>
        <v>2651329.8862576182</v>
      </c>
      <c r="AI314" s="9"/>
      <c r="AJ314" s="9"/>
      <c r="AK314" s="9"/>
    </row>
    <row r="315" spans="2:37" ht="15" customHeight="1" collapsed="1" x14ac:dyDescent="0.25">
      <c r="B315" s="8">
        <f t="shared" si="104"/>
        <v>24</v>
      </c>
      <c r="C315" s="85">
        <f t="shared" si="105"/>
        <v>2102789.4537613424</v>
      </c>
      <c r="D315" s="85">
        <f t="shared" si="113"/>
        <v>6141.8227134350309</v>
      </c>
      <c r="E315" s="85">
        <f t="shared" si="114"/>
        <v>-751.18198057637483</v>
      </c>
      <c r="F315" s="85">
        <f t="shared" si="115"/>
        <v>-367.68574673341885</v>
      </c>
      <c r="G315" s="85">
        <f t="shared" si="106"/>
        <v>0</v>
      </c>
      <c r="H315" s="85">
        <v>0</v>
      </c>
      <c r="I315" s="85">
        <v>0</v>
      </c>
      <c r="J315" s="85">
        <v>0</v>
      </c>
      <c r="K315" s="85">
        <f t="shared" si="107"/>
        <v>-2622.054407072922</v>
      </c>
      <c r="L315" s="85">
        <f t="shared" si="108"/>
        <v>1118.8677273097937</v>
      </c>
      <c r="M315" s="85">
        <f t="shared" si="96"/>
        <v>3740.9221343827157</v>
      </c>
      <c r="N315" s="85">
        <f t="shared" si="97"/>
        <v>3024.4956055121938</v>
      </c>
      <c r="O315" s="85">
        <f t="shared" si="98"/>
        <v>5022.9549861252372</v>
      </c>
      <c r="P315" s="85">
        <f t="shared" si="109"/>
        <v>151650.51345193703</v>
      </c>
      <c r="Q315" s="85">
        <f t="shared" si="99"/>
        <v>1951138.9403094053</v>
      </c>
      <c r="R315" s="85">
        <f t="shared" si="100"/>
        <v>2656.8098587787749</v>
      </c>
      <c r="S315" s="85" cm="1">
        <f t="array" ref="S315">Y315*tax_rate</f>
        <v>7859.7991084753257</v>
      </c>
      <c r="T315" s="85">
        <f t="shared" si="110"/>
        <v>851863.76962673257</v>
      </c>
      <c r="U315" s="85">
        <f t="shared" si="101"/>
        <v>2803002.7099361378</v>
      </c>
      <c r="V315" s="85">
        <f>U315-U303</f>
        <v>221432.51287625125</v>
      </c>
      <c r="W315" s="138">
        <f t="shared" si="111"/>
        <v>0.13836026833322965</v>
      </c>
      <c r="X315" s="138">
        <f t="shared" si="117"/>
        <v>8.5774352806070348E-2</v>
      </c>
      <c r="Y315" s="141">
        <f>(((Sale_Price*0.8)+Improvement_Costs+Closing_Costs_Total)/27.5)+(-E315*12)+-AC315</f>
        <v>35726.359583978752</v>
      </c>
      <c r="Z315" s="139">
        <f t="shared" si="102"/>
        <v>5022.9549861252372</v>
      </c>
      <c r="AA315" s="114">
        <v>288</v>
      </c>
      <c r="AB315" s="46">
        <f t="shared" si="112"/>
        <v>-958.2147071988195</v>
      </c>
      <c r="AC315" s="46">
        <f>SUM(AB304:AB315)</f>
        <v>-12166.721271607707</v>
      </c>
      <c r="AD315" s="47">
        <f t="shared" si="116"/>
        <v>26133.154797245283</v>
      </c>
      <c r="AE315" s="86">
        <f>D315*12</f>
        <v>73701.872561220371</v>
      </c>
      <c r="AF315" s="140"/>
      <c r="AG315" s="140"/>
      <c r="AH315" s="140">
        <f t="shared" si="103"/>
        <v>2676835.3427104573</v>
      </c>
      <c r="AI315" s="9">
        <f>AI303*(1+Comparison_Rate_of_Return)</f>
        <v>1231216.5844759541</v>
      </c>
      <c r="AJ315" s="9"/>
      <c r="AK315" s="9"/>
    </row>
    <row r="316" spans="2:37" ht="12" hidden="1" customHeight="1" outlineLevel="1" x14ac:dyDescent="0.25">
      <c r="B316" s="8" t="str">
        <f t="shared" si="104"/>
        <v/>
      </c>
      <c r="C316" s="85">
        <f t="shared" si="105"/>
        <v>2113303.4010301488</v>
      </c>
      <c r="D316" s="85">
        <f t="shared" si="113"/>
        <v>6356.7865084052564</v>
      </c>
      <c r="E316" s="85">
        <f t="shared" si="114"/>
        <v>-777.47334989654792</v>
      </c>
      <c r="F316" s="85">
        <f t="shared" si="115"/>
        <v>-380.55474786908849</v>
      </c>
      <c r="G316" s="85">
        <f t="shared" si="106"/>
        <v>0</v>
      </c>
      <c r="H316" s="85">
        <v>0</v>
      </c>
      <c r="I316" s="85">
        <v>0</v>
      </c>
      <c r="J316" s="85">
        <v>0</v>
      </c>
      <c r="K316" s="85">
        <f t="shared" si="107"/>
        <v>-2622.054407072922</v>
      </c>
      <c r="L316" s="85">
        <f t="shared" si="108"/>
        <v>1158.0280977656364</v>
      </c>
      <c r="M316" s="85">
        <f t="shared" si="96"/>
        <v>3780.0825048385586</v>
      </c>
      <c r="N316" s="85">
        <f t="shared" si="97"/>
        <v>3222.1248559526721</v>
      </c>
      <c r="O316" s="85">
        <f t="shared" si="98"/>
        <v>5198.7584106396198</v>
      </c>
      <c r="P316" s="85">
        <f t="shared" si="109"/>
        <v>149976.27475393869</v>
      </c>
      <c r="Q316" s="85">
        <f t="shared" si="99"/>
        <v>1963327.1262762102</v>
      </c>
      <c r="R316" s="85">
        <f t="shared" si="100"/>
        <v>2841.5701080835834</v>
      </c>
      <c r="S316" s="85" cm="1">
        <f t="array" ref="S316">Y316*tax_rate</f>
        <v>0</v>
      </c>
      <c r="T316" s="85">
        <f t="shared" si="110"/>
        <v>858254.77210826077</v>
      </c>
      <c r="U316" s="85">
        <f t="shared" si="101"/>
        <v>2821581.898384471</v>
      </c>
      <c r="V316" s="85"/>
      <c r="W316" s="138">
        <f t="shared" si="111"/>
        <v>0.13816211037685666</v>
      </c>
      <c r="X316" s="138" t="str">
        <f t="shared" si="117"/>
        <v/>
      </c>
      <c r="Y316" s="142"/>
      <c r="Z316" s="139">
        <f t="shared" si="102"/>
        <v>5198.7584106396198</v>
      </c>
      <c r="AA316" s="114">
        <v>289</v>
      </c>
      <c r="AB316" s="46">
        <f t="shared" si="112"/>
        <v>-947.81570907460639</v>
      </c>
      <c r="AC316" s="47"/>
      <c r="AD316" s="47">
        <f t="shared" si="116"/>
        <v>18579.188448333181</v>
      </c>
      <c r="AE316" s="86"/>
      <c r="AF316" s="140"/>
      <c r="AG316" s="140"/>
      <c r="AH316" s="140">
        <f t="shared" si="103"/>
        <v>2694783.694322662</v>
      </c>
      <c r="AI316" s="9"/>
      <c r="AJ316" s="9"/>
      <c r="AK316" s="9"/>
    </row>
    <row r="317" spans="2:37" ht="12" hidden="1" customHeight="1" outlineLevel="1" x14ac:dyDescent="0.25">
      <c r="B317" s="8" t="str">
        <f t="shared" si="104"/>
        <v/>
      </c>
      <c r="C317" s="85">
        <f t="shared" si="105"/>
        <v>2123869.9180352995</v>
      </c>
      <c r="D317" s="85">
        <f t="shared" si="113"/>
        <v>6356.7865084052564</v>
      </c>
      <c r="E317" s="85">
        <f t="shared" si="114"/>
        <v>-777.47334989654792</v>
      </c>
      <c r="F317" s="85">
        <f t="shared" si="115"/>
        <v>-380.55474786908849</v>
      </c>
      <c r="G317" s="85">
        <f t="shared" si="106"/>
        <v>0</v>
      </c>
      <c r="H317" s="85">
        <v>0</v>
      </c>
      <c r="I317" s="85">
        <v>0</v>
      </c>
      <c r="J317" s="85">
        <v>0</v>
      </c>
      <c r="K317" s="85">
        <f t="shared" si="107"/>
        <v>-2622.054407072922</v>
      </c>
      <c r="L317" s="85">
        <f t="shared" si="108"/>
        <v>1158.0280977656364</v>
      </c>
      <c r="M317" s="85">
        <f t="shared" si="96"/>
        <v>3780.0825048385586</v>
      </c>
      <c r="N317" s="85">
        <f t="shared" si="97"/>
        <v>3222.1248559526721</v>
      </c>
      <c r="O317" s="85">
        <f t="shared" si="98"/>
        <v>5198.7584106396198</v>
      </c>
      <c r="P317" s="85">
        <f t="shared" si="109"/>
        <v>148291.57206407786</v>
      </c>
      <c r="Q317" s="85">
        <f t="shared" si="99"/>
        <v>1975578.3459712216</v>
      </c>
      <c r="R317" s="85">
        <f t="shared" si="100"/>
        <v>2841.5701080835834</v>
      </c>
      <c r="S317" s="85" cm="1">
        <f t="array" ref="S317">Y317*tax_rate</f>
        <v>0</v>
      </c>
      <c r="T317" s="85">
        <f t="shared" si="110"/>
        <v>864672.40376679541</v>
      </c>
      <c r="U317" s="85">
        <f t="shared" si="101"/>
        <v>2840250.7497380171</v>
      </c>
      <c r="V317" s="85"/>
      <c r="W317" s="138">
        <f t="shared" si="111"/>
        <v>0.137964798010348</v>
      </c>
      <c r="X317" s="138" t="str">
        <f t="shared" si="117"/>
        <v/>
      </c>
      <c r="Y317" s="142"/>
      <c r="Z317" s="139">
        <f t="shared" si="102"/>
        <v>5198.7584106396198</v>
      </c>
      <c r="AA317" s="114">
        <v>290</v>
      </c>
      <c r="AB317" s="46">
        <f t="shared" si="112"/>
        <v>-937.3517172121168</v>
      </c>
      <c r="AC317" s="47"/>
      <c r="AD317" s="47">
        <f t="shared" si="116"/>
        <v>18668.851353546139</v>
      </c>
      <c r="AE317" s="86"/>
      <c r="AF317" s="140"/>
      <c r="AG317" s="140"/>
      <c r="AH317" s="140">
        <f t="shared" si="103"/>
        <v>2712818.5546558993</v>
      </c>
      <c r="AI317" s="9"/>
      <c r="AJ317" s="9"/>
      <c r="AK317" s="9"/>
    </row>
    <row r="318" spans="2:37" ht="12" hidden="1" customHeight="1" outlineLevel="1" x14ac:dyDescent="0.25">
      <c r="B318" s="8" t="str">
        <f t="shared" si="104"/>
        <v/>
      </c>
      <c r="C318" s="85">
        <f t="shared" si="105"/>
        <v>2134489.2676254758</v>
      </c>
      <c r="D318" s="85">
        <f t="shared" si="113"/>
        <v>6356.7865084052564</v>
      </c>
      <c r="E318" s="85">
        <f t="shared" si="114"/>
        <v>-777.47334989654792</v>
      </c>
      <c r="F318" s="85">
        <f t="shared" si="115"/>
        <v>-380.55474786908849</v>
      </c>
      <c r="G318" s="85">
        <f t="shared" si="106"/>
        <v>0</v>
      </c>
      <c r="H318" s="85">
        <v>0</v>
      </c>
      <c r="I318" s="85">
        <v>0</v>
      </c>
      <c r="J318" s="85">
        <v>0</v>
      </c>
      <c r="K318" s="85">
        <f t="shared" si="107"/>
        <v>-2622.054407072922</v>
      </c>
      <c r="L318" s="85">
        <f t="shared" si="108"/>
        <v>1158.0280977656364</v>
      </c>
      <c r="M318" s="85">
        <f t="shared" si="96"/>
        <v>3780.0825048385586</v>
      </c>
      <c r="N318" s="85">
        <f t="shared" si="97"/>
        <v>3222.1248559526721</v>
      </c>
      <c r="O318" s="85">
        <f t="shared" si="98"/>
        <v>5198.7584106396198</v>
      </c>
      <c r="P318" s="85">
        <f t="shared" si="109"/>
        <v>146596.33998240542</v>
      </c>
      <c r="Q318" s="85">
        <f t="shared" si="99"/>
        <v>1987892.9276430705</v>
      </c>
      <c r="R318" s="85">
        <f t="shared" si="100"/>
        <v>2841.5701080835834</v>
      </c>
      <c r="S318" s="85" cm="1">
        <f t="array" ref="S318">Y318*tax_rate</f>
        <v>0</v>
      </c>
      <c r="T318" s="85">
        <f t="shared" si="110"/>
        <v>871116.77555724059</v>
      </c>
      <c r="U318" s="85">
        <f t="shared" si="101"/>
        <v>2859009.7032003109</v>
      </c>
      <c r="V318" s="85"/>
      <c r="W318" s="138">
        <f t="shared" si="111"/>
        <v>0.13776832716530976</v>
      </c>
      <c r="X318" s="138" t="str">
        <f t="shared" si="117"/>
        <v/>
      </c>
      <c r="Y318" s="142"/>
      <c r="Z318" s="139">
        <f t="shared" si="102"/>
        <v>5198.7584106396198</v>
      </c>
      <c r="AA318" s="114">
        <v>291</v>
      </c>
      <c r="AB318" s="46">
        <f t="shared" si="112"/>
        <v>-926.82232540048653</v>
      </c>
      <c r="AC318" s="47"/>
      <c r="AD318" s="47">
        <f t="shared" si="116"/>
        <v>18758.953462293837</v>
      </c>
      <c r="AE318" s="86"/>
      <c r="AF318" s="140"/>
      <c r="AG318" s="140"/>
      <c r="AH318" s="140">
        <f t="shared" si="103"/>
        <v>2730940.3471427825</v>
      </c>
      <c r="AI318" s="9"/>
      <c r="AJ318" s="9"/>
      <c r="AK318" s="9"/>
    </row>
    <row r="319" spans="2:37" ht="12" hidden="1" customHeight="1" outlineLevel="1" x14ac:dyDescent="0.25">
      <c r="B319" s="8" t="str">
        <f t="shared" si="104"/>
        <v/>
      </c>
      <c r="C319" s="85">
        <f t="shared" si="105"/>
        <v>2145161.7139636031</v>
      </c>
      <c r="D319" s="85">
        <f t="shared" si="113"/>
        <v>6356.7865084052564</v>
      </c>
      <c r="E319" s="85">
        <f t="shared" si="114"/>
        <v>-777.47334989654792</v>
      </c>
      <c r="F319" s="85">
        <f t="shared" si="115"/>
        <v>-380.55474786908849</v>
      </c>
      <c r="G319" s="85">
        <f t="shared" si="106"/>
        <v>0</v>
      </c>
      <c r="H319" s="85">
        <v>0</v>
      </c>
      <c r="I319" s="85">
        <v>0</v>
      </c>
      <c r="J319" s="85">
        <v>0</v>
      </c>
      <c r="K319" s="85">
        <f t="shared" si="107"/>
        <v>-2622.054407072922</v>
      </c>
      <c r="L319" s="85">
        <f t="shared" si="108"/>
        <v>1158.0280977656364</v>
      </c>
      <c r="M319" s="85">
        <f t="shared" si="96"/>
        <v>3780.0825048385586</v>
      </c>
      <c r="N319" s="85">
        <f t="shared" si="97"/>
        <v>3222.1248559526721</v>
      </c>
      <c r="O319" s="85">
        <f t="shared" si="98"/>
        <v>5198.7584106396198</v>
      </c>
      <c r="P319" s="85">
        <f t="shared" si="109"/>
        <v>144890.51270022252</v>
      </c>
      <c r="Q319" s="85">
        <f t="shared" si="99"/>
        <v>2000271.2012633807</v>
      </c>
      <c r="R319" s="85">
        <f t="shared" si="100"/>
        <v>2841.5701080835834</v>
      </c>
      <c r="S319" s="85" cm="1">
        <f t="array" ref="S319">Y319*tax_rate</f>
        <v>0</v>
      </c>
      <c r="T319" s="85">
        <f t="shared" si="110"/>
        <v>877587.99889681267</v>
      </c>
      <c r="U319" s="85">
        <f t="shared" si="101"/>
        <v>2877859.2001601933</v>
      </c>
      <c r="V319" s="85"/>
      <c r="W319" s="138">
        <f t="shared" si="111"/>
        <v>0.13757269377537937</v>
      </c>
      <c r="X319" s="138" t="str">
        <f t="shared" si="117"/>
        <v/>
      </c>
      <c r="Y319" s="142"/>
      <c r="Z319" s="139">
        <f t="shared" si="102"/>
        <v>5198.7584106396198</v>
      </c>
      <c r="AA319" s="114">
        <v>292</v>
      </c>
      <c r="AB319" s="46">
        <f t="shared" si="112"/>
        <v>-916.22712489003379</v>
      </c>
      <c r="AC319" s="47"/>
      <c r="AD319" s="47">
        <f t="shared" si="116"/>
        <v>18849.496959882323</v>
      </c>
      <c r="AE319" s="86"/>
      <c r="AF319" s="140"/>
      <c r="AG319" s="140"/>
      <c r="AH319" s="140">
        <f t="shared" si="103"/>
        <v>2749149.4973223773</v>
      </c>
      <c r="AI319" s="9"/>
      <c r="AJ319" s="9"/>
      <c r="AK319" s="9"/>
    </row>
    <row r="320" spans="2:37" ht="12" hidden="1" customHeight="1" outlineLevel="1" x14ac:dyDescent="0.25">
      <c r="B320" s="8" t="str">
        <f t="shared" si="104"/>
        <v/>
      </c>
      <c r="C320" s="85">
        <f t="shared" si="105"/>
        <v>2155887.5225334209</v>
      </c>
      <c r="D320" s="85">
        <f t="shared" si="113"/>
        <v>6356.7865084052564</v>
      </c>
      <c r="E320" s="85">
        <f t="shared" si="114"/>
        <v>-777.47334989654792</v>
      </c>
      <c r="F320" s="85">
        <f t="shared" si="115"/>
        <v>-380.55474786908849</v>
      </c>
      <c r="G320" s="85">
        <f t="shared" si="106"/>
        <v>0</v>
      </c>
      <c r="H320" s="85">
        <v>0</v>
      </c>
      <c r="I320" s="85">
        <v>0</v>
      </c>
      <c r="J320" s="85">
        <v>0</v>
      </c>
      <c r="K320" s="85">
        <f t="shared" si="107"/>
        <v>-2622.054407072922</v>
      </c>
      <c r="L320" s="85">
        <f t="shared" si="108"/>
        <v>1158.0280977656364</v>
      </c>
      <c r="M320" s="85">
        <f t="shared" si="96"/>
        <v>3780.0825048385586</v>
      </c>
      <c r="N320" s="85">
        <f t="shared" si="97"/>
        <v>3222.1248559526721</v>
      </c>
      <c r="O320" s="85">
        <f t="shared" si="98"/>
        <v>5198.7584106396198</v>
      </c>
      <c r="P320" s="85">
        <f t="shared" si="109"/>
        <v>143174.02399752598</v>
      </c>
      <c r="Q320" s="85">
        <f t="shared" si="99"/>
        <v>2012713.498535895</v>
      </c>
      <c r="R320" s="85">
        <f t="shared" si="100"/>
        <v>2841.5701080835834</v>
      </c>
      <c r="S320" s="85" cm="1">
        <f t="array" ref="S320">Y320*tax_rate</f>
        <v>0</v>
      </c>
      <c r="T320" s="85">
        <f t="shared" si="110"/>
        <v>884086.18566696625</v>
      </c>
      <c r="U320" s="85">
        <f t="shared" si="101"/>
        <v>2896799.684202861</v>
      </c>
      <c r="V320" s="85"/>
      <c r="W320" s="138">
        <f t="shared" si="111"/>
        <v>0.13737789377700008</v>
      </c>
      <c r="X320" s="138" t="str">
        <f t="shared" si="117"/>
        <v/>
      </c>
      <c r="Y320" s="142"/>
      <c r="Z320" s="139">
        <f t="shared" si="102"/>
        <v>5198.7584106396198</v>
      </c>
      <c r="AA320" s="114">
        <v>293</v>
      </c>
      <c r="AB320" s="46">
        <f t="shared" si="112"/>
        <v>-905.56570437639073</v>
      </c>
      <c r="AC320" s="47"/>
      <c r="AD320" s="47">
        <f t="shared" si="116"/>
        <v>18940.484042667784</v>
      </c>
      <c r="AE320" s="86"/>
      <c r="AF320" s="140"/>
      <c r="AG320" s="140"/>
      <c r="AH320" s="140">
        <f t="shared" si="103"/>
        <v>2767446.4328508559</v>
      </c>
      <c r="AI320" s="9"/>
      <c r="AJ320" s="9"/>
      <c r="AK320" s="9"/>
    </row>
    <row r="321" spans="2:37" ht="12" hidden="1" customHeight="1" outlineLevel="1" x14ac:dyDescent="0.25">
      <c r="B321" s="8" t="str">
        <f t="shared" si="104"/>
        <v/>
      </c>
      <c r="C321" s="85">
        <f t="shared" si="105"/>
        <v>2166666.9601460877</v>
      </c>
      <c r="D321" s="85">
        <f t="shared" si="113"/>
        <v>6356.7865084052564</v>
      </c>
      <c r="E321" s="85">
        <f t="shared" si="114"/>
        <v>-777.47334989654792</v>
      </c>
      <c r="F321" s="85">
        <f t="shared" si="115"/>
        <v>-380.55474786908849</v>
      </c>
      <c r="G321" s="85">
        <f t="shared" si="106"/>
        <v>0</v>
      </c>
      <c r="H321" s="85">
        <v>0</v>
      </c>
      <c r="I321" s="85">
        <v>0</v>
      </c>
      <c r="J321" s="85">
        <v>0</v>
      </c>
      <c r="K321" s="85">
        <f t="shared" si="107"/>
        <v>-2622.054407072922</v>
      </c>
      <c r="L321" s="85">
        <f t="shared" si="108"/>
        <v>1158.0280977656364</v>
      </c>
      <c r="M321" s="85">
        <f t="shared" si="96"/>
        <v>3780.0825048385586</v>
      </c>
      <c r="N321" s="85">
        <f t="shared" si="97"/>
        <v>3222.1248559526721</v>
      </c>
      <c r="O321" s="85">
        <f t="shared" si="98"/>
        <v>5198.7584106396198</v>
      </c>
      <c r="P321" s="85">
        <f t="shared" si="109"/>
        <v>141446.80724043757</v>
      </c>
      <c r="Q321" s="85">
        <f t="shared" si="99"/>
        <v>2025220.1529056502</v>
      </c>
      <c r="R321" s="85">
        <f t="shared" si="100"/>
        <v>2841.5701080835834</v>
      </c>
      <c r="S321" s="85" cm="1">
        <f t="array" ref="S321">Y321*tax_rate</f>
        <v>0</v>
      </c>
      <c r="T321" s="85">
        <f t="shared" si="110"/>
        <v>890611.44821532886</v>
      </c>
      <c r="U321" s="85">
        <f t="shared" si="101"/>
        <v>2915831.6011209791</v>
      </c>
      <c r="V321" s="85"/>
      <c r="W321" s="138">
        <f t="shared" si="111"/>
        <v>0.13718392311016236</v>
      </c>
      <c r="X321" s="138" t="str">
        <f t="shared" si="117"/>
        <v/>
      </c>
      <c r="Y321" s="142"/>
      <c r="Z321" s="139">
        <f t="shared" si="102"/>
        <v>5198.7584106396198</v>
      </c>
      <c r="AA321" s="114">
        <v>294</v>
      </c>
      <c r="AB321" s="46">
        <f t="shared" si="112"/>
        <v>-894.83764998453728</v>
      </c>
      <c r="AC321" s="47"/>
      <c r="AD321" s="47">
        <f t="shared" si="116"/>
        <v>19031.916918118019</v>
      </c>
      <c r="AE321" s="86"/>
      <c r="AF321" s="140"/>
      <c r="AG321" s="140"/>
      <c r="AH321" s="140">
        <f t="shared" si="103"/>
        <v>2785831.583512214</v>
      </c>
      <c r="AI321" s="9"/>
      <c r="AJ321" s="9"/>
      <c r="AK321" s="9"/>
    </row>
    <row r="322" spans="2:37" ht="12" hidden="1" customHeight="1" outlineLevel="1" x14ac:dyDescent="0.25">
      <c r="B322" s="8" t="str">
        <f t="shared" si="104"/>
        <v/>
      </c>
      <c r="C322" s="85">
        <f t="shared" si="105"/>
        <v>2177500.2949468177</v>
      </c>
      <c r="D322" s="85">
        <f t="shared" si="113"/>
        <v>6356.7865084052564</v>
      </c>
      <c r="E322" s="85">
        <f t="shared" si="114"/>
        <v>-777.47334989654792</v>
      </c>
      <c r="F322" s="85">
        <f t="shared" si="115"/>
        <v>-380.55474786908849</v>
      </c>
      <c r="G322" s="85">
        <f t="shared" si="106"/>
        <v>0</v>
      </c>
      <c r="H322" s="85">
        <v>0</v>
      </c>
      <c r="I322" s="85">
        <v>0</v>
      </c>
      <c r="J322" s="85">
        <v>0</v>
      </c>
      <c r="K322" s="85">
        <f t="shared" si="107"/>
        <v>-2622.054407072922</v>
      </c>
      <c r="L322" s="85">
        <f t="shared" si="108"/>
        <v>1158.0280977656364</v>
      </c>
      <c r="M322" s="85">
        <f t="shared" si="96"/>
        <v>3780.0825048385586</v>
      </c>
      <c r="N322" s="85">
        <f t="shared" si="97"/>
        <v>3222.1248559526721</v>
      </c>
      <c r="O322" s="85">
        <f t="shared" si="98"/>
        <v>5198.7584106396198</v>
      </c>
      <c r="P322" s="85">
        <f t="shared" si="109"/>
        <v>139708.79537861736</v>
      </c>
      <c r="Q322" s="85">
        <f t="shared" si="99"/>
        <v>2037791.4995682002</v>
      </c>
      <c r="R322" s="85">
        <f t="shared" si="100"/>
        <v>2841.5701080835834</v>
      </c>
      <c r="S322" s="85" cm="1">
        <f t="array" ref="S322">Y322*tax_rate</f>
        <v>0</v>
      </c>
      <c r="T322" s="85">
        <f t="shared" si="110"/>
        <v>897163.89935764298</v>
      </c>
      <c r="U322" s="85">
        <f t="shared" si="101"/>
        <v>2934955.3989258432</v>
      </c>
      <c r="V322" s="85"/>
      <c r="W322" s="138">
        <f t="shared" si="111"/>
        <v>0.136990777719117</v>
      </c>
      <c r="X322" s="138" t="str">
        <f t="shared" si="117"/>
        <v/>
      </c>
      <c r="Y322" s="142"/>
      <c r="Z322" s="139">
        <f t="shared" si="102"/>
        <v>5198.7584106396198</v>
      </c>
      <c r="AA322" s="114">
        <v>295</v>
      </c>
      <c r="AB322" s="46">
        <f t="shared" si="112"/>
        <v>-884.04254525273473</v>
      </c>
      <c r="AC322" s="47"/>
      <c r="AD322" s="47">
        <f t="shared" si="116"/>
        <v>19123.797804864123</v>
      </c>
      <c r="AE322" s="86"/>
      <c r="AF322" s="140"/>
      <c r="AG322" s="140"/>
      <c r="AH322" s="140">
        <f t="shared" si="103"/>
        <v>2804305.3812290342</v>
      </c>
      <c r="AI322" s="9"/>
      <c r="AJ322" s="9"/>
      <c r="AK322" s="9"/>
    </row>
    <row r="323" spans="2:37" ht="12" hidden="1" customHeight="1" outlineLevel="1" x14ac:dyDescent="0.25">
      <c r="B323" s="8" t="str">
        <f t="shared" si="104"/>
        <v/>
      </c>
      <c r="C323" s="85">
        <f t="shared" si="105"/>
        <v>2188387.7964215516</v>
      </c>
      <c r="D323" s="85">
        <f t="shared" si="113"/>
        <v>6356.7865084052564</v>
      </c>
      <c r="E323" s="85">
        <f t="shared" si="114"/>
        <v>-777.47334989654792</v>
      </c>
      <c r="F323" s="85">
        <f t="shared" si="115"/>
        <v>-380.55474786908849</v>
      </c>
      <c r="G323" s="85">
        <f t="shared" si="106"/>
        <v>0</v>
      </c>
      <c r="H323" s="85">
        <v>0</v>
      </c>
      <c r="I323" s="85">
        <v>0</v>
      </c>
      <c r="J323" s="85">
        <v>0</v>
      </c>
      <c r="K323" s="85">
        <f t="shared" si="107"/>
        <v>-2622.054407072922</v>
      </c>
      <c r="L323" s="85">
        <f t="shared" si="108"/>
        <v>1158.0280977656364</v>
      </c>
      <c r="M323" s="85">
        <f t="shared" si="96"/>
        <v>3780.0825048385586</v>
      </c>
      <c r="N323" s="85">
        <f t="shared" si="97"/>
        <v>3222.1248559526721</v>
      </c>
      <c r="O323" s="85">
        <f t="shared" si="98"/>
        <v>5198.7584106396198</v>
      </c>
      <c r="P323" s="85">
        <f t="shared" si="109"/>
        <v>137959.92094266077</v>
      </c>
      <c r="Q323" s="85">
        <f t="shared" si="99"/>
        <v>2050427.8754788907</v>
      </c>
      <c r="R323" s="85">
        <f t="shared" si="100"/>
        <v>2841.5701080835834</v>
      </c>
      <c r="S323" s="85" cm="1">
        <f t="array" ref="S323">Y323*tax_rate</f>
        <v>0</v>
      </c>
      <c r="T323" s="85">
        <f t="shared" si="110"/>
        <v>903743.65237971663</v>
      </c>
      <c r="U323" s="85">
        <f t="shared" si="101"/>
        <v>2954171.5278586075</v>
      </c>
      <c r="V323" s="85"/>
      <c r="W323" s="138">
        <f t="shared" si="111"/>
        <v>0.13679845355305917</v>
      </c>
      <c r="X323" s="138" t="str">
        <f t="shared" si="117"/>
        <v/>
      </c>
      <c r="Y323" s="142"/>
      <c r="Z323" s="139">
        <f t="shared" si="102"/>
        <v>5198.7584106396198</v>
      </c>
      <c r="AA323" s="114">
        <v>296</v>
      </c>
      <c r="AB323" s="46">
        <f t="shared" si="112"/>
        <v>-873.17997111635839</v>
      </c>
      <c r="AC323" s="47"/>
      <c r="AD323" s="47">
        <f t="shared" si="116"/>
        <v>19216.128932764288</v>
      </c>
      <c r="AE323" s="86"/>
      <c r="AF323" s="140"/>
      <c r="AG323" s="140"/>
      <c r="AH323" s="140">
        <f t="shared" si="103"/>
        <v>2822868.2600733144</v>
      </c>
      <c r="AI323" s="9"/>
      <c r="AJ323" s="9"/>
      <c r="AK323" s="9"/>
    </row>
    <row r="324" spans="2:37" ht="12" hidden="1" customHeight="1" outlineLevel="1" x14ac:dyDescent="0.25">
      <c r="B324" s="8" t="str">
        <f t="shared" si="104"/>
        <v/>
      </c>
      <c r="C324" s="85">
        <f t="shared" si="105"/>
        <v>2199329.7354036593</v>
      </c>
      <c r="D324" s="85">
        <f t="shared" si="113"/>
        <v>6356.7865084052564</v>
      </c>
      <c r="E324" s="85">
        <f t="shared" si="114"/>
        <v>-777.47334989654792</v>
      </c>
      <c r="F324" s="85">
        <f t="shared" si="115"/>
        <v>-380.55474786908849</v>
      </c>
      <c r="G324" s="85">
        <f t="shared" si="106"/>
        <v>0</v>
      </c>
      <c r="H324" s="85">
        <v>0</v>
      </c>
      <c r="I324" s="85">
        <v>0</v>
      </c>
      <c r="J324" s="85">
        <v>0</v>
      </c>
      <c r="K324" s="85">
        <f t="shared" si="107"/>
        <v>-2622.054407072922</v>
      </c>
      <c r="L324" s="85">
        <f t="shared" si="108"/>
        <v>1158.0280977656364</v>
      </c>
      <c r="M324" s="85">
        <f t="shared" si="96"/>
        <v>3780.0825048385586</v>
      </c>
      <c r="N324" s="85">
        <f t="shared" si="97"/>
        <v>3222.1248559526721</v>
      </c>
      <c r="O324" s="85">
        <f t="shared" si="98"/>
        <v>5198.7584106396198</v>
      </c>
      <c r="P324" s="85">
        <f t="shared" si="109"/>
        <v>136200.11604147946</v>
      </c>
      <c r="Q324" s="85">
        <f t="shared" si="99"/>
        <v>2063129.6193621799</v>
      </c>
      <c r="R324" s="85">
        <f t="shared" si="100"/>
        <v>2841.5701080835834</v>
      </c>
      <c r="S324" s="85" cm="1">
        <f t="array" ref="S324">Y324*tax_rate</f>
        <v>0</v>
      </c>
      <c r="T324" s="85">
        <f t="shared" si="110"/>
        <v>910350.82103938237</v>
      </c>
      <c r="U324" s="85">
        <f t="shared" si="101"/>
        <v>2973480.4404015625</v>
      </c>
      <c r="V324" s="85"/>
      <c r="W324" s="138">
        <f t="shared" si="111"/>
        <v>0.13660694656678518</v>
      </c>
      <c r="X324" s="138" t="str">
        <f t="shared" si="117"/>
        <v/>
      </c>
      <c r="Y324" s="142"/>
      <c r="Z324" s="139">
        <f t="shared" si="102"/>
        <v>5198.7584106396198</v>
      </c>
      <c r="AA324" s="114">
        <v>297</v>
      </c>
      <c r="AB324" s="46">
        <f t="shared" si="112"/>
        <v>-862.24950589162972</v>
      </c>
      <c r="AC324" s="47"/>
      <c r="AD324" s="47">
        <f t="shared" si="116"/>
        <v>19308.912542955019</v>
      </c>
      <c r="AE324" s="86"/>
      <c r="AF324" s="140"/>
      <c r="AG324" s="140"/>
      <c r="AH324" s="140">
        <f t="shared" si="103"/>
        <v>2841520.6562773427</v>
      </c>
      <c r="AI324" s="9"/>
      <c r="AJ324" s="9"/>
      <c r="AK324" s="9"/>
    </row>
    <row r="325" spans="2:37" ht="12" hidden="1" customHeight="1" outlineLevel="1" x14ac:dyDescent="0.25">
      <c r="B325" s="8" t="str">
        <f t="shared" si="104"/>
        <v/>
      </c>
      <c r="C325" s="85">
        <f t="shared" si="105"/>
        <v>2210326.3840806773</v>
      </c>
      <c r="D325" s="85">
        <f t="shared" si="113"/>
        <v>6356.7865084052564</v>
      </c>
      <c r="E325" s="85">
        <f t="shared" si="114"/>
        <v>-777.47334989654792</v>
      </c>
      <c r="F325" s="85">
        <f t="shared" si="115"/>
        <v>-380.55474786908849</v>
      </c>
      <c r="G325" s="85">
        <f t="shared" si="106"/>
        <v>0</v>
      </c>
      <c r="H325" s="85">
        <v>0</v>
      </c>
      <c r="I325" s="85">
        <v>0</v>
      </c>
      <c r="J325" s="85">
        <v>0</v>
      </c>
      <c r="K325" s="85">
        <f t="shared" si="107"/>
        <v>-2622.054407072922</v>
      </c>
      <c r="L325" s="85">
        <f t="shared" si="108"/>
        <v>1158.0280977656364</v>
      </c>
      <c r="M325" s="85">
        <f t="shared" si="96"/>
        <v>3780.0825048385586</v>
      </c>
      <c r="N325" s="85">
        <f t="shared" si="97"/>
        <v>3222.1248559526721</v>
      </c>
      <c r="O325" s="85">
        <f t="shared" si="98"/>
        <v>5198.7584106396198</v>
      </c>
      <c r="P325" s="85">
        <f t="shared" si="109"/>
        <v>134429.31235966575</v>
      </c>
      <c r="Q325" s="85">
        <f t="shared" si="99"/>
        <v>2075897.0717210115</v>
      </c>
      <c r="R325" s="85">
        <f t="shared" si="100"/>
        <v>2841.5701080835834</v>
      </c>
      <c r="S325" s="85" cm="1">
        <f t="array" ref="S325">Y325*tax_rate</f>
        <v>0</v>
      </c>
      <c r="T325" s="85">
        <f t="shared" si="110"/>
        <v>916985.51956846332</v>
      </c>
      <c r="U325" s="85">
        <f t="shared" si="101"/>
        <v>2992882.5912894746</v>
      </c>
      <c r="V325" s="85"/>
      <c r="W325" s="138">
        <f t="shared" si="111"/>
        <v>0.1364162527213213</v>
      </c>
      <c r="X325" s="138" t="str">
        <f t="shared" si="117"/>
        <v/>
      </c>
      <c r="Y325" s="142"/>
      <c r="Z325" s="139">
        <f t="shared" si="102"/>
        <v>5198.7584106396198</v>
      </c>
      <c r="AA325" s="114">
        <v>298</v>
      </c>
      <c r="AB325" s="46">
        <f t="shared" si="112"/>
        <v>-851.25072525924656</v>
      </c>
      <c r="AC325" s="47"/>
      <c r="AD325" s="47">
        <f t="shared" si="116"/>
        <v>19402.150887912139</v>
      </c>
      <c r="AE325" s="86"/>
      <c r="AF325" s="140"/>
      <c r="AG325" s="140"/>
      <c r="AH325" s="140">
        <f t="shared" si="103"/>
        <v>2860263.0082446341</v>
      </c>
      <c r="AI325" s="9"/>
      <c r="AJ325" s="9"/>
      <c r="AK325" s="9"/>
    </row>
    <row r="326" spans="2:37" ht="12" hidden="1" customHeight="1" outlineLevel="1" x14ac:dyDescent="0.25">
      <c r="B326" s="8" t="str">
        <f t="shared" si="104"/>
        <v/>
      </c>
      <c r="C326" s="85">
        <f t="shared" si="105"/>
        <v>2221378.0160010806</v>
      </c>
      <c r="D326" s="85">
        <f t="shared" si="113"/>
        <v>6356.7865084052564</v>
      </c>
      <c r="E326" s="85">
        <f t="shared" si="114"/>
        <v>-777.47334989654792</v>
      </c>
      <c r="F326" s="85">
        <f t="shared" si="115"/>
        <v>-380.55474786908849</v>
      </c>
      <c r="G326" s="85">
        <f t="shared" si="106"/>
        <v>0</v>
      </c>
      <c r="H326" s="85">
        <v>0</v>
      </c>
      <c r="I326" s="85">
        <v>0</v>
      </c>
      <c r="J326" s="85">
        <v>0</v>
      </c>
      <c r="K326" s="85">
        <f t="shared" si="107"/>
        <v>-2622.054407072922</v>
      </c>
      <c r="L326" s="85">
        <f t="shared" si="108"/>
        <v>1158.0280977656364</v>
      </c>
      <c r="M326" s="85">
        <f t="shared" si="96"/>
        <v>3780.0825048385586</v>
      </c>
      <c r="N326" s="85">
        <f t="shared" si="97"/>
        <v>3222.1248559526721</v>
      </c>
      <c r="O326" s="85">
        <f t="shared" si="98"/>
        <v>5198.7584106396198</v>
      </c>
      <c r="P326" s="85">
        <f t="shared" si="109"/>
        <v>132647.44115484072</v>
      </c>
      <c r="Q326" s="85">
        <f t="shared" si="99"/>
        <v>2088730.57484624</v>
      </c>
      <c r="R326" s="85">
        <f t="shared" si="100"/>
        <v>2841.5701080835834</v>
      </c>
      <c r="S326" s="85" cm="1">
        <f t="array" ref="S326">Y326*tax_rate</f>
        <v>0</v>
      </c>
      <c r="T326" s="85">
        <f t="shared" si="110"/>
        <v>923647.86267474876</v>
      </c>
      <c r="U326" s="85">
        <f t="shared" si="101"/>
        <v>3012378.4375209888</v>
      </c>
      <c r="V326" s="85"/>
      <c r="W326" s="138">
        <f t="shared" si="111"/>
        <v>0.13622636798452809</v>
      </c>
      <c r="X326" s="138" t="str">
        <f t="shared" si="117"/>
        <v/>
      </c>
      <c r="Y326" s="142"/>
      <c r="Z326" s="139">
        <f t="shared" si="102"/>
        <v>5198.7584106396198</v>
      </c>
      <c r="AA326" s="114">
        <v>299</v>
      </c>
      <c r="AB326" s="46">
        <f t="shared" si="112"/>
        <v>-840.18320224791091</v>
      </c>
      <c r="AC326" s="47"/>
      <c r="AD326" s="47">
        <f t="shared" si="116"/>
        <v>19495.846231514122</v>
      </c>
      <c r="AE326" s="86"/>
      <c r="AF326" s="140"/>
      <c r="AG326" s="140"/>
      <c r="AH326" s="140">
        <f t="shared" si="103"/>
        <v>2879095.756560924</v>
      </c>
      <c r="AI326" s="9"/>
      <c r="AJ326" s="9"/>
      <c r="AK326" s="9"/>
    </row>
    <row r="327" spans="2:37" ht="15" customHeight="1" collapsed="1" x14ac:dyDescent="0.25">
      <c r="B327" s="8">
        <f t="shared" si="104"/>
        <v>25</v>
      </c>
      <c r="C327" s="85">
        <f t="shared" si="105"/>
        <v>2232484.906081086</v>
      </c>
      <c r="D327" s="85">
        <f t="shared" si="113"/>
        <v>6356.7865084052564</v>
      </c>
      <c r="E327" s="85">
        <f t="shared" si="114"/>
        <v>-777.47334989654792</v>
      </c>
      <c r="F327" s="85">
        <f t="shared" si="115"/>
        <v>-380.55474786908849</v>
      </c>
      <c r="G327" s="85">
        <f t="shared" si="106"/>
        <v>0</v>
      </c>
      <c r="H327" s="85">
        <v>0</v>
      </c>
      <c r="I327" s="85">
        <v>0</v>
      </c>
      <c r="J327" s="85">
        <v>0</v>
      </c>
      <c r="K327" s="85">
        <f t="shared" si="107"/>
        <v>-2622.054407072922</v>
      </c>
      <c r="L327" s="85">
        <f t="shared" si="108"/>
        <v>1158.0280977656364</v>
      </c>
      <c r="M327" s="85">
        <f t="shared" si="96"/>
        <v>3780.0825048385586</v>
      </c>
      <c r="N327" s="85">
        <f t="shared" si="97"/>
        <v>3222.1248559526721</v>
      </c>
      <c r="O327" s="85">
        <f t="shared" si="98"/>
        <v>5198.7584106396198</v>
      </c>
      <c r="P327" s="85">
        <f t="shared" si="109"/>
        <v>130854.43325498555</v>
      </c>
      <c r="Q327" s="85">
        <f t="shared" si="99"/>
        <v>2101630.4728261004</v>
      </c>
      <c r="R327" s="85">
        <f t="shared" si="100"/>
        <v>2841.5701080835834</v>
      </c>
      <c r="S327" s="85" cm="1">
        <f t="array" ref="S327">Y327*tax_rate</f>
        <v>7599.6156350701249</v>
      </c>
      <c r="T327" s="85">
        <f t="shared" si="110"/>
        <v>937937.58117904724</v>
      </c>
      <c r="U327" s="85">
        <f t="shared" si="101"/>
        <v>3039568.0540051479</v>
      </c>
      <c r="V327" s="85">
        <f>U327-U315</f>
        <v>236565.34406901011</v>
      </c>
      <c r="W327" s="138">
        <f t="shared" si="111"/>
        <v>0.13615105042172071</v>
      </c>
      <c r="X327" s="138">
        <f t="shared" si="117"/>
        <v>8.4397115718236285E-2</v>
      </c>
      <c r="Y327" s="141">
        <f>(((Sale_Price*0.8)+Improvement_Costs+Closing_Costs_Total)/27.5)+(-E327*12)+-AC327</f>
        <v>34543.707432136929</v>
      </c>
      <c r="Z327" s="139">
        <f t="shared" si="102"/>
        <v>5198.7584106396198</v>
      </c>
      <c r="AA327" s="114">
        <v>300</v>
      </c>
      <c r="AB327" s="46">
        <f t="shared" si="112"/>
        <v>-829.04650721775442</v>
      </c>
      <c r="AC327" s="46">
        <f>SUM(AB316:AB327)</f>
        <v>-10668.572687923805</v>
      </c>
      <c r="AD327" s="47">
        <f t="shared" si="116"/>
        <v>27189.616484159138</v>
      </c>
      <c r="AE327" s="86">
        <f>D327*12</f>
        <v>76281.438100863073</v>
      </c>
      <c r="AF327" s="140"/>
      <c r="AG327" s="140"/>
      <c r="AH327" s="140">
        <f t="shared" si="103"/>
        <v>2905618.9596402827</v>
      </c>
      <c r="AI327" s="9">
        <f>AI315*(1+Comparison_Rate_of_Return)</f>
        <v>1354338.2429235496</v>
      </c>
      <c r="AJ327" s="9"/>
      <c r="AK327" s="9"/>
    </row>
    <row r="328" spans="2:37" ht="12" hidden="1" customHeight="1" outlineLevel="1" x14ac:dyDescent="0.25">
      <c r="B328" s="8" t="str">
        <f t="shared" si="104"/>
        <v/>
      </c>
      <c r="C328" s="84">
        <f t="shared" si="105"/>
        <v>2243647.3306114911</v>
      </c>
      <c r="D328" s="84">
        <f t="shared" si="113"/>
        <v>6579.2740361994402</v>
      </c>
      <c r="E328" s="84">
        <f t="shared" si="114"/>
        <v>-804.68491714292702</v>
      </c>
      <c r="F328" s="84">
        <f t="shared" si="115"/>
        <v>-393.87416404450653</v>
      </c>
      <c r="G328" s="84">
        <f t="shared" si="106"/>
        <v>0</v>
      </c>
      <c r="H328" s="84">
        <v>0</v>
      </c>
      <c r="I328" s="84">
        <v>0</v>
      </c>
      <c r="J328" s="84">
        <v>0</v>
      </c>
      <c r="K328" s="84">
        <f t="shared" si="107"/>
        <v>-2622.054407072922</v>
      </c>
      <c r="L328" s="84">
        <f t="shared" si="108"/>
        <v>1198.5590811874335</v>
      </c>
      <c r="M328" s="84">
        <f t="shared" si="96"/>
        <v>3820.6134882603556</v>
      </c>
      <c r="N328" s="84">
        <f t="shared" si="97"/>
        <v>3426.6711301585683</v>
      </c>
      <c r="O328" s="84">
        <f t="shared" si="98"/>
        <v>5380.7149550120066</v>
      </c>
      <c r="P328" s="84">
        <f t="shared" si="109"/>
        <v>129050.21905575626</v>
      </c>
      <c r="Q328" s="84">
        <f t="shared" si="99"/>
        <v>2114597.1115557346</v>
      </c>
      <c r="R328" s="85">
        <f t="shared" si="100"/>
        <v>3032.7969661140619</v>
      </c>
      <c r="S328" s="85" cm="1">
        <f t="array" ref="S328">Y328*tax_rate</f>
        <v>0</v>
      </c>
      <c r="T328" s="84">
        <f t="shared" si="110"/>
        <v>944878.45140007394</v>
      </c>
      <c r="U328" s="84">
        <f t="shared" si="101"/>
        <v>3059475.5629558088</v>
      </c>
      <c r="V328" s="85"/>
      <c r="W328" s="138">
        <f t="shared" si="111"/>
        <v>0.13596494414561028</v>
      </c>
      <c r="X328" s="138" t="str">
        <f t="shared" si="117"/>
        <v/>
      </c>
      <c r="Y328" s="142"/>
      <c r="Z328" s="139">
        <f t="shared" si="102"/>
        <v>5380.7149550120066</v>
      </c>
      <c r="AA328" s="114">
        <v>301</v>
      </c>
      <c r="AB328" s="46">
        <f t="shared" si="112"/>
        <v>-817.84020784365964</v>
      </c>
      <c r="AC328" s="47"/>
      <c r="AD328" s="47">
        <f t="shared" si="116"/>
        <v>19907.508950660937</v>
      </c>
      <c r="AE328" s="86"/>
      <c r="AF328" s="140"/>
      <c r="AG328" s="140"/>
      <c r="AH328" s="140">
        <f t="shared" si="103"/>
        <v>2924856.7231191192</v>
      </c>
      <c r="AI328" s="9"/>
      <c r="AJ328" s="9"/>
      <c r="AK328" s="9"/>
    </row>
    <row r="329" spans="2:37" ht="12" hidden="1" customHeight="1" outlineLevel="1" x14ac:dyDescent="0.25">
      <c r="B329" s="8" t="str">
        <f t="shared" si="104"/>
        <v/>
      </c>
      <c r="C329" s="84">
        <f t="shared" si="105"/>
        <v>2254865.5672645485</v>
      </c>
      <c r="D329" s="84">
        <f t="shared" si="113"/>
        <v>6579.2740361994402</v>
      </c>
      <c r="E329" s="84">
        <f t="shared" si="114"/>
        <v>-804.68491714292702</v>
      </c>
      <c r="F329" s="84">
        <f t="shared" si="115"/>
        <v>-393.87416404450653</v>
      </c>
      <c r="G329" s="84">
        <f t="shared" si="106"/>
        <v>0</v>
      </c>
      <c r="H329" s="84">
        <v>0</v>
      </c>
      <c r="I329" s="84">
        <v>0</v>
      </c>
      <c r="J329" s="84">
        <v>0</v>
      </c>
      <c r="K329" s="84">
        <f t="shared" si="107"/>
        <v>-2622.054407072922</v>
      </c>
      <c r="L329" s="84">
        <f t="shared" si="108"/>
        <v>1198.5590811874335</v>
      </c>
      <c r="M329" s="84">
        <f t="shared" si="96"/>
        <v>3820.6134882603556</v>
      </c>
      <c r="N329" s="84">
        <f t="shared" si="97"/>
        <v>3426.6711301585683</v>
      </c>
      <c r="O329" s="84">
        <f t="shared" si="98"/>
        <v>5380.7149550120066</v>
      </c>
      <c r="P329" s="84">
        <f t="shared" si="109"/>
        <v>127234.7285177818</v>
      </c>
      <c r="Q329" s="84">
        <f t="shared" si="99"/>
        <v>2127630.8387467666</v>
      </c>
      <c r="R329" s="85">
        <f t="shared" si="100"/>
        <v>3032.7969661140619</v>
      </c>
      <c r="S329" s="85" cm="1">
        <f t="array" ref="S329">Y329*tax_rate</f>
        <v>0</v>
      </c>
      <c r="T329" s="84">
        <f t="shared" si="110"/>
        <v>951848.24191368837</v>
      </c>
      <c r="U329" s="84">
        <f t="shared" si="101"/>
        <v>3079479.0806604549</v>
      </c>
      <c r="V329" s="85"/>
      <c r="W329" s="138">
        <f t="shared" si="111"/>
        <v>0.13577959678182827</v>
      </c>
      <c r="X329" s="138" t="str">
        <f t="shared" si="117"/>
        <v/>
      </c>
      <c r="Y329" s="142"/>
      <c r="Z329" s="139">
        <f t="shared" si="102"/>
        <v>5380.7149550120066</v>
      </c>
      <c r="AA329" s="114">
        <v>302</v>
      </c>
      <c r="AB329" s="46">
        <f t="shared" si="112"/>
        <v>-806.5638690984764</v>
      </c>
      <c r="AC329" s="47"/>
      <c r="AD329" s="47">
        <f t="shared" si="116"/>
        <v>20003.517704646103</v>
      </c>
      <c r="AE329" s="86"/>
      <c r="AF329" s="140"/>
      <c r="AG329" s="140"/>
      <c r="AH329" s="140">
        <f t="shared" si="103"/>
        <v>2944187.1466245819</v>
      </c>
      <c r="AI329" s="9"/>
      <c r="AJ329" s="9"/>
      <c r="AK329" s="9"/>
    </row>
    <row r="330" spans="2:37" ht="12" hidden="1" customHeight="1" outlineLevel="1" x14ac:dyDescent="0.25">
      <c r="B330" s="8" t="str">
        <f t="shared" si="104"/>
        <v/>
      </c>
      <c r="C330" s="84">
        <f t="shared" si="105"/>
        <v>2266139.8951008711</v>
      </c>
      <c r="D330" s="84">
        <f t="shared" si="113"/>
        <v>6579.2740361994402</v>
      </c>
      <c r="E330" s="84">
        <f t="shared" si="114"/>
        <v>-804.68491714292702</v>
      </c>
      <c r="F330" s="84">
        <f t="shared" si="115"/>
        <v>-393.87416404450653</v>
      </c>
      <c r="G330" s="84">
        <f t="shared" si="106"/>
        <v>0</v>
      </c>
      <c r="H330" s="84">
        <v>0</v>
      </c>
      <c r="I330" s="84">
        <v>0</v>
      </c>
      <c r="J330" s="84">
        <v>0</v>
      </c>
      <c r="K330" s="84">
        <f t="shared" si="107"/>
        <v>-2622.054407072922</v>
      </c>
      <c r="L330" s="84">
        <f t="shared" si="108"/>
        <v>1198.5590811874335</v>
      </c>
      <c r="M330" s="84">
        <f t="shared" si="96"/>
        <v>3820.6134882603556</v>
      </c>
      <c r="N330" s="84">
        <f t="shared" si="97"/>
        <v>3426.6711301585683</v>
      </c>
      <c r="O330" s="84">
        <f t="shared" si="98"/>
        <v>5380.7149550120066</v>
      </c>
      <c r="P330" s="84">
        <f t="shared" si="109"/>
        <v>125407.89116394499</v>
      </c>
      <c r="Q330" s="85">
        <f t="shared" si="99"/>
        <v>2140732.0039369259</v>
      </c>
      <c r="R330" s="85">
        <f t="shared" si="100"/>
        <v>3032.7969661140619</v>
      </c>
      <c r="S330" s="85" cm="1">
        <f t="array" ref="S330">Y330*tax_rate</f>
        <v>0</v>
      </c>
      <c r="T330" s="84">
        <f t="shared" si="110"/>
        <v>958847.07322110946</v>
      </c>
      <c r="U330" s="84">
        <f t="shared" si="101"/>
        <v>3099579.0771580352</v>
      </c>
      <c r="V330" s="85"/>
      <c r="W330" s="138">
        <f t="shared" si="111"/>
        <v>0.13559500497066215</v>
      </c>
      <c r="X330" s="138" t="str">
        <f t="shared" si="117"/>
        <v/>
      </c>
      <c r="Y330" s="142"/>
      <c r="Z330" s="139">
        <f t="shared" si="102"/>
        <v>5380.7149550120066</v>
      </c>
      <c r="AA330" s="114">
        <v>303</v>
      </c>
      <c r="AB330" s="46">
        <f t="shared" si="112"/>
        <v>-795.21705323613605</v>
      </c>
      <c r="AC330" s="47"/>
      <c r="AD330" s="47">
        <f t="shared" si="116"/>
        <v>20099.996497580316</v>
      </c>
      <c r="AE330" s="86"/>
      <c r="AF330" s="140"/>
      <c r="AG330" s="140"/>
      <c r="AH330" s="140">
        <f t="shared" si="103"/>
        <v>2963610.6834519831</v>
      </c>
      <c r="AI330" s="9"/>
      <c r="AJ330" s="9"/>
      <c r="AK330" s="9"/>
    </row>
    <row r="331" spans="2:37" ht="12" hidden="1" customHeight="1" outlineLevel="1" x14ac:dyDescent="0.25">
      <c r="B331" s="8" t="str">
        <f t="shared" si="104"/>
        <v/>
      </c>
      <c r="C331" s="84">
        <f t="shared" si="105"/>
        <v>2277470.5945763751</v>
      </c>
      <c r="D331" s="84">
        <f t="shared" si="113"/>
        <v>6579.2740361994402</v>
      </c>
      <c r="E331" s="84">
        <f t="shared" si="114"/>
        <v>-804.68491714292702</v>
      </c>
      <c r="F331" s="84">
        <f t="shared" si="115"/>
        <v>-393.87416404450653</v>
      </c>
      <c r="G331" s="84">
        <f t="shared" si="106"/>
        <v>0</v>
      </c>
      <c r="H331" s="84">
        <v>0</v>
      </c>
      <c r="I331" s="84">
        <v>0</v>
      </c>
      <c r="J331" s="84">
        <v>0</v>
      </c>
      <c r="K331" s="84">
        <f t="shared" si="107"/>
        <v>-2622.054407072922</v>
      </c>
      <c r="L331" s="84">
        <f t="shared" si="108"/>
        <v>1198.5590811874335</v>
      </c>
      <c r="M331" s="84">
        <f t="shared" si="96"/>
        <v>3820.6134882603556</v>
      </c>
      <c r="N331" s="84">
        <f t="shared" si="97"/>
        <v>3426.6711301585683</v>
      </c>
      <c r="O331" s="84">
        <f t="shared" si="98"/>
        <v>5380.7149550120066</v>
      </c>
      <c r="P331" s="84">
        <f t="shared" si="109"/>
        <v>123569.63607664671</v>
      </c>
      <c r="Q331" s="84">
        <f t="shared" si="99"/>
        <v>2153900.9584997282</v>
      </c>
      <c r="R331" s="85">
        <f t="shared" si="100"/>
        <v>3032.7969661140619</v>
      </c>
      <c r="S331" s="85" cm="1">
        <f t="array" ref="S331">Y331*tax_rate</f>
        <v>0</v>
      </c>
      <c r="T331" s="84">
        <f t="shared" si="110"/>
        <v>965875.06632564485</v>
      </c>
      <c r="U331" s="84">
        <f t="shared" si="101"/>
        <v>3119776.0248253732</v>
      </c>
      <c r="V331" s="85"/>
      <c r="W331" s="138">
        <f t="shared" si="111"/>
        <v>0.13541116534973502</v>
      </c>
      <c r="X331" s="138" t="str">
        <f t="shared" si="117"/>
        <v/>
      </c>
      <c r="Y331" s="142"/>
      <c r="Z331" s="139">
        <f t="shared" si="102"/>
        <v>5380.7149550120066</v>
      </c>
      <c r="AA331" s="114">
        <v>304</v>
      </c>
      <c r="AB331" s="46">
        <f t="shared" si="112"/>
        <v>-783.79931977465617</v>
      </c>
      <c r="AC331" s="47"/>
      <c r="AD331" s="47">
        <f t="shared" si="116"/>
        <v>20196.947667337954</v>
      </c>
      <c r="AE331" s="86"/>
      <c r="AF331" s="140"/>
      <c r="AG331" s="140"/>
      <c r="AH331" s="140">
        <f t="shared" si="103"/>
        <v>2983127.7891507908</v>
      </c>
      <c r="AI331" s="9"/>
      <c r="AJ331" s="9"/>
      <c r="AK331" s="9"/>
    </row>
    <row r="332" spans="2:37" ht="12" hidden="1" customHeight="1" outlineLevel="1" x14ac:dyDescent="0.25">
      <c r="B332" s="8" t="str">
        <f t="shared" si="104"/>
        <v/>
      </c>
      <c r="C332" s="84">
        <f t="shared" si="105"/>
        <v>2288857.9475492565</v>
      </c>
      <c r="D332" s="84">
        <f t="shared" si="113"/>
        <v>6579.2740361994402</v>
      </c>
      <c r="E332" s="84">
        <f t="shared" si="114"/>
        <v>-804.68491714292702</v>
      </c>
      <c r="F332" s="84">
        <f t="shared" si="115"/>
        <v>-393.87416404450653</v>
      </c>
      <c r="G332" s="84">
        <f t="shared" si="106"/>
        <v>0</v>
      </c>
      <c r="H332" s="84">
        <v>0</v>
      </c>
      <c r="I332" s="84">
        <v>0</v>
      </c>
      <c r="J332" s="84">
        <v>0</v>
      </c>
      <c r="K332" s="84">
        <f t="shared" si="107"/>
        <v>-2622.054407072922</v>
      </c>
      <c r="L332" s="84">
        <f t="shared" si="108"/>
        <v>1198.5590811874335</v>
      </c>
      <c r="M332" s="84">
        <f t="shared" si="96"/>
        <v>3820.6134882603556</v>
      </c>
      <c r="N332" s="84">
        <f t="shared" si="97"/>
        <v>3426.6711301585683</v>
      </c>
      <c r="O332" s="84">
        <f t="shared" si="98"/>
        <v>5380.7149550120066</v>
      </c>
      <c r="P332" s="84">
        <f t="shared" si="109"/>
        <v>121719.8918950528</v>
      </c>
      <c r="Q332" s="84">
        <f t="shared" si="99"/>
        <v>2167138.0556542035</v>
      </c>
      <c r="R332" s="85">
        <f t="shared" si="100"/>
        <v>3032.7969661140619</v>
      </c>
      <c r="S332" s="85" cm="1">
        <f t="array" ref="S332">Y332*tax_rate</f>
        <v>0</v>
      </c>
      <c r="T332" s="84">
        <f t="shared" si="110"/>
        <v>972932.34273478249</v>
      </c>
      <c r="U332" s="85">
        <f t="shared" si="101"/>
        <v>3140070.398388986</v>
      </c>
      <c r="V332" s="85"/>
      <c r="W332" s="138">
        <f t="shared" si="111"/>
        <v>0.13522807455473773</v>
      </c>
      <c r="X332" s="138" t="str">
        <f t="shared" si="117"/>
        <v/>
      </c>
      <c r="Y332" s="142"/>
      <c r="Z332" s="139">
        <f t="shared" si="102"/>
        <v>5380.7149550120066</v>
      </c>
      <c r="AA332" s="114">
        <v>305</v>
      </c>
      <c r="AB332" s="46">
        <f t="shared" si="112"/>
        <v>-772.31022547904183</v>
      </c>
      <c r="AC332" s="47"/>
      <c r="AD332" s="47">
        <f t="shared" si="116"/>
        <v>20294.373563612811</v>
      </c>
      <c r="AE332" s="86"/>
      <c r="AF332" s="140"/>
      <c r="AG332" s="140"/>
      <c r="AH332" s="140">
        <f t="shared" si="103"/>
        <v>3002738.9215360307</v>
      </c>
      <c r="AI332" s="9"/>
      <c r="AJ332" s="9"/>
      <c r="AK332" s="9"/>
    </row>
    <row r="333" spans="2:37" ht="12" hidden="1" customHeight="1" outlineLevel="1" x14ac:dyDescent="0.25">
      <c r="B333" s="8" t="str">
        <f t="shared" si="104"/>
        <v/>
      </c>
      <c r="C333" s="84">
        <f t="shared" si="105"/>
        <v>2300302.2372870026</v>
      </c>
      <c r="D333" s="84">
        <f t="shared" si="113"/>
        <v>6579.2740361994402</v>
      </c>
      <c r="E333" s="84">
        <f t="shared" si="114"/>
        <v>-804.68491714292702</v>
      </c>
      <c r="F333" s="84">
        <f t="shared" si="115"/>
        <v>-393.87416404450653</v>
      </c>
      <c r="G333" s="84">
        <f t="shared" si="106"/>
        <v>0</v>
      </c>
      <c r="H333" s="84">
        <v>0</v>
      </c>
      <c r="I333" s="84">
        <v>0</v>
      </c>
      <c r="J333" s="84">
        <v>0</v>
      </c>
      <c r="K333" s="84">
        <f t="shared" si="107"/>
        <v>-2622.054407072922</v>
      </c>
      <c r="L333" s="84">
        <f t="shared" si="108"/>
        <v>1198.5590811874335</v>
      </c>
      <c r="M333" s="84">
        <f t="shared" si="96"/>
        <v>3820.6134882603556</v>
      </c>
      <c r="N333" s="84">
        <f t="shared" si="97"/>
        <v>3426.6711301585683</v>
      </c>
      <c r="O333" s="84">
        <f t="shared" si="98"/>
        <v>5380.7149550120066</v>
      </c>
      <c r="P333" s="84">
        <f t="shared" si="109"/>
        <v>119858.58681232392</v>
      </c>
      <c r="Q333" s="84">
        <f t="shared" si="99"/>
        <v>2180443.6504746787</v>
      </c>
      <c r="R333" s="85">
        <f t="shared" si="100"/>
        <v>3032.7969661140619</v>
      </c>
      <c r="S333" s="85" cm="1">
        <f t="array" ref="S333">Y333*tax_rate</f>
        <v>0</v>
      </c>
      <c r="T333" s="84">
        <f t="shared" si="110"/>
        <v>980019.02446229151</v>
      </c>
      <c r="U333" s="85">
        <f t="shared" si="101"/>
        <v>3160462.6749369702</v>
      </c>
      <c r="V333" s="85"/>
      <c r="W333" s="138">
        <f t="shared" si="111"/>
        <v>0.13504572922013428</v>
      </c>
      <c r="X333" s="138" t="str">
        <f t="shared" si="117"/>
        <v/>
      </c>
      <c r="Y333" s="142"/>
      <c r="Z333" s="139">
        <f t="shared" si="102"/>
        <v>5380.7149550120066</v>
      </c>
      <c r="AA333" s="114">
        <v>306</v>
      </c>
      <c r="AB333" s="46">
        <f t="shared" si="112"/>
        <v>-760.74932434407992</v>
      </c>
      <c r="AC333" s="47"/>
      <c r="AD333" s="47">
        <f t="shared" si="116"/>
        <v>20392.27654798422</v>
      </c>
      <c r="AE333" s="86"/>
      <c r="AF333" s="140"/>
      <c r="AG333" s="140"/>
      <c r="AH333" s="140">
        <f t="shared" si="103"/>
        <v>3022444.5406997502</v>
      </c>
      <c r="AI333" s="9"/>
      <c r="AJ333" s="9"/>
      <c r="AK333" s="9"/>
    </row>
    <row r="334" spans="2:37" ht="12" hidden="1" customHeight="1" outlineLevel="1" x14ac:dyDescent="0.25">
      <c r="B334" s="8" t="str">
        <f t="shared" si="104"/>
        <v/>
      </c>
      <c r="C334" s="84">
        <f t="shared" si="105"/>
        <v>2311803.7484734375</v>
      </c>
      <c r="D334" s="84">
        <f t="shared" si="113"/>
        <v>6579.2740361994402</v>
      </c>
      <c r="E334" s="84">
        <f t="shared" si="114"/>
        <v>-804.68491714292702</v>
      </c>
      <c r="F334" s="84">
        <f t="shared" si="115"/>
        <v>-393.87416404450653</v>
      </c>
      <c r="G334" s="84">
        <f t="shared" si="106"/>
        <v>0</v>
      </c>
      <c r="H334" s="84">
        <v>0</v>
      </c>
      <c r="I334" s="84">
        <v>0</v>
      </c>
      <c r="J334" s="84">
        <v>0</v>
      </c>
      <c r="K334" s="84">
        <f t="shared" si="107"/>
        <v>-2622.054407072922</v>
      </c>
      <c r="L334" s="84">
        <f t="shared" si="108"/>
        <v>1198.5590811874335</v>
      </c>
      <c r="M334" s="84">
        <f t="shared" si="96"/>
        <v>3820.6134882603556</v>
      </c>
      <c r="N334" s="84">
        <f t="shared" si="97"/>
        <v>3426.6711301585683</v>
      </c>
      <c r="O334" s="84">
        <f t="shared" si="98"/>
        <v>5380.7149550120066</v>
      </c>
      <c r="P334" s="84">
        <f t="shared" si="109"/>
        <v>117985.64857282801</v>
      </c>
      <c r="Q334" s="84">
        <f t="shared" si="99"/>
        <v>2193818.0999006093</v>
      </c>
      <c r="R334" s="85">
        <f t="shared" si="100"/>
        <v>3032.7969661140619</v>
      </c>
      <c r="S334" s="85" cm="1">
        <f t="array" ref="S334">Y334*tax_rate</f>
        <v>0</v>
      </c>
      <c r="T334" s="84">
        <f t="shared" si="110"/>
        <v>987135.23403033183</v>
      </c>
      <c r="U334" s="85">
        <f t="shared" si="101"/>
        <v>3180953.3339309413</v>
      </c>
      <c r="V334" s="85"/>
      <c r="W334" s="138">
        <f t="shared" si="111"/>
        <v>0.13486412597983999</v>
      </c>
      <c r="X334" s="138" t="str">
        <f t="shared" si="117"/>
        <v/>
      </c>
      <c r="Y334" s="142"/>
      <c r="Z334" s="139">
        <f t="shared" si="102"/>
        <v>5380.7149550120066</v>
      </c>
      <c r="AA334" s="114">
        <v>307</v>
      </c>
      <c r="AB334" s="46">
        <f t="shared" si="112"/>
        <v>-749.11616757702438</v>
      </c>
      <c r="AC334" s="47"/>
      <c r="AD334" s="47">
        <f t="shared" si="116"/>
        <v>20490.658993971068</v>
      </c>
      <c r="AE334" s="86"/>
      <c r="AF334" s="140"/>
      <c r="AG334" s="140"/>
      <c r="AH334" s="140">
        <f t="shared" si="103"/>
        <v>3042245.1090225349</v>
      </c>
      <c r="AI334" s="9"/>
      <c r="AJ334" s="9"/>
      <c r="AK334" s="9"/>
    </row>
    <row r="335" spans="2:37" ht="12" hidden="1" customHeight="1" outlineLevel="1" x14ac:dyDescent="0.25">
      <c r="B335" s="8" t="str">
        <f t="shared" si="104"/>
        <v/>
      </c>
      <c r="C335" s="84">
        <f t="shared" si="105"/>
        <v>2323362.7672158047</v>
      </c>
      <c r="D335" s="84">
        <f t="shared" si="113"/>
        <v>6579.2740361994402</v>
      </c>
      <c r="E335" s="84">
        <f t="shared" si="114"/>
        <v>-804.68491714292702</v>
      </c>
      <c r="F335" s="84">
        <f t="shared" si="115"/>
        <v>-393.87416404450653</v>
      </c>
      <c r="G335" s="84">
        <f t="shared" si="106"/>
        <v>0</v>
      </c>
      <c r="H335" s="84">
        <v>0</v>
      </c>
      <c r="I335" s="84">
        <v>0</v>
      </c>
      <c r="J335" s="84">
        <v>0</v>
      </c>
      <c r="K335" s="84">
        <f t="shared" si="107"/>
        <v>-2622.054407072922</v>
      </c>
      <c r="L335" s="84">
        <f t="shared" si="108"/>
        <v>1198.5590811874335</v>
      </c>
      <c r="M335" s="84">
        <f t="shared" si="96"/>
        <v>3820.6134882603556</v>
      </c>
      <c r="N335" s="84">
        <f t="shared" si="97"/>
        <v>3426.6711301585683</v>
      </c>
      <c r="O335" s="84">
        <f t="shared" si="98"/>
        <v>5380.7149550120066</v>
      </c>
      <c r="P335" s="84">
        <f t="shared" si="109"/>
        <v>116101.00446933522</v>
      </c>
      <c r="Q335" s="84">
        <f t="shared" si="99"/>
        <v>2207261.7627464696</v>
      </c>
      <c r="R335" s="85">
        <f t="shared" si="100"/>
        <v>3032.7969661140619</v>
      </c>
      <c r="S335" s="85" cm="1">
        <f t="array" ref="S335">Y335*tax_rate</f>
        <v>0</v>
      </c>
      <c r="T335" s="84">
        <f t="shared" si="110"/>
        <v>994281.09447157232</v>
      </c>
      <c r="U335" s="84">
        <f t="shared" si="101"/>
        <v>3201542.857218042</v>
      </c>
      <c r="V335" s="85"/>
      <c r="W335" s="138">
        <f t="shared" si="111"/>
        <v>0.13468326146787621</v>
      </c>
      <c r="X335" s="138" t="str">
        <f t="shared" si="117"/>
        <v/>
      </c>
      <c r="Y335" s="142"/>
      <c r="Z335" s="139">
        <f t="shared" si="102"/>
        <v>5380.7149550120066</v>
      </c>
      <c r="AA335" s="114">
        <v>308</v>
      </c>
      <c r="AB335" s="46">
        <f t="shared" si="112"/>
        <v>-737.41030358017497</v>
      </c>
      <c r="AC335" s="47"/>
      <c r="AD335" s="47">
        <f t="shared" si="116"/>
        <v>20589.523287100717</v>
      </c>
      <c r="AE335" s="86"/>
      <c r="AF335" s="140"/>
      <c r="AG335" s="140"/>
      <c r="AH335" s="140">
        <f t="shared" si="103"/>
        <v>3062141.0911850939</v>
      </c>
      <c r="AI335" s="9"/>
      <c r="AJ335" s="9"/>
      <c r="AK335" s="9"/>
    </row>
    <row r="336" spans="2:37" ht="12" hidden="1" customHeight="1" outlineLevel="1" x14ac:dyDescent="0.25">
      <c r="B336" s="8" t="str">
        <f t="shared" si="104"/>
        <v/>
      </c>
      <c r="C336" s="84">
        <f t="shared" si="105"/>
        <v>2334979.5810518833</v>
      </c>
      <c r="D336" s="84">
        <f t="shared" si="113"/>
        <v>6579.2740361994402</v>
      </c>
      <c r="E336" s="84">
        <f t="shared" si="114"/>
        <v>-804.68491714292702</v>
      </c>
      <c r="F336" s="84">
        <f t="shared" si="115"/>
        <v>-393.87416404450653</v>
      </c>
      <c r="G336" s="84">
        <f t="shared" si="106"/>
        <v>0</v>
      </c>
      <c r="H336" s="84">
        <v>0</v>
      </c>
      <c r="I336" s="84">
        <v>0</v>
      </c>
      <c r="J336" s="84">
        <v>0</v>
      </c>
      <c r="K336" s="84">
        <f t="shared" si="107"/>
        <v>-2622.054407072922</v>
      </c>
      <c r="L336" s="84">
        <f t="shared" si="108"/>
        <v>1198.5590811874335</v>
      </c>
      <c r="M336" s="84">
        <f t="shared" si="96"/>
        <v>3820.6134882603556</v>
      </c>
      <c r="N336" s="84">
        <f t="shared" si="97"/>
        <v>3426.6711301585683</v>
      </c>
      <c r="O336" s="84">
        <f t="shared" si="98"/>
        <v>5380.7149550120066</v>
      </c>
      <c r="P336" s="84">
        <f t="shared" si="109"/>
        <v>114204.58134019561</v>
      </c>
      <c r="Q336" s="84">
        <f t="shared" si="99"/>
        <v>2220774.9997116877</v>
      </c>
      <c r="R336" s="85">
        <f t="shared" si="100"/>
        <v>3032.7969661140619</v>
      </c>
      <c r="S336" s="85" cm="1">
        <f t="array" ref="S336">Y336*tax_rate</f>
        <v>0</v>
      </c>
      <c r="T336" s="84">
        <f t="shared" si="110"/>
        <v>1001456.7293313179</v>
      </c>
      <c r="U336" s="84">
        <f t="shared" si="101"/>
        <v>3222231.7290430055</v>
      </c>
      <c r="V336" s="85"/>
      <c r="W336" s="138">
        <f t="shared" si="111"/>
        <v>0.13450313231899941</v>
      </c>
      <c r="X336" s="138" t="str">
        <f t="shared" si="117"/>
        <v/>
      </c>
      <c r="Y336" s="142"/>
      <c r="Z336" s="139">
        <f t="shared" si="102"/>
        <v>5380.7149550120066</v>
      </c>
      <c r="AA336" s="114">
        <v>309</v>
      </c>
      <c r="AB336" s="46">
        <f t="shared" si="112"/>
        <v>-725.63127793334513</v>
      </c>
      <c r="AC336" s="47"/>
      <c r="AD336" s="47">
        <f t="shared" si="116"/>
        <v>20688.871824963484</v>
      </c>
      <c r="AE336" s="86"/>
      <c r="AF336" s="140"/>
      <c r="AG336" s="140"/>
      <c r="AH336" s="140">
        <f t="shared" si="103"/>
        <v>3082132.9541798923</v>
      </c>
      <c r="AI336" s="9"/>
      <c r="AJ336" s="9"/>
      <c r="AK336" s="9"/>
    </row>
    <row r="337" spans="2:37" ht="12" hidden="1" customHeight="1" outlineLevel="1" x14ac:dyDescent="0.25">
      <c r="B337" s="8" t="str">
        <f t="shared" si="104"/>
        <v/>
      </c>
      <c r="C337" s="84">
        <f t="shared" si="105"/>
        <v>2346654.4789571427</v>
      </c>
      <c r="D337" s="84">
        <f t="shared" si="113"/>
        <v>6579.2740361994402</v>
      </c>
      <c r="E337" s="84">
        <f t="shared" si="114"/>
        <v>-804.68491714292702</v>
      </c>
      <c r="F337" s="84">
        <f t="shared" si="115"/>
        <v>-393.87416404450653</v>
      </c>
      <c r="G337" s="84">
        <f t="shared" si="106"/>
        <v>0</v>
      </c>
      <c r="H337" s="84">
        <v>0</v>
      </c>
      <c r="I337" s="84">
        <v>0</v>
      </c>
      <c r="J337" s="84">
        <v>0</v>
      </c>
      <c r="K337" s="84">
        <f t="shared" si="107"/>
        <v>-2622.054407072922</v>
      </c>
      <c r="L337" s="84">
        <f t="shared" si="108"/>
        <v>1198.5590811874335</v>
      </c>
      <c r="M337" s="84">
        <f t="shared" si="96"/>
        <v>3820.6134882603556</v>
      </c>
      <c r="N337" s="84">
        <f t="shared" si="97"/>
        <v>3426.6711301585683</v>
      </c>
      <c r="O337" s="84">
        <f t="shared" si="98"/>
        <v>5380.7149550120066</v>
      </c>
      <c r="P337" s="84">
        <f t="shared" si="109"/>
        <v>112296.30556649889</v>
      </c>
      <c r="Q337" s="84">
        <f t="shared" si="99"/>
        <v>2234358.1733906437</v>
      </c>
      <c r="R337" s="85">
        <f t="shared" si="100"/>
        <v>3032.7969661140619</v>
      </c>
      <c r="S337" s="85" cm="1">
        <f t="array" ref="S337">Y337*tax_rate</f>
        <v>0</v>
      </c>
      <c r="T337" s="84">
        <f t="shared" si="110"/>
        <v>1008662.2626696458</v>
      </c>
      <c r="U337" s="84">
        <f t="shared" si="101"/>
        <v>3243020.4360602894</v>
      </c>
      <c r="V337" s="85"/>
      <c r="W337" s="138">
        <f t="shared" si="111"/>
        <v>0.13432373516930757</v>
      </c>
      <c r="X337" s="138" t="str">
        <f t="shared" si="117"/>
        <v/>
      </c>
      <c r="Y337" s="142"/>
      <c r="Z337" s="139">
        <f t="shared" si="102"/>
        <v>5380.7149550120066</v>
      </c>
      <c r="AA337" s="114">
        <v>310</v>
      </c>
      <c r="AB337" s="46">
        <f t="shared" si="112"/>
        <v>-713.7786333762225</v>
      </c>
      <c r="AC337" s="47"/>
      <c r="AD337" s="47">
        <f t="shared" si="116"/>
        <v>20788.707017283887</v>
      </c>
      <c r="AE337" s="86"/>
      <c r="AF337" s="140"/>
      <c r="AG337" s="140"/>
      <c r="AH337" s="140">
        <f t="shared" si="103"/>
        <v>3102221.167322861</v>
      </c>
      <c r="AI337" s="9"/>
      <c r="AJ337" s="9"/>
      <c r="AK337" s="9"/>
    </row>
    <row r="338" spans="2:37" ht="12" hidden="1" customHeight="1" outlineLevel="1" x14ac:dyDescent="0.25">
      <c r="B338" s="8" t="str">
        <f t="shared" si="104"/>
        <v/>
      </c>
      <c r="C338" s="84">
        <f t="shared" si="105"/>
        <v>2358387.7513519283</v>
      </c>
      <c r="D338" s="84">
        <f t="shared" si="113"/>
        <v>6579.2740361994402</v>
      </c>
      <c r="E338" s="84">
        <f t="shared" si="114"/>
        <v>-804.68491714292702</v>
      </c>
      <c r="F338" s="84">
        <f t="shared" si="115"/>
        <v>-393.87416404450653</v>
      </c>
      <c r="G338" s="84">
        <f t="shared" si="106"/>
        <v>0</v>
      </c>
      <c r="H338" s="84">
        <v>0</v>
      </c>
      <c r="I338" s="84">
        <v>0</v>
      </c>
      <c r="J338" s="84">
        <v>0</v>
      </c>
      <c r="K338" s="84">
        <f t="shared" si="107"/>
        <v>-2622.054407072922</v>
      </c>
      <c r="L338" s="84">
        <f t="shared" si="108"/>
        <v>1198.5590811874335</v>
      </c>
      <c r="M338" s="84">
        <f t="shared" si="96"/>
        <v>3820.6134882603556</v>
      </c>
      <c r="N338" s="84">
        <f t="shared" si="97"/>
        <v>3426.6711301585683</v>
      </c>
      <c r="O338" s="84">
        <f t="shared" si="98"/>
        <v>5380.7149550120066</v>
      </c>
      <c r="P338" s="84">
        <f t="shared" si="109"/>
        <v>110376.10306921657</v>
      </c>
      <c r="Q338" s="85">
        <f t="shared" si="99"/>
        <v>2248011.6482827119</v>
      </c>
      <c r="R338" s="85">
        <f t="shared" si="100"/>
        <v>3032.7969661140619</v>
      </c>
      <c r="S338" s="85" cm="1">
        <f t="array" ref="S338">Y338*tax_rate</f>
        <v>0</v>
      </c>
      <c r="T338" s="84">
        <f t="shared" si="110"/>
        <v>1015897.8190635501</v>
      </c>
      <c r="U338" s="84">
        <f t="shared" si="101"/>
        <v>3263909.4673462622</v>
      </c>
      <c r="V338" s="85"/>
      <c r="W338" s="138">
        <f t="shared" si="111"/>
        <v>0.1341450666568238</v>
      </c>
      <c r="X338" s="138" t="str">
        <f t="shared" si="117"/>
        <v/>
      </c>
      <c r="Y338" s="142"/>
      <c r="Z338" s="139">
        <f t="shared" si="102"/>
        <v>5380.7149550120066</v>
      </c>
      <c r="AA338" s="114">
        <v>311</v>
      </c>
      <c r="AB338" s="46">
        <f t="shared" si="112"/>
        <v>-701.85190979061804</v>
      </c>
      <c r="AC338" s="47"/>
      <c r="AD338" s="47">
        <f t="shared" si="116"/>
        <v>20889.0312859728</v>
      </c>
      <c r="AE338" s="86"/>
      <c r="AF338" s="140"/>
      <c r="AG338" s="140"/>
      <c r="AH338" s="140">
        <f t="shared" si="103"/>
        <v>3122406.2022651467</v>
      </c>
      <c r="AI338" s="9"/>
      <c r="AJ338" s="9"/>
      <c r="AK338" s="9"/>
    </row>
    <row r="339" spans="2:37" ht="15" customHeight="1" collapsed="1" x14ac:dyDescent="0.25">
      <c r="B339" s="143">
        <f t="shared" si="104"/>
        <v>26</v>
      </c>
      <c r="C339" s="16">
        <f t="shared" si="105"/>
        <v>2370179.6901086876</v>
      </c>
      <c r="D339" s="16">
        <f t="shared" si="113"/>
        <v>6579.2740361994402</v>
      </c>
      <c r="E339" s="16">
        <f t="shared" si="114"/>
        <v>-804.68491714292702</v>
      </c>
      <c r="F339" s="16">
        <f t="shared" si="115"/>
        <v>-393.87416404450653</v>
      </c>
      <c r="G339" s="16">
        <f t="shared" si="106"/>
        <v>0</v>
      </c>
      <c r="H339" s="16">
        <v>0</v>
      </c>
      <c r="I339" s="16">
        <v>0</v>
      </c>
      <c r="J339" s="16">
        <v>0</v>
      </c>
      <c r="K339" s="16">
        <f t="shared" si="107"/>
        <v>-2622.054407072922</v>
      </c>
      <c r="L339" s="16">
        <f t="shared" si="108"/>
        <v>1198.5590811874335</v>
      </c>
      <c r="M339" s="16">
        <f t="shared" si="96"/>
        <v>3820.6134882603556</v>
      </c>
      <c r="N339" s="16">
        <f t="shared" si="97"/>
        <v>3426.6711301585683</v>
      </c>
      <c r="O339" s="16">
        <f t="shared" si="98"/>
        <v>5380.7149550120066</v>
      </c>
      <c r="P339" s="16">
        <f t="shared" si="109"/>
        <v>108443.89930632623</v>
      </c>
      <c r="Q339" s="16">
        <f t="shared" si="99"/>
        <v>2261735.7908023614</v>
      </c>
      <c r="R339" s="16">
        <f t="shared" si="100"/>
        <v>3032.7969661140619</v>
      </c>
      <c r="S339" s="16" cm="1">
        <f t="array" ref="S339">Y339*tax_rate</f>
        <v>7316.2743472248549</v>
      </c>
      <c r="T339" s="16">
        <f t="shared" si="110"/>
        <v>1030479.7979563205</v>
      </c>
      <c r="U339" s="16">
        <f t="shared" si="101"/>
        <v>3292215.5887586819</v>
      </c>
      <c r="V339" s="16">
        <f>U339-U327</f>
        <v>252647.53475353401</v>
      </c>
      <c r="W339" s="144">
        <f t="shared" si="111"/>
        <v>0.1340641588721212</v>
      </c>
      <c r="X339" s="144">
        <f t="shared" si="117"/>
        <v>8.3119551944437597E-2</v>
      </c>
      <c r="Y339" s="145">
        <f>(((Sale_Price*0.8)+Improvement_Costs+Closing_Costs_Total)/27.5)+(-E339*12)+-AC339</f>
        <v>33255.792487385705</v>
      </c>
      <c r="Z339" s="139">
        <f t="shared" si="102"/>
        <v>5380.7149550120066</v>
      </c>
      <c r="AA339" s="114">
        <v>312</v>
      </c>
      <c r="AB339" s="46">
        <f t="shared" si="112"/>
        <v>-689.85064418260345</v>
      </c>
      <c r="AC339" s="46">
        <f>SUM(AB328:AB339)</f>
        <v>-9054.1189362160385</v>
      </c>
      <c r="AD339" s="47">
        <f t="shared" si="116"/>
        <v>28306.121412419714</v>
      </c>
      <c r="AE339" s="86">
        <f>D339*12</f>
        <v>78951.288434393282</v>
      </c>
      <c r="AF339" s="140"/>
      <c r="AG339" s="140"/>
      <c r="AH339" s="140">
        <f t="shared" si="103"/>
        <v>3150004.8073521606</v>
      </c>
      <c r="AI339" s="15">
        <f>AI327*(1+Comparison_Rate_of_Return)</f>
        <v>1489772.0672159046</v>
      </c>
      <c r="AJ339" s="9"/>
      <c r="AK339" s="9"/>
    </row>
    <row r="340" spans="2:37" ht="12" hidden="1" customHeight="1" outlineLevel="1" x14ac:dyDescent="0.25">
      <c r="B340" s="143" t="str">
        <f t="shared" si="104"/>
        <v/>
      </c>
      <c r="C340" s="16">
        <f t="shared" si="105"/>
        <v>2382030.5885592308</v>
      </c>
      <c r="D340" s="16">
        <f t="shared" si="113"/>
        <v>6809.5486274664199</v>
      </c>
      <c r="E340" s="16">
        <f t="shared" si="114"/>
        <v>-832.84888924292943</v>
      </c>
      <c r="F340" s="16">
        <f t="shared" si="115"/>
        <v>-407.65975978606423</v>
      </c>
      <c r="G340" s="16">
        <f t="shared" si="106"/>
        <v>0</v>
      </c>
      <c r="H340" s="16">
        <v>0</v>
      </c>
      <c r="I340" s="16">
        <v>0</v>
      </c>
      <c r="J340" s="16">
        <v>0</v>
      </c>
      <c r="K340" s="16">
        <f t="shared" si="107"/>
        <v>-2622.054407072922</v>
      </c>
      <c r="L340" s="16">
        <f t="shared" si="108"/>
        <v>1240.5086490289937</v>
      </c>
      <c r="M340" s="16">
        <f t="shared" si="96"/>
        <v>3862.5630561019157</v>
      </c>
      <c r="N340" s="16">
        <f t="shared" si="97"/>
        <v>3638.3765239616696</v>
      </c>
      <c r="O340" s="16">
        <f t="shared" si="98"/>
        <v>5569.0399784374258</v>
      </c>
      <c r="P340" s="16">
        <f t="shared" si="109"/>
        <v>106499.61926991781</v>
      </c>
      <c r="Q340" s="16">
        <f t="shared" si="99"/>
        <v>2275530.9692893131</v>
      </c>
      <c r="R340" s="16">
        <f t="shared" si="100"/>
        <v>3230.7167641756055</v>
      </c>
      <c r="S340" s="16" cm="1">
        <f t="array" ref="S340">Y340*tax_rate</f>
        <v>0</v>
      </c>
      <c r="T340" s="16">
        <f t="shared" si="110"/>
        <v>1038004.180545314</v>
      </c>
      <c r="U340" s="16">
        <f t="shared" si="101"/>
        <v>3313535.1498346273</v>
      </c>
      <c r="V340" s="16"/>
      <c r="W340" s="144">
        <f t="shared" si="111"/>
        <v>0.13388899272539551</v>
      </c>
      <c r="X340" s="144" t="str">
        <f t="shared" si="117"/>
        <v/>
      </c>
      <c r="Y340" s="146"/>
      <c r="Z340" s="139">
        <f t="shared" si="102"/>
        <v>5569.0399784374258</v>
      </c>
      <c r="AA340" s="114">
        <v>313</v>
      </c>
      <c r="AB340" s="46">
        <f t="shared" si="112"/>
        <v>-677.77437066453888</v>
      </c>
      <c r="AC340" s="47"/>
      <c r="AD340" s="47">
        <f t="shared" si="116"/>
        <v>21319.561075945385</v>
      </c>
      <c r="AE340" s="86"/>
      <c r="AF340" s="140"/>
      <c r="AG340" s="140"/>
      <c r="AH340" s="140">
        <f t="shared" si="103"/>
        <v>3170613.3145210734</v>
      </c>
      <c r="AI340" s="15"/>
      <c r="AJ340" s="9"/>
      <c r="AK340" s="9"/>
    </row>
    <row r="341" spans="2:37" ht="12" hidden="1" customHeight="1" outlineLevel="1" x14ac:dyDescent="0.25">
      <c r="B341" s="143" t="str">
        <f t="shared" si="104"/>
        <v/>
      </c>
      <c r="C341" s="16">
        <f t="shared" si="105"/>
        <v>2393940.7415020266</v>
      </c>
      <c r="D341" s="16">
        <f t="shared" si="113"/>
        <v>6809.5486274664199</v>
      </c>
      <c r="E341" s="16">
        <f t="shared" si="114"/>
        <v>-832.84888924292943</v>
      </c>
      <c r="F341" s="16">
        <f t="shared" si="115"/>
        <v>-407.65975978606423</v>
      </c>
      <c r="G341" s="16">
        <f t="shared" si="106"/>
        <v>0</v>
      </c>
      <c r="H341" s="16">
        <v>0</v>
      </c>
      <c r="I341" s="16">
        <v>0</v>
      </c>
      <c r="J341" s="16">
        <v>0</v>
      </c>
      <c r="K341" s="16">
        <f t="shared" si="107"/>
        <v>-2622.054407072922</v>
      </c>
      <c r="L341" s="16">
        <f t="shared" si="108"/>
        <v>1240.5086490289937</v>
      </c>
      <c r="M341" s="16">
        <f t="shared" si="96"/>
        <v>3862.5630561019157</v>
      </c>
      <c r="N341" s="16">
        <f t="shared" si="97"/>
        <v>3638.3765239616696</v>
      </c>
      <c r="O341" s="16">
        <f t="shared" si="98"/>
        <v>5569.0399784374258</v>
      </c>
      <c r="P341" s="16">
        <f t="shared" si="109"/>
        <v>104543.18748328183</v>
      </c>
      <c r="Q341" s="16">
        <f t="shared" si="99"/>
        <v>2289397.5540187447</v>
      </c>
      <c r="R341" s="16">
        <f t="shared" si="100"/>
        <v>3230.7167641756055</v>
      </c>
      <c r="S341" s="16" cm="1">
        <f t="array" ref="S341">Y341*tax_rate</f>
        <v>0</v>
      </c>
      <c r="T341" s="16">
        <f t="shared" si="110"/>
        <v>1045559.9147284284</v>
      </c>
      <c r="U341" s="16">
        <f t="shared" si="101"/>
        <v>3334957.468747173</v>
      </c>
      <c r="V341" s="16"/>
      <c r="W341" s="144">
        <f t="shared" si="111"/>
        <v>0.13371451045129198</v>
      </c>
      <c r="X341" s="144" t="str">
        <f t="shared" si="117"/>
        <v/>
      </c>
      <c r="Y341" s="146"/>
      <c r="Z341" s="139">
        <f t="shared" si="102"/>
        <v>5569.0399784374258</v>
      </c>
      <c r="AA341" s="114">
        <v>314</v>
      </c>
      <c r="AB341" s="46">
        <f t="shared" si="112"/>
        <v>-665.62262043698627</v>
      </c>
      <c r="AC341" s="47"/>
      <c r="AD341" s="47">
        <f t="shared" si="116"/>
        <v>21422.318912545685</v>
      </c>
      <c r="AE341" s="86"/>
      <c r="AF341" s="140"/>
      <c r="AG341" s="140"/>
      <c r="AH341" s="140">
        <f t="shared" si="103"/>
        <v>3191321.0242570513</v>
      </c>
      <c r="AI341" s="15"/>
      <c r="AJ341" s="9"/>
      <c r="AK341" s="9"/>
    </row>
    <row r="342" spans="2:37" ht="12" hidden="1" customHeight="1" outlineLevel="1" x14ac:dyDescent="0.25">
      <c r="B342" s="143" t="str">
        <f t="shared" si="104"/>
        <v/>
      </c>
      <c r="C342" s="16">
        <f t="shared" si="105"/>
        <v>2405910.4452095362</v>
      </c>
      <c r="D342" s="16">
        <f t="shared" si="113"/>
        <v>6809.5486274664199</v>
      </c>
      <c r="E342" s="16">
        <f t="shared" si="114"/>
        <v>-832.84888924292943</v>
      </c>
      <c r="F342" s="16">
        <f t="shared" si="115"/>
        <v>-407.65975978606423</v>
      </c>
      <c r="G342" s="16">
        <f t="shared" si="106"/>
        <v>0</v>
      </c>
      <c r="H342" s="16">
        <v>0</v>
      </c>
      <c r="I342" s="16">
        <v>0</v>
      </c>
      <c r="J342" s="16">
        <v>0</v>
      </c>
      <c r="K342" s="16">
        <f t="shared" si="107"/>
        <v>-2622.054407072922</v>
      </c>
      <c r="L342" s="16">
        <f t="shared" si="108"/>
        <v>1240.5086490289937</v>
      </c>
      <c r="M342" s="16">
        <f t="shared" si="96"/>
        <v>3862.5630561019157</v>
      </c>
      <c r="N342" s="16">
        <f t="shared" si="97"/>
        <v>3638.3765239616696</v>
      </c>
      <c r="O342" s="16">
        <f t="shared" si="98"/>
        <v>5569.0399784374258</v>
      </c>
      <c r="P342" s="16">
        <f t="shared" si="109"/>
        <v>102574.5279979794</v>
      </c>
      <c r="Q342" s="16">
        <f t="shared" si="99"/>
        <v>2303335.9172115568</v>
      </c>
      <c r="R342" s="16">
        <f t="shared" si="100"/>
        <v>3230.7167641756055</v>
      </c>
      <c r="S342" s="16" cm="1">
        <f t="array" ref="S342">Y342*tax_rate</f>
        <v>0</v>
      </c>
      <c r="T342" s="16">
        <f t="shared" si="110"/>
        <v>1053147.1311373056</v>
      </c>
      <c r="U342" s="16">
        <f t="shared" si="101"/>
        <v>3356483.0483488627</v>
      </c>
      <c r="V342" s="16"/>
      <c r="W342" s="144">
        <f t="shared" si="111"/>
        <v>0.13354070926407544</v>
      </c>
      <c r="X342" s="144" t="str">
        <f t="shared" si="117"/>
        <v/>
      </c>
      <c r="Y342" s="146"/>
      <c r="Z342" s="139">
        <f t="shared" si="102"/>
        <v>5569.0399784374258</v>
      </c>
      <c r="AA342" s="114">
        <v>315</v>
      </c>
      <c r="AB342" s="46">
        <f t="shared" si="112"/>
        <v>-653.39492177051136</v>
      </c>
      <c r="AC342" s="47"/>
      <c r="AD342" s="47">
        <f t="shared" si="116"/>
        <v>21525.579601689707</v>
      </c>
      <c r="AE342" s="86"/>
      <c r="AF342" s="140"/>
      <c r="AG342" s="140"/>
      <c r="AH342" s="140">
        <f t="shared" si="103"/>
        <v>3212128.4216362904</v>
      </c>
      <c r="AI342" s="15"/>
      <c r="AJ342" s="9"/>
      <c r="AK342" s="9"/>
    </row>
    <row r="343" spans="2:37" ht="12" hidden="1" customHeight="1" outlineLevel="1" x14ac:dyDescent="0.25">
      <c r="B343" s="143" t="str">
        <f t="shared" si="104"/>
        <v/>
      </c>
      <c r="C343" s="16">
        <f t="shared" si="105"/>
        <v>2417939.9974355837</v>
      </c>
      <c r="D343" s="16">
        <f t="shared" si="113"/>
        <v>6809.5486274664199</v>
      </c>
      <c r="E343" s="16">
        <f t="shared" si="114"/>
        <v>-832.84888924292943</v>
      </c>
      <c r="F343" s="16">
        <f t="shared" si="115"/>
        <v>-407.65975978606423</v>
      </c>
      <c r="G343" s="16">
        <f t="shared" si="106"/>
        <v>0</v>
      </c>
      <c r="H343" s="16">
        <v>0</v>
      </c>
      <c r="I343" s="16">
        <v>0</v>
      </c>
      <c r="J343" s="16">
        <v>0</v>
      </c>
      <c r="K343" s="16">
        <f t="shared" si="107"/>
        <v>-2622.054407072922</v>
      </c>
      <c r="L343" s="16">
        <f t="shared" si="108"/>
        <v>1240.5086490289937</v>
      </c>
      <c r="M343" s="16">
        <f t="shared" si="96"/>
        <v>3862.5630561019157</v>
      </c>
      <c r="N343" s="16">
        <f t="shared" si="97"/>
        <v>3638.3765239616696</v>
      </c>
      <c r="O343" s="16">
        <f t="shared" si="98"/>
        <v>5569.0399784374258</v>
      </c>
      <c r="P343" s="16">
        <f t="shared" si="109"/>
        <v>100593.56439089382</v>
      </c>
      <c r="Q343" s="16">
        <f t="shared" si="99"/>
        <v>2317346.4330446897</v>
      </c>
      <c r="R343" s="16">
        <f t="shared" si="100"/>
        <v>3230.7167641756055</v>
      </c>
      <c r="S343" s="16" cm="1">
        <f t="array" ref="S343">Y343*tax_rate</f>
        <v>0</v>
      </c>
      <c r="T343" s="16">
        <f t="shared" si="110"/>
        <v>1060765.9609478866</v>
      </c>
      <c r="U343" s="16">
        <f t="shared" si="101"/>
        <v>3378112.3939925763</v>
      </c>
      <c r="V343" s="16"/>
      <c r="W343" s="144">
        <f t="shared" si="111"/>
        <v>0.1333675863721592</v>
      </c>
      <c r="X343" s="144" t="str">
        <f t="shared" si="117"/>
        <v/>
      </c>
      <c r="Y343" s="146"/>
      <c r="Z343" s="139">
        <f t="shared" si="102"/>
        <v>5569.0399784374258</v>
      </c>
      <c r="AA343" s="114">
        <v>316</v>
      </c>
      <c r="AB343" s="46">
        <f t="shared" si="112"/>
        <v>-641.09079998737116</v>
      </c>
      <c r="AC343" s="47"/>
      <c r="AD343" s="47">
        <f t="shared" si="116"/>
        <v>21629.345643713605</v>
      </c>
      <c r="AE343" s="86"/>
      <c r="AF343" s="140"/>
      <c r="AG343" s="140"/>
      <c r="AH343" s="140">
        <f t="shared" si="103"/>
        <v>3233035.9941464411</v>
      </c>
      <c r="AI343" s="15"/>
      <c r="AJ343" s="9"/>
      <c r="AK343" s="9"/>
    </row>
    <row r="344" spans="2:37" ht="12" hidden="1" customHeight="1" outlineLevel="1" x14ac:dyDescent="0.25">
      <c r="B344" s="143" t="str">
        <f t="shared" si="104"/>
        <v/>
      </c>
      <c r="C344" s="16">
        <f t="shared" si="105"/>
        <v>2430029.6974227615</v>
      </c>
      <c r="D344" s="16">
        <f t="shared" si="113"/>
        <v>6809.5486274664199</v>
      </c>
      <c r="E344" s="16">
        <f t="shared" si="114"/>
        <v>-832.84888924292943</v>
      </c>
      <c r="F344" s="16">
        <f t="shared" si="115"/>
        <v>-407.65975978606423</v>
      </c>
      <c r="G344" s="16">
        <f t="shared" si="106"/>
        <v>0</v>
      </c>
      <c r="H344" s="16">
        <v>0</v>
      </c>
      <c r="I344" s="16">
        <v>0</v>
      </c>
      <c r="J344" s="16">
        <v>0</v>
      </c>
      <c r="K344" s="16">
        <f t="shared" si="107"/>
        <v>-2622.054407072922</v>
      </c>
      <c r="L344" s="16">
        <f t="shared" si="108"/>
        <v>1240.5086490289937</v>
      </c>
      <c r="M344" s="16">
        <f t="shared" si="96"/>
        <v>3862.5630561019157</v>
      </c>
      <c r="N344" s="16">
        <f t="shared" si="97"/>
        <v>3638.3765239616696</v>
      </c>
      <c r="O344" s="16">
        <f t="shared" si="98"/>
        <v>5569.0399784374258</v>
      </c>
      <c r="P344" s="16">
        <f t="shared" si="109"/>
        <v>98600.219761263957</v>
      </c>
      <c r="Q344" s="16">
        <f t="shared" si="99"/>
        <v>2331429.4776614974</v>
      </c>
      <c r="R344" s="16">
        <f t="shared" si="100"/>
        <v>3230.7167641756055</v>
      </c>
      <c r="S344" s="16" cm="1">
        <f t="array" ref="S344">Y344*tax_rate</f>
        <v>0</v>
      </c>
      <c r="T344" s="16">
        <f t="shared" si="110"/>
        <v>1068416.5358826783</v>
      </c>
      <c r="U344" s="16">
        <f t="shared" si="101"/>
        <v>3399846.0135441758</v>
      </c>
      <c r="V344" s="16"/>
      <c r="W344" s="144">
        <f t="shared" si="111"/>
        <v>0.13319513897878843</v>
      </c>
      <c r="X344" s="144" t="str">
        <f t="shared" si="117"/>
        <v/>
      </c>
      <c r="Y344" s="146"/>
      <c r="Z344" s="139">
        <f t="shared" si="102"/>
        <v>5569.0399784374258</v>
      </c>
      <c r="AA344" s="114">
        <v>317</v>
      </c>
      <c r="AB344" s="46">
        <f t="shared" si="112"/>
        <v>-628.7097774430863</v>
      </c>
      <c r="AC344" s="47"/>
      <c r="AD344" s="47">
        <f t="shared" si="116"/>
        <v>21733.619551599491</v>
      </c>
      <c r="AE344" s="86"/>
      <c r="AF344" s="140"/>
      <c r="AG344" s="140"/>
      <c r="AH344" s="140">
        <f t="shared" si="103"/>
        <v>3254044.2316988101</v>
      </c>
      <c r="AI344" s="15"/>
      <c r="AJ344" s="9"/>
      <c r="AK344" s="9"/>
    </row>
    <row r="345" spans="2:37" ht="12" hidden="1" customHeight="1" outlineLevel="1" x14ac:dyDescent="0.25">
      <c r="B345" s="143" t="str">
        <f t="shared" si="104"/>
        <v/>
      </c>
      <c r="C345" s="16">
        <f t="shared" si="105"/>
        <v>2442179.8459098749</v>
      </c>
      <c r="D345" s="16">
        <f t="shared" si="113"/>
        <v>6809.5486274664199</v>
      </c>
      <c r="E345" s="16">
        <f t="shared" si="114"/>
        <v>-832.84888924292943</v>
      </c>
      <c r="F345" s="16">
        <f t="shared" si="115"/>
        <v>-407.65975978606423</v>
      </c>
      <c r="G345" s="16">
        <f t="shared" si="106"/>
        <v>0</v>
      </c>
      <c r="H345" s="16">
        <v>0</v>
      </c>
      <c r="I345" s="16">
        <v>0</v>
      </c>
      <c r="J345" s="16">
        <v>0</v>
      </c>
      <c r="K345" s="16">
        <f t="shared" si="107"/>
        <v>-2622.054407072922</v>
      </c>
      <c r="L345" s="16">
        <f t="shared" si="108"/>
        <v>1240.5086490289937</v>
      </c>
      <c r="M345" s="16">
        <f t="shared" si="96"/>
        <v>3862.5630561019157</v>
      </c>
      <c r="N345" s="16">
        <f t="shared" si="97"/>
        <v>3638.3765239616696</v>
      </c>
      <c r="O345" s="16">
        <f t="shared" si="98"/>
        <v>5569.0399784374258</v>
      </c>
      <c r="P345" s="16">
        <f t="shared" si="109"/>
        <v>96594.416727698903</v>
      </c>
      <c r="Q345" s="16">
        <f t="shared" si="99"/>
        <v>2345585.429182176</v>
      </c>
      <c r="R345" s="16">
        <f t="shared" si="100"/>
        <v>3230.7167641756055</v>
      </c>
      <c r="S345" s="16" cm="1">
        <f t="array" ref="S345">Y345*tax_rate</f>
        <v>0</v>
      </c>
      <c r="T345" s="16">
        <f t="shared" si="110"/>
        <v>1076098.9882130318</v>
      </c>
      <c r="U345" s="16">
        <f t="shared" si="101"/>
        <v>3421684.417395208</v>
      </c>
      <c r="V345" s="16"/>
      <c r="W345" s="144">
        <f t="shared" si="111"/>
        <v>0.13302336428269732</v>
      </c>
      <c r="X345" s="144" t="str">
        <f t="shared" si="117"/>
        <v/>
      </c>
      <c r="Y345" s="146"/>
      <c r="Z345" s="139">
        <f t="shared" si="102"/>
        <v>5569.0399784374258</v>
      </c>
      <c r="AA345" s="114">
        <v>318</v>
      </c>
      <c r="AB345" s="46">
        <f t="shared" si="112"/>
        <v>-616.25137350789964</v>
      </c>
      <c r="AC345" s="47"/>
      <c r="AD345" s="47">
        <f t="shared" si="116"/>
        <v>21838.403851032257</v>
      </c>
      <c r="AE345" s="86"/>
      <c r="AF345" s="140"/>
      <c r="AG345" s="140"/>
      <c r="AH345" s="140">
        <f t="shared" si="103"/>
        <v>3275153.6266406155</v>
      </c>
      <c r="AI345" s="15"/>
      <c r="AJ345" s="9"/>
      <c r="AK345" s="9"/>
    </row>
    <row r="346" spans="2:37" ht="12" hidden="1" customHeight="1" outlineLevel="1" x14ac:dyDescent="0.25">
      <c r="B346" s="143" t="str">
        <f t="shared" si="104"/>
        <v/>
      </c>
      <c r="C346" s="16">
        <f t="shared" si="105"/>
        <v>2454390.7451394242</v>
      </c>
      <c r="D346" s="16">
        <f t="shared" si="113"/>
        <v>6809.5486274664199</v>
      </c>
      <c r="E346" s="16">
        <f t="shared" si="114"/>
        <v>-832.84888924292943</v>
      </c>
      <c r="F346" s="16">
        <f t="shared" si="115"/>
        <v>-407.65975978606423</v>
      </c>
      <c r="G346" s="16">
        <f t="shared" si="106"/>
        <v>0</v>
      </c>
      <c r="H346" s="16">
        <v>0</v>
      </c>
      <c r="I346" s="16">
        <v>0</v>
      </c>
      <c r="J346" s="16">
        <v>0</v>
      </c>
      <c r="K346" s="16">
        <f t="shared" si="107"/>
        <v>-2622.054407072922</v>
      </c>
      <c r="L346" s="16">
        <f t="shared" si="108"/>
        <v>1240.5086490289937</v>
      </c>
      <c r="M346" s="16">
        <f t="shared" si="96"/>
        <v>3862.5630561019157</v>
      </c>
      <c r="N346" s="16">
        <f t="shared" si="97"/>
        <v>3638.3765239616696</v>
      </c>
      <c r="O346" s="16">
        <f t="shared" si="98"/>
        <v>5569.0399784374258</v>
      </c>
      <c r="P346" s="16">
        <f t="shared" si="109"/>
        <v>94576.077425174066</v>
      </c>
      <c r="Q346" s="16">
        <f t="shared" si="99"/>
        <v>2359814.6677142503</v>
      </c>
      <c r="R346" s="16">
        <f t="shared" si="100"/>
        <v>3230.7167641756055</v>
      </c>
      <c r="S346" s="16" cm="1">
        <f t="array" ref="S346">Y346*tax_rate</f>
        <v>0</v>
      </c>
      <c r="T346" s="16">
        <f t="shared" si="110"/>
        <v>1083813.4507614283</v>
      </c>
      <c r="U346" s="16">
        <f t="shared" si="101"/>
        <v>3443628.1184756784</v>
      </c>
      <c r="V346" s="16"/>
      <c r="W346" s="144">
        <f t="shared" si="111"/>
        <v>0.13285225947874529</v>
      </c>
      <c r="X346" s="144" t="str">
        <f t="shared" si="117"/>
        <v/>
      </c>
      <c r="Y346" s="146"/>
      <c r="Z346" s="139">
        <f t="shared" si="102"/>
        <v>5569.0399784374258</v>
      </c>
      <c r="AA346" s="114">
        <v>319</v>
      </c>
      <c r="AB346" s="46">
        <f t="shared" si="112"/>
        <v>-603.71510454811812</v>
      </c>
      <c r="AC346" s="47"/>
      <c r="AD346" s="47">
        <f t="shared" si="116"/>
        <v>21943.701080470346</v>
      </c>
      <c r="AE346" s="86"/>
      <c r="AF346" s="140"/>
      <c r="AG346" s="140"/>
      <c r="AH346" s="140">
        <f t="shared" si="103"/>
        <v>3296364.6737673129</v>
      </c>
      <c r="AI346" s="15"/>
      <c r="AJ346" s="9"/>
      <c r="AK346" s="9"/>
    </row>
    <row r="347" spans="2:37" ht="12" hidden="1" customHeight="1" outlineLevel="1" x14ac:dyDescent="0.25">
      <c r="B347" s="143" t="str">
        <f t="shared" si="104"/>
        <v/>
      </c>
      <c r="C347" s="16">
        <f t="shared" si="105"/>
        <v>2466662.6988651212</v>
      </c>
      <c r="D347" s="16">
        <f t="shared" si="113"/>
        <v>6809.5486274664199</v>
      </c>
      <c r="E347" s="16">
        <f t="shared" si="114"/>
        <v>-832.84888924292943</v>
      </c>
      <c r="F347" s="16">
        <f t="shared" si="115"/>
        <v>-407.65975978606423</v>
      </c>
      <c r="G347" s="16">
        <f t="shared" si="106"/>
        <v>0</v>
      </c>
      <c r="H347" s="16">
        <v>0</v>
      </c>
      <c r="I347" s="16">
        <v>0</v>
      </c>
      <c r="J347" s="16">
        <v>0</v>
      </c>
      <c r="K347" s="16">
        <f t="shared" si="107"/>
        <v>-2622.054407072922</v>
      </c>
      <c r="L347" s="16">
        <f t="shared" si="108"/>
        <v>1240.5086490289937</v>
      </c>
      <c r="M347" s="16">
        <f t="shared" ref="M347:M410" si="118">-E347-F347-G347-H347-I347-J347-K347</f>
        <v>3862.5630561019157</v>
      </c>
      <c r="N347" s="16">
        <f t="shared" ref="N347:N410" si="119">(D347/Rent_Occupancy)+E347+G347+(H347+I347+J347)+K347</f>
        <v>3638.3765239616696</v>
      </c>
      <c r="O347" s="16">
        <f t="shared" ref="O347:O410" si="120">D347+E347+F347+G347+(H347+I347+J347)</f>
        <v>5569.0399784374258</v>
      </c>
      <c r="P347" s="16">
        <f t="shared" si="109"/>
        <v>92545.123502008442</v>
      </c>
      <c r="Q347" s="16">
        <f t="shared" ref="Q347:Q410" si="121">C347-P347</f>
        <v>2374117.5753631126</v>
      </c>
      <c r="R347" s="16">
        <f t="shared" ref="R347:R410" si="122">IF(Net_Income_Toward_Loan="No",N347+F347,IF((N347+F347)&lt;0,(N347+F347),IF((N347+F347)+PI_Payment&gt;P347,D347+E347-P347,0)))</f>
        <v>3230.7167641756055</v>
      </c>
      <c r="S347" s="16" cm="1">
        <f t="array" ref="S347">Y347*tax_rate</f>
        <v>0</v>
      </c>
      <c r="T347" s="16">
        <f t="shared" si="110"/>
        <v>1091560.0569037765</v>
      </c>
      <c r="U347" s="16">
        <f t="shared" ref="U347:U410" si="123">Q347+T347</f>
        <v>3465677.6322668893</v>
      </c>
      <c r="V347" s="16"/>
      <c r="W347" s="144">
        <f t="shared" si="111"/>
        <v>0.13268182175853144</v>
      </c>
      <c r="X347" s="144" t="str">
        <f t="shared" si="117"/>
        <v/>
      </c>
      <c r="Y347" s="146"/>
      <c r="Z347" s="139">
        <f t="shared" ref="Z347:Z410" si="124">IF(D347+E347+F347+G347+H347+I347+J347&gt;-K347,D347+E347+F347+G347+H347+I347+J347,-K347)</f>
        <v>5569.0399784374258</v>
      </c>
      <c r="AA347" s="114">
        <v>320</v>
      </c>
      <c r="AB347" s="46">
        <f t="shared" si="112"/>
        <v>-591.10048390733789</v>
      </c>
      <c r="AC347" s="47"/>
      <c r="AD347" s="47">
        <f t="shared" si="116"/>
        <v>22049.513791210949</v>
      </c>
      <c r="AE347" s="86"/>
      <c r="AF347" s="140"/>
      <c r="AG347" s="140"/>
      <c r="AH347" s="140">
        <f t="shared" ref="AH347:AH410" si="125">U347-(C347*Cost_of_Sale_Percentage)</f>
        <v>3317677.8703349819</v>
      </c>
      <c r="AI347" s="15"/>
      <c r="AJ347" s="9"/>
      <c r="AK347" s="9"/>
    </row>
    <row r="348" spans="2:37" ht="12" hidden="1" customHeight="1" outlineLevel="1" x14ac:dyDescent="0.25">
      <c r="B348" s="143" t="str">
        <f t="shared" ref="B348:B387" si="126">IF(MOD(AA348,12)=0,AA348/12,"")</f>
        <v/>
      </c>
      <c r="C348" s="16">
        <f t="shared" ref="C348:C411" si="127">C347*(1+(Annual_Appreciation_Percentage/12))</f>
        <v>2478996.0123594464</v>
      </c>
      <c r="D348" s="16">
        <f t="shared" si="113"/>
        <v>6809.5486274664199</v>
      </c>
      <c r="E348" s="16">
        <f t="shared" si="114"/>
        <v>-832.84888924292943</v>
      </c>
      <c r="F348" s="16">
        <f t="shared" si="115"/>
        <v>-407.65975978606423</v>
      </c>
      <c r="G348" s="16">
        <f t="shared" ref="G348:G411" si="128">IF(Other_Monthly_Cost_Months&gt;=AA348,-Other_Fixed_Monthly_Cost,0)</f>
        <v>0</v>
      </c>
      <c r="H348" s="16">
        <v>0</v>
      </c>
      <c r="I348" s="16">
        <v>0</v>
      </c>
      <c r="J348" s="16">
        <v>0</v>
      </c>
      <c r="K348" s="16">
        <f t="shared" ref="K348:K411" si="129">IF(P347&gt;PI_Payment,-PI_Payment,-P347)</f>
        <v>-2622.054407072922</v>
      </c>
      <c r="L348" s="16">
        <f t="shared" ref="L348:L411" si="130">-E348-F348-G348</f>
        <v>1240.5086490289937</v>
      </c>
      <c r="M348" s="16">
        <f t="shared" si="118"/>
        <v>3862.5630561019157</v>
      </c>
      <c r="N348" s="16">
        <f t="shared" si="119"/>
        <v>3638.3765239616696</v>
      </c>
      <c r="O348" s="16">
        <f t="shared" si="120"/>
        <v>5569.0399784374258</v>
      </c>
      <c r="P348" s="16">
        <f t="shared" ref="P348:P411" si="131">IF(Net_Income_Toward_Loan="No",-IF(FV(Loan_Rate/12,1,(K348),P347,0)&lt;0,FV(Loan_Rate/12,1,(K348),P347,0),0),-IF(FV(Loan_Rate/12,1,(-Z348),P347,0)&lt;0,FV(Loan_Rate/12,1,(-Z348),P347,0),0))</f>
        <v>90501.476116823032</v>
      </c>
      <c r="Q348" s="16">
        <f t="shared" si="121"/>
        <v>2388494.5362426233</v>
      </c>
      <c r="R348" s="16">
        <f t="shared" si="122"/>
        <v>3230.7167641756055</v>
      </c>
      <c r="S348" s="16" cm="1">
        <f t="array" ref="S348">Y348*tax_rate</f>
        <v>0</v>
      </c>
      <c r="T348" s="16">
        <f t="shared" ref="T348:T411" si="132">T347*(1+Time_Value_of_Money_Percentage/12)+R348+S348</f>
        <v>1099338.9405717177</v>
      </c>
      <c r="U348" s="16">
        <f t="shared" si="123"/>
        <v>3487833.4768143408</v>
      </c>
      <c r="V348" s="16"/>
      <c r="W348" s="144">
        <f t="shared" ref="W348:W411" si="133">RATE(AA348/12,0,-Total_Initial_Investment,U348,0)</f>
        <v>0.13251204831098634</v>
      </c>
      <c r="X348" s="144" t="str">
        <f t="shared" si="117"/>
        <v/>
      </c>
      <c r="Y348" s="146"/>
      <c r="Z348" s="139">
        <f t="shared" si="124"/>
        <v>5569.0399784374258</v>
      </c>
      <c r="AA348" s="114">
        <v>321</v>
      </c>
      <c r="AB348" s="46">
        <f t="shared" ref="AB348:AB411" si="134">IF(AA348&lt;Loan_Term*12,IPMT(Loan_Rate/12,1,(Loan_Term*12)-AA347,P347,0),0)</f>
        <v>-578.40702188755267</v>
      </c>
      <c r="AC348" s="47"/>
      <c r="AD348" s="47">
        <f t="shared" si="116"/>
        <v>22155.844547451474</v>
      </c>
      <c r="AE348" s="86"/>
      <c r="AF348" s="140"/>
      <c r="AG348" s="140"/>
      <c r="AH348" s="140">
        <f t="shared" si="125"/>
        <v>3339093.716072774</v>
      </c>
      <c r="AI348" s="15"/>
      <c r="AJ348" s="9"/>
      <c r="AK348" s="9"/>
    </row>
    <row r="349" spans="2:37" ht="12" hidden="1" customHeight="1" outlineLevel="1" x14ac:dyDescent="0.25">
      <c r="B349" s="143" t="str">
        <f t="shared" si="126"/>
        <v/>
      </c>
      <c r="C349" s="16">
        <f t="shared" si="127"/>
        <v>2491390.9924212433</v>
      </c>
      <c r="D349" s="16">
        <f t="shared" ref="D349:D412" si="135">IF(MOD(AA349-1,12)&gt;0,D348,D348*(1+Annual_Rent_Increase_Percentage))</f>
        <v>6809.5486274664199</v>
      </c>
      <c r="E349" s="16">
        <f t="shared" ref="E349:E412" si="136">IF(MOD($AA349-1,12)&gt;0,E348,E348*(1+Annual_Inflation_Percentage))</f>
        <v>-832.84888924292943</v>
      </c>
      <c r="F349" s="16">
        <f t="shared" ref="F349:F412" si="137">IF(MOD($AA349-1,12)&gt;0,F348,F348*(1+Annual_Inflation_Percentage))</f>
        <v>-407.65975978606423</v>
      </c>
      <c r="G349" s="16">
        <f t="shared" si="128"/>
        <v>0</v>
      </c>
      <c r="H349" s="16">
        <v>0</v>
      </c>
      <c r="I349" s="16">
        <v>0</v>
      </c>
      <c r="J349" s="16">
        <v>0</v>
      </c>
      <c r="K349" s="16">
        <f t="shared" si="129"/>
        <v>-2622.054407072922</v>
      </c>
      <c r="L349" s="16">
        <f t="shared" si="130"/>
        <v>1240.5086490289937</v>
      </c>
      <c r="M349" s="16">
        <f t="shared" si="118"/>
        <v>3862.5630561019157</v>
      </c>
      <c r="N349" s="16">
        <f t="shared" si="119"/>
        <v>3638.3765239616696</v>
      </c>
      <c r="O349" s="16">
        <f t="shared" si="120"/>
        <v>5569.0399784374258</v>
      </c>
      <c r="P349" s="16">
        <f t="shared" si="131"/>
        <v>88445.055935480224</v>
      </c>
      <c r="Q349" s="16">
        <f t="shared" si="121"/>
        <v>2402945.9364857632</v>
      </c>
      <c r="R349" s="16">
        <f t="shared" si="122"/>
        <v>3230.7167641756055</v>
      </c>
      <c r="S349" s="16" cm="1">
        <f t="array" ref="S349">Y349*tax_rate</f>
        <v>0</v>
      </c>
      <c r="T349" s="16">
        <f t="shared" si="132"/>
        <v>1107150.2362549421</v>
      </c>
      <c r="U349" s="16">
        <f t="shared" si="123"/>
        <v>3510096.1727407053</v>
      </c>
      <c r="V349" s="16"/>
      <c r="W349" s="144">
        <f t="shared" si="133"/>
        <v>0.13234293632294578</v>
      </c>
      <c r="X349" s="144" t="str">
        <f t="shared" si="117"/>
        <v/>
      </c>
      <c r="Y349" s="146"/>
      <c r="Z349" s="139">
        <f t="shared" si="124"/>
        <v>5569.0399784374258</v>
      </c>
      <c r="AA349" s="114">
        <v>322</v>
      </c>
      <c r="AB349" s="46">
        <f t="shared" si="134"/>
        <v>-565.63422573014395</v>
      </c>
      <c r="AC349" s="47"/>
      <c r="AD349" s="47">
        <f t="shared" ref="AD349:AD387" si="138">U349-U348</f>
        <v>22262.695926364511</v>
      </c>
      <c r="AE349" s="86"/>
      <c r="AF349" s="140"/>
      <c r="AG349" s="140"/>
      <c r="AH349" s="140">
        <f t="shared" si="125"/>
        <v>3360612.7131954306</v>
      </c>
      <c r="AI349" s="15"/>
      <c r="AJ349" s="9"/>
      <c r="AK349" s="9"/>
    </row>
    <row r="350" spans="2:37" ht="12" hidden="1" customHeight="1" outlineLevel="1" x14ac:dyDescent="0.25">
      <c r="B350" s="143" t="str">
        <f t="shared" si="126"/>
        <v/>
      </c>
      <c r="C350" s="16">
        <f t="shared" si="127"/>
        <v>2503847.9473833493</v>
      </c>
      <c r="D350" s="16">
        <f t="shared" si="135"/>
        <v>6809.5486274664199</v>
      </c>
      <c r="E350" s="16">
        <f t="shared" si="136"/>
        <v>-832.84888924292943</v>
      </c>
      <c r="F350" s="16">
        <f t="shared" si="137"/>
        <v>-407.65975978606423</v>
      </c>
      <c r="G350" s="16">
        <f t="shared" si="128"/>
        <v>0</v>
      </c>
      <c r="H350" s="16">
        <v>0</v>
      </c>
      <c r="I350" s="16">
        <v>0</v>
      </c>
      <c r="J350" s="16">
        <v>0</v>
      </c>
      <c r="K350" s="16">
        <f t="shared" si="129"/>
        <v>-2622.054407072922</v>
      </c>
      <c r="L350" s="16">
        <f t="shared" si="130"/>
        <v>1240.5086490289937</v>
      </c>
      <c r="M350" s="16">
        <f t="shared" si="118"/>
        <v>3862.5630561019157</v>
      </c>
      <c r="N350" s="16">
        <f t="shared" si="119"/>
        <v>3638.3765239616696</v>
      </c>
      <c r="O350" s="16">
        <f t="shared" si="120"/>
        <v>5569.0399784374258</v>
      </c>
      <c r="P350" s="16">
        <f t="shared" si="131"/>
        <v>86375.783128004026</v>
      </c>
      <c r="Q350" s="16">
        <f t="shared" si="121"/>
        <v>2417472.1642553452</v>
      </c>
      <c r="R350" s="16">
        <f t="shared" si="122"/>
        <v>3230.7167641756055</v>
      </c>
      <c r="S350" s="16" cm="1">
        <f t="array" ref="S350">Y350*tax_rate</f>
        <v>0</v>
      </c>
      <c r="T350" s="16">
        <f t="shared" si="132"/>
        <v>1114994.0790035133</v>
      </c>
      <c r="U350" s="16">
        <f t="shared" si="123"/>
        <v>3532466.2432588586</v>
      </c>
      <c r="V350" s="16"/>
      <c r="W350" s="144">
        <f t="shared" si="133"/>
        <v>0.13217448297970169</v>
      </c>
      <c r="X350" s="144" t="str">
        <f t="shared" si="117"/>
        <v/>
      </c>
      <c r="Y350" s="146"/>
      <c r="Z350" s="139">
        <f t="shared" si="124"/>
        <v>5569.0399784374258</v>
      </c>
      <c r="AA350" s="114">
        <v>323</v>
      </c>
      <c r="AB350" s="46">
        <f t="shared" si="134"/>
        <v>-552.78159959675133</v>
      </c>
      <c r="AC350" s="47"/>
      <c r="AD350" s="47">
        <f t="shared" si="138"/>
        <v>22370.070518153254</v>
      </c>
      <c r="AE350" s="86"/>
      <c r="AF350" s="140"/>
      <c r="AG350" s="140"/>
      <c r="AH350" s="140">
        <f t="shared" si="125"/>
        <v>3382235.3664158578</v>
      </c>
      <c r="AI350" s="15"/>
      <c r="AJ350" s="9"/>
      <c r="AK350" s="9"/>
    </row>
    <row r="351" spans="2:37" ht="15" customHeight="1" collapsed="1" x14ac:dyDescent="0.25">
      <c r="B351" s="143">
        <f t="shared" si="126"/>
        <v>27</v>
      </c>
      <c r="C351" s="16">
        <f t="shared" si="127"/>
        <v>2516367.1871202658</v>
      </c>
      <c r="D351" s="16">
        <f t="shared" si="135"/>
        <v>6809.5486274664199</v>
      </c>
      <c r="E351" s="16">
        <f t="shared" si="136"/>
        <v>-832.84888924292943</v>
      </c>
      <c r="F351" s="16">
        <f t="shared" si="137"/>
        <v>-407.65975978606423</v>
      </c>
      <c r="G351" s="16">
        <f t="shared" si="128"/>
        <v>0</v>
      </c>
      <c r="H351" s="16">
        <v>0</v>
      </c>
      <c r="I351" s="16">
        <v>0</v>
      </c>
      <c r="J351" s="16">
        <v>0</v>
      </c>
      <c r="K351" s="16">
        <f t="shared" si="129"/>
        <v>-2622.054407072922</v>
      </c>
      <c r="L351" s="16">
        <f t="shared" si="130"/>
        <v>1240.5086490289937</v>
      </c>
      <c r="M351" s="16">
        <f t="shared" si="118"/>
        <v>3862.5630561019157</v>
      </c>
      <c r="N351" s="16">
        <f t="shared" si="119"/>
        <v>3638.3765239616696</v>
      </c>
      <c r="O351" s="16">
        <f t="shared" si="120"/>
        <v>5569.0399784374258</v>
      </c>
      <c r="P351" s="16">
        <f t="shared" si="131"/>
        <v>84293.577365481091</v>
      </c>
      <c r="Q351" s="16">
        <f t="shared" si="121"/>
        <v>2432073.6097547845</v>
      </c>
      <c r="R351" s="16">
        <f t="shared" si="122"/>
        <v>3230.7167641756055</v>
      </c>
      <c r="S351" s="16" cm="1">
        <f t="array" ref="S351">Y351*tax_rate</f>
        <v>7007.8738752880054</v>
      </c>
      <c r="T351" s="16">
        <f t="shared" si="132"/>
        <v>1129878.4783054916</v>
      </c>
      <c r="U351" s="16">
        <f t="shared" si="123"/>
        <v>3561952.0880602761</v>
      </c>
      <c r="V351" s="16">
        <f>U351-U339</f>
        <v>269736.49930159422</v>
      </c>
      <c r="W351" s="144">
        <f t="shared" si="133"/>
        <v>0.13208925633189122</v>
      </c>
      <c r="X351" s="144">
        <f t="shared" si="117"/>
        <v>8.193160260300493E-2</v>
      </c>
      <c r="Y351" s="145">
        <f>(((Sale_Price*0.8)+Improvement_Costs+Closing_Costs_Total)/27.5)+(-E351*12)+-AC351</f>
        <v>31853.972160400022</v>
      </c>
      <c r="Z351" s="139">
        <f t="shared" si="124"/>
        <v>5569.0399784374258</v>
      </c>
      <c r="AA351" s="114">
        <v>324</v>
      </c>
      <c r="AB351" s="46">
        <f t="shared" si="134"/>
        <v>-539.84864455002514</v>
      </c>
      <c r="AC351" s="46">
        <f>SUM(AB340:AB351)</f>
        <v>-7314.3309440303219</v>
      </c>
      <c r="AD351" s="47">
        <f t="shared" si="138"/>
        <v>29485.844801417552</v>
      </c>
      <c r="AE351" s="86">
        <f>D351*12</f>
        <v>81714.583529597032</v>
      </c>
      <c r="AF351" s="140"/>
      <c r="AG351" s="140"/>
      <c r="AH351" s="140">
        <f t="shared" si="125"/>
        <v>3410970.05683306</v>
      </c>
      <c r="AI351" s="15">
        <f>AI339*(1+Comparison_Rate_of_Return)</f>
        <v>1638749.2739374952</v>
      </c>
      <c r="AJ351" s="9"/>
      <c r="AK351" s="9"/>
    </row>
    <row r="352" spans="2:37" ht="12" hidden="1" customHeight="1" outlineLevel="1" x14ac:dyDescent="0.25">
      <c r="B352" s="143" t="str">
        <f t="shared" si="126"/>
        <v/>
      </c>
      <c r="C352" s="16">
        <f t="shared" si="127"/>
        <v>2528949.0230558668</v>
      </c>
      <c r="D352" s="16">
        <f t="shared" si="135"/>
        <v>7047.8828294277437</v>
      </c>
      <c r="E352" s="16">
        <f t="shared" si="136"/>
        <v>-861.9986003664319</v>
      </c>
      <c r="F352" s="16">
        <f t="shared" si="137"/>
        <v>-421.92785137857646</v>
      </c>
      <c r="G352" s="16">
        <f t="shared" si="128"/>
        <v>0</v>
      </c>
      <c r="H352" s="16">
        <v>0</v>
      </c>
      <c r="I352" s="16">
        <v>0</v>
      </c>
      <c r="J352" s="16">
        <v>0</v>
      </c>
      <c r="K352" s="16">
        <f t="shared" si="129"/>
        <v>-2622.054407072922</v>
      </c>
      <c r="L352" s="16">
        <f t="shared" si="130"/>
        <v>1283.9264517450083</v>
      </c>
      <c r="M352" s="16">
        <f t="shared" si="118"/>
        <v>3905.9808588179303</v>
      </c>
      <c r="N352" s="16">
        <f t="shared" si="119"/>
        <v>3857.4916065478792</v>
      </c>
      <c r="O352" s="16">
        <f t="shared" si="120"/>
        <v>5763.9563776827354</v>
      </c>
      <c r="P352" s="16">
        <f t="shared" si="131"/>
        <v>82198.357816942385</v>
      </c>
      <c r="Q352" s="16">
        <f t="shared" si="121"/>
        <v>2446750.6652389243</v>
      </c>
      <c r="R352" s="16">
        <f t="shared" si="122"/>
        <v>3435.5637551693026</v>
      </c>
      <c r="S352" s="16" cm="1">
        <f t="array" ref="S352">Y352*tax_rate</f>
        <v>0</v>
      </c>
      <c r="T352" s="16">
        <f t="shared" si="132"/>
        <v>1138021.8690536004</v>
      </c>
      <c r="U352" s="16">
        <f t="shared" si="123"/>
        <v>3584772.5342925247</v>
      </c>
      <c r="V352" s="16"/>
      <c r="W352" s="144">
        <f t="shared" si="133"/>
        <v>0.13192405525459128</v>
      </c>
      <c r="X352" s="144" t="str">
        <f t="shared" si="117"/>
        <v/>
      </c>
      <c r="Y352" s="16"/>
      <c r="Z352" s="139">
        <f t="shared" si="124"/>
        <v>5763.9563776827354</v>
      </c>
      <c r="AA352" s="114">
        <v>325</v>
      </c>
      <c r="AB352" s="46">
        <f t="shared" si="134"/>
        <v>-526.8348585342568</v>
      </c>
      <c r="AC352" s="47"/>
      <c r="AD352" s="47">
        <f t="shared" si="138"/>
        <v>22820.446232248563</v>
      </c>
      <c r="AE352" s="86"/>
      <c r="AF352" s="140"/>
      <c r="AG352" s="140"/>
      <c r="AH352" s="140">
        <f t="shared" si="125"/>
        <v>3433035.5929091726</v>
      </c>
      <c r="AI352" s="15"/>
      <c r="AJ352" s="9"/>
      <c r="AK352" s="9"/>
    </row>
    <row r="353" spans="2:37" ht="12" hidden="1" customHeight="1" outlineLevel="1" x14ac:dyDescent="0.25">
      <c r="B353" s="143" t="str">
        <f t="shared" si="126"/>
        <v/>
      </c>
      <c r="C353" s="16">
        <f t="shared" si="127"/>
        <v>2541593.768171146</v>
      </c>
      <c r="D353" s="16">
        <f t="shared" si="135"/>
        <v>7047.8828294277437</v>
      </c>
      <c r="E353" s="16">
        <f t="shared" si="136"/>
        <v>-861.9986003664319</v>
      </c>
      <c r="F353" s="16">
        <f t="shared" si="137"/>
        <v>-421.92785137857646</v>
      </c>
      <c r="G353" s="16">
        <f t="shared" si="128"/>
        <v>0</v>
      </c>
      <c r="H353" s="16">
        <v>0</v>
      </c>
      <c r="I353" s="16">
        <v>0</v>
      </c>
      <c r="J353" s="16">
        <v>0</v>
      </c>
      <c r="K353" s="16">
        <f t="shared" si="129"/>
        <v>-2622.054407072922</v>
      </c>
      <c r="L353" s="16">
        <f t="shared" si="130"/>
        <v>1283.9264517450083</v>
      </c>
      <c r="M353" s="16">
        <f t="shared" si="118"/>
        <v>3905.9808588179303</v>
      </c>
      <c r="N353" s="16">
        <f t="shared" si="119"/>
        <v>3857.4916065478792</v>
      </c>
      <c r="O353" s="16">
        <f t="shared" si="120"/>
        <v>5763.9563776827354</v>
      </c>
      <c r="P353" s="16">
        <f t="shared" si="131"/>
        <v>80090.043146225333</v>
      </c>
      <c r="Q353" s="16">
        <f t="shared" si="121"/>
        <v>2461503.7250249209</v>
      </c>
      <c r="R353" s="16">
        <f t="shared" si="122"/>
        <v>3435.5637551693026</v>
      </c>
      <c r="S353" s="16" cm="1">
        <f t="array" ref="S353">Y353*tax_rate</f>
        <v>0</v>
      </c>
      <c r="T353" s="16">
        <f t="shared" si="132"/>
        <v>1146199.190596493</v>
      </c>
      <c r="U353" s="16">
        <f t="shared" si="123"/>
        <v>3607702.9156214138</v>
      </c>
      <c r="V353" s="16"/>
      <c r="W353" s="144">
        <f t="shared" si="133"/>
        <v>0.1317594727507008</v>
      </c>
      <c r="X353" s="144" t="str">
        <f t="shared" si="117"/>
        <v/>
      </c>
      <c r="Y353" s="16"/>
      <c r="Z353" s="139">
        <f t="shared" si="124"/>
        <v>5763.9563776827354</v>
      </c>
      <c r="AA353" s="114">
        <v>326</v>
      </c>
      <c r="AB353" s="46">
        <f t="shared" si="134"/>
        <v>-513.73973635588982</v>
      </c>
      <c r="AC353" s="47"/>
      <c r="AD353" s="47">
        <f t="shared" si="138"/>
        <v>22930.381328889169</v>
      </c>
      <c r="AE353" s="86"/>
      <c r="AF353" s="140"/>
      <c r="AG353" s="140"/>
      <c r="AH353" s="140">
        <f t="shared" si="125"/>
        <v>3455207.2895311452</v>
      </c>
      <c r="AI353" s="15"/>
      <c r="AJ353" s="9"/>
      <c r="AK353" s="9"/>
    </row>
    <row r="354" spans="2:37" ht="12" hidden="1" customHeight="1" outlineLevel="1" x14ac:dyDescent="0.25">
      <c r="B354" s="143" t="str">
        <f t="shared" si="126"/>
        <v/>
      </c>
      <c r="C354" s="16">
        <f t="shared" si="127"/>
        <v>2554301.7370120017</v>
      </c>
      <c r="D354" s="16">
        <f t="shared" si="135"/>
        <v>7047.8828294277437</v>
      </c>
      <c r="E354" s="16">
        <f t="shared" si="136"/>
        <v>-861.9986003664319</v>
      </c>
      <c r="F354" s="16">
        <f t="shared" si="137"/>
        <v>-421.92785137857646</v>
      </c>
      <c r="G354" s="16">
        <f t="shared" si="128"/>
        <v>0</v>
      </c>
      <c r="H354" s="16">
        <v>0</v>
      </c>
      <c r="I354" s="16">
        <v>0</v>
      </c>
      <c r="J354" s="16">
        <v>0</v>
      </c>
      <c r="K354" s="16">
        <f t="shared" si="129"/>
        <v>-2622.054407072922</v>
      </c>
      <c r="L354" s="16">
        <f t="shared" si="130"/>
        <v>1283.9264517450083</v>
      </c>
      <c r="M354" s="16">
        <f t="shared" si="118"/>
        <v>3905.9808588179303</v>
      </c>
      <c r="N354" s="16">
        <f t="shared" si="119"/>
        <v>3857.4916065478792</v>
      </c>
      <c r="O354" s="16">
        <f t="shared" si="120"/>
        <v>5763.9563776827354</v>
      </c>
      <c r="P354" s="16">
        <f t="shared" si="131"/>
        <v>77968.551508816279</v>
      </c>
      <c r="Q354" s="16">
        <f t="shared" si="121"/>
        <v>2476333.1855031853</v>
      </c>
      <c r="R354" s="16">
        <f t="shared" si="122"/>
        <v>3435.5637551693026</v>
      </c>
      <c r="S354" s="16" cm="1">
        <f t="array" ref="S354">Y354*tax_rate</f>
        <v>0</v>
      </c>
      <c r="T354" s="16">
        <f t="shared" si="132"/>
        <v>1154410.5843124809</v>
      </c>
      <c r="U354" s="16">
        <f t="shared" si="123"/>
        <v>3630743.7698156661</v>
      </c>
      <c r="V354" s="16"/>
      <c r="W354" s="144">
        <f t="shared" si="133"/>
        <v>0.13159550650217516</v>
      </c>
      <c r="X354" s="144" t="str">
        <f t="shared" si="117"/>
        <v/>
      </c>
      <c r="Y354" s="16"/>
      <c r="Z354" s="139">
        <f t="shared" si="124"/>
        <v>5763.9563776827354</v>
      </c>
      <c r="AA354" s="114">
        <v>327</v>
      </c>
      <c r="AB354" s="46">
        <f t="shared" si="134"/>
        <v>-500.56276966390828</v>
      </c>
      <c r="AC354" s="47"/>
      <c r="AD354" s="47">
        <f t="shared" si="138"/>
        <v>23040.854194252286</v>
      </c>
      <c r="AE354" s="86"/>
      <c r="AF354" s="140"/>
      <c r="AG354" s="140"/>
      <c r="AH354" s="140">
        <f t="shared" si="125"/>
        <v>3477485.6655949461</v>
      </c>
      <c r="AI354" s="15"/>
      <c r="AJ354" s="9"/>
      <c r="AK354" s="9"/>
    </row>
    <row r="355" spans="2:37" ht="12" hidden="1" customHeight="1" outlineLevel="1" x14ac:dyDescent="0.25">
      <c r="B355" s="143" t="str">
        <f t="shared" si="126"/>
        <v/>
      </c>
      <c r="C355" s="16">
        <f t="shared" si="127"/>
        <v>2567073.2456970615</v>
      </c>
      <c r="D355" s="16">
        <f t="shared" si="135"/>
        <v>7047.8828294277437</v>
      </c>
      <c r="E355" s="16">
        <f t="shared" si="136"/>
        <v>-861.9986003664319</v>
      </c>
      <c r="F355" s="16">
        <f t="shared" si="137"/>
        <v>-421.92785137857646</v>
      </c>
      <c r="G355" s="16">
        <f t="shared" si="128"/>
        <v>0</v>
      </c>
      <c r="H355" s="16">
        <v>0</v>
      </c>
      <c r="I355" s="16">
        <v>0</v>
      </c>
      <c r="J355" s="16">
        <v>0</v>
      </c>
      <c r="K355" s="16">
        <f t="shared" si="129"/>
        <v>-2622.054407072922</v>
      </c>
      <c r="L355" s="16">
        <f t="shared" si="130"/>
        <v>1283.9264517450083</v>
      </c>
      <c r="M355" s="16">
        <f t="shared" si="118"/>
        <v>3905.9808588179303</v>
      </c>
      <c r="N355" s="16">
        <f t="shared" si="119"/>
        <v>3857.4916065478792</v>
      </c>
      <c r="O355" s="16">
        <f t="shared" si="120"/>
        <v>5763.9563776827354</v>
      </c>
      <c r="P355" s="16">
        <f t="shared" si="131"/>
        <v>75833.800548673433</v>
      </c>
      <c r="Q355" s="16">
        <f t="shared" si="121"/>
        <v>2491239.4451483879</v>
      </c>
      <c r="R355" s="16">
        <f t="shared" si="122"/>
        <v>3435.5637551693026</v>
      </c>
      <c r="S355" s="16" cm="1">
        <f t="array" ref="S355">Y355*tax_rate</f>
        <v>0</v>
      </c>
      <c r="T355" s="16">
        <f t="shared" si="132"/>
        <v>1162656.1921689522</v>
      </c>
      <c r="U355" s="16">
        <f t="shared" si="123"/>
        <v>3653895.6373173399</v>
      </c>
      <c r="V355" s="16"/>
      <c r="W355" s="144">
        <f t="shared" si="133"/>
        <v>0.13143215418300977</v>
      </c>
      <c r="X355" s="144" t="str">
        <f t="shared" si="117"/>
        <v/>
      </c>
      <c r="Y355" s="16"/>
      <c r="Z355" s="139">
        <f t="shared" si="124"/>
        <v>5763.9563776827354</v>
      </c>
      <c r="AA355" s="114">
        <v>328</v>
      </c>
      <c r="AB355" s="46">
        <f t="shared" si="134"/>
        <v>-487.3034469301017</v>
      </c>
      <c r="AC355" s="47"/>
      <c r="AD355" s="47">
        <f t="shared" si="138"/>
        <v>23151.867501673754</v>
      </c>
      <c r="AE355" s="86"/>
      <c r="AF355" s="140"/>
      <c r="AG355" s="140"/>
      <c r="AH355" s="140">
        <f t="shared" si="125"/>
        <v>3499871.242575516</v>
      </c>
      <c r="AI355" s="15"/>
      <c r="AJ355" s="9"/>
      <c r="AK355" s="9"/>
    </row>
    <row r="356" spans="2:37" ht="12" hidden="1" customHeight="1" outlineLevel="1" x14ac:dyDescent="0.25">
      <c r="B356" s="143" t="str">
        <f t="shared" si="126"/>
        <v/>
      </c>
      <c r="C356" s="16">
        <f t="shared" si="127"/>
        <v>2579908.6119255465</v>
      </c>
      <c r="D356" s="16">
        <f t="shared" si="135"/>
        <v>7047.8828294277437</v>
      </c>
      <c r="E356" s="16">
        <f t="shared" si="136"/>
        <v>-861.9986003664319</v>
      </c>
      <c r="F356" s="16">
        <f t="shared" si="137"/>
        <v>-421.92785137857646</v>
      </c>
      <c r="G356" s="16">
        <f t="shared" si="128"/>
        <v>0</v>
      </c>
      <c r="H356" s="16">
        <v>0</v>
      </c>
      <c r="I356" s="16">
        <v>0</v>
      </c>
      <c r="J356" s="16">
        <v>0</v>
      </c>
      <c r="K356" s="16">
        <f t="shared" si="129"/>
        <v>-2622.054407072922</v>
      </c>
      <c r="L356" s="16">
        <f t="shared" si="130"/>
        <v>1283.9264517450083</v>
      </c>
      <c r="M356" s="16">
        <f t="shared" si="118"/>
        <v>3905.9808588179303</v>
      </c>
      <c r="N356" s="16">
        <f t="shared" si="119"/>
        <v>3857.4916065478792</v>
      </c>
      <c r="O356" s="16">
        <f t="shared" si="120"/>
        <v>5763.9563776827354</v>
      </c>
      <c r="P356" s="16">
        <f t="shared" si="131"/>
        <v>73685.707395029691</v>
      </c>
      <c r="Q356" s="16">
        <f t="shared" si="121"/>
        <v>2506222.9045305168</v>
      </c>
      <c r="R356" s="16">
        <f t="shared" si="122"/>
        <v>3435.5637551693026</v>
      </c>
      <c r="S356" s="16" cm="1">
        <f t="array" ref="S356">Y356*tax_rate</f>
        <v>0</v>
      </c>
      <c r="T356" s="16">
        <f t="shared" si="132"/>
        <v>1170936.1567248255</v>
      </c>
      <c r="U356" s="16">
        <f t="shared" si="123"/>
        <v>3677159.0612553423</v>
      </c>
      <c r="V356" s="16"/>
      <c r="W356" s="144">
        <f t="shared" si="133"/>
        <v>0.13126941345986856</v>
      </c>
      <c r="X356" s="144" t="str">
        <f t="shared" si="117"/>
        <v/>
      </c>
      <c r="Y356" s="16"/>
      <c r="Z356" s="139">
        <f t="shared" si="124"/>
        <v>5763.9563776827354</v>
      </c>
      <c r="AA356" s="114">
        <v>329</v>
      </c>
      <c r="AB356" s="46">
        <f t="shared" si="134"/>
        <v>-473.96125342920891</v>
      </c>
      <c r="AC356" s="47"/>
      <c r="AD356" s="47">
        <f t="shared" si="138"/>
        <v>23263.423938002437</v>
      </c>
      <c r="AE356" s="86"/>
      <c r="AF356" s="140"/>
      <c r="AG356" s="140"/>
      <c r="AH356" s="140">
        <f t="shared" si="125"/>
        <v>3522364.5445398097</v>
      </c>
      <c r="AI356" s="15"/>
      <c r="AJ356" s="9"/>
      <c r="AK356" s="9"/>
    </row>
    <row r="357" spans="2:37" ht="12" hidden="1" customHeight="1" outlineLevel="1" x14ac:dyDescent="0.25">
      <c r="B357" s="143" t="str">
        <f t="shared" si="126"/>
        <v/>
      </c>
      <c r="C357" s="16">
        <f t="shared" si="127"/>
        <v>2592808.1549851741</v>
      </c>
      <c r="D357" s="16">
        <f t="shared" si="135"/>
        <v>7047.8828294277437</v>
      </c>
      <c r="E357" s="16">
        <f t="shared" si="136"/>
        <v>-861.9986003664319</v>
      </c>
      <c r="F357" s="16">
        <f t="shared" si="137"/>
        <v>-421.92785137857646</v>
      </c>
      <c r="G357" s="16">
        <f t="shared" si="128"/>
        <v>0</v>
      </c>
      <c r="H357" s="16">
        <v>0</v>
      </c>
      <c r="I357" s="16">
        <v>0</v>
      </c>
      <c r="J357" s="16">
        <v>0</v>
      </c>
      <c r="K357" s="16">
        <f t="shared" si="129"/>
        <v>-2622.054407072922</v>
      </c>
      <c r="L357" s="16">
        <f t="shared" si="130"/>
        <v>1283.9264517450083</v>
      </c>
      <c r="M357" s="16">
        <f t="shared" si="118"/>
        <v>3905.9808588179303</v>
      </c>
      <c r="N357" s="16">
        <f t="shared" si="119"/>
        <v>3857.4916065478792</v>
      </c>
      <c r="O357" s="16">
        <f t="shared" si="120"/>
        <v>5763.9563776827354</v>
      </c>
      <c r="P357" s="16">
        <f t="shared" si="131"/>
        <v>71524.188659175677</v>
      </c>
      <c r="Q357" s="16">
        <f t="shared" si="121"/>
        <v>2521283.9663259983</v>
      </c>
      <c r="R357" s="16">
        <f t="shared" si="122"/>
        <v>3435.5637551693026</v>
      </c>
      <c r="S357" s="16" cm="1">
        <f t="array" ref="S357">Y357*tax_rate</f>
        <v>0</v>
      </c>
      <c r="T357" s="16">
        <f t="shared" si="132"/>
        <v>1179250.6211330148</v>
      </c>
      <c r="U357" s="16">
        <f t="shared" si="123"/>
        <v>3700534.5874590129</v>
      </c>
      <c r="V357" s="16"/>
      <c r="W357" s="144">
        <f t="shared" si="133"/>
        <v>0.13110728199269217</v>
      </c>
      <c r="X357" s="144" t="str">
        <f t="shared" si="117"/>
        <v/>
      </c>
      <c r="Y357" s="16"/>
      <c r="Z357" s="139">
        <f t="shared" si="124"/>
        <v>5763.9563776827354</v>
      </c>
      <c r="AA357" s="114">
        <v>330</v>
      </c>
      <c r="AB357" s="46">
        <f t="shared" si="134"/>
        <v>-460.53567121893553</v>
      </c>
      <c r="AC357" s="47"/>
      <c r="AD357" s="47">
        <f t="shared" si="138"/>
        <v>23375.526203670539</v>
      </c>
      <c r="AE357" s="86"/>
      <c r="AF357" s="140"/>
      <c r="AG357" s="140"/>
      <c r="AH357" s="140">
        <f t="shared" si="125"/>
        <v>3544966.0981599023</v>
      </c>
      <c r="AI357" s="15"/>
      <c r="AJ357" s="9"/>
      <c r="AK357" s="9"/>
    </row>
    <row r="358" spans="2:37" ht="12" hidden="1" customHeight="1" outlineLevel="1" x14ac:dyDescent="0.25">
      <c r="B358" s="143" t="str">
        <f t="shared" si="126"/>
        <v/>
      </c>
      <c r="C358" s="16">
        <f t="shared" si="127"/>
        <v>2605772.1957600997</v>
      </c>
      <c r="D358" s="16">
        <f t="shared" si="135"/>
        <v>7047.8828294277437</v>
      </c>
      <c r="E358" s="16">
        <f t="shared" si="136"/>
        <v>-861.9986003664319</v>
      </c>
      <c r="F358" s="16">
        <f t="shared" si="137"/>
        <v>-421.92785137857646</v>
      </c>
      <c r="G358" s="16">
        <f t="shared" si="128"/>
        <v>0</v>
      </c>
      <c r="H358" s="16">
        <v>0</v>
      </c>
      <c r="I358" s="16">
        <v>0</v>
      </c>
      <c r="J358" s="16">
        <v>0</v>
      </c>
      <c r="K358" s="16">
        <f t="shared" si="129"/>
        <v>-2622.054407072922</v>
      </c>
      <c r="L358" s="16">
        <f t="shared" si="130"/>
        <v>1283.9264517450083</v>
      </c>
      <c r="M358" s="16">
        <f t="shared" si="118"/>
        <v>3905.9808588179303</v>
      </c>
      <c r="N358" s="16">
        <f t="shared" si="119"/>
        <v>3857.4916065478792</v>
      </c>
      <c r="O358" s="16">
        <f t="shared" si="120"/>
        <v>5763.9563776827354</v>
      </c>
      <c r="P358" s="16">
        <f t="shared" si="131"/>
        <v>69349.160431222583</v>
      </c>
      <c r="Q358" s="16">
        <f t="shared" si="121"/>
        <v>2536423.0353288772</v>
      </c>
      <c r="R358" s="16">
        <f t="shared" si="122"/>
        <v>3435.5637551693026</v>
      </c>
      <c r="S358" s="16" cm="1">
        <f t="array" ref="S358">Y358*tax_rate</f>
        <v>0</v>
      </c>
      <c r="T358" s="16">
        <f t="shared" si="132"/>
        <v>1187599.729142905</v>
      </c>
      <c r="U358" s="16">
        <f t="shared" si="123"/>
        <v>3724022.7644717824</v>
      </c>
      <c r="V358" s="16"/>
      <c r="W358" s="144">
        <f t="shared" si="133"/>
        <v>0.13094575743528739</v>
      </c>
      <c r="X358" s="144" t="str">
        <f t="shared" si="117"/>
        <v/>
      </c>
      <c r="Y358" s="16"/>
      <c r="Z358" s="139">
        <f t="shared" si="124"/>
        <v>5763.9563776827354</v>
      </c>
      <c r="AA358" s="114">
        <v>331</v>
      </c>
      <c r="AB358" s="46">
        <f t="shared" si="134"/>
        <v>-447.02617911984794</v>
      </c>
      <c r="AC358" s="47"/>
      <c r="AD358" s="47">
        <f t="shared" si="138"/>
        <v>23488.177012769505</v>
      </c>
      <c r="AE358" s="86"/>
      <c r="AF358" s="140"/>
      <c r="AG358" s="140"/>
      <c r="AH358" s="140">
        <f t="shared" si="125"/>
        <v>3567676.4327261765</v>
      </c>
      <c r="AI358" s="15"/>
      <c r="AJ358" s="9"/>
      <c r="AK358" s="9"/>
    </row>
    <row r="359" spans="2:37" ht="12" hidden="1" customHeight="1" outlineLevel="1" x14ac:dyDescent="0.25">
      <c r="B359" s="143" t="str">
        <f t="shared" si="126"/>
        <v/>
      </c>
      <c r="C359" s="16">
        <f t="shared" si="127"/>
        <v>2618801.0567389</v>
      </c>
      <c r="D359" s="16">
        <f t="shared" si="135"/>
        <v>7047.8828294277437</v>
      </c>
      <c r="E359" s="16">
        <f t="shared" si="136"/>
        <v>-861.9986003664319</v>
      </c>
      <c r="F359" s="16">
        <f t="shared" si="137"/>
        <v>-421.92785137857646</v>
      </c>
      <c r="G359" s="16">
        <f t="shared" si="128"/>
        <v>0</v>
      </c>
      <c r="H359" s="16">
        <v>0</v>
      </c>
      <c r="I359" s="16">
        <v>0</v>
      </c>
      <c r="J359" s="16">
        <v>0</v>
      </c>
      <c r="K359" s="16">
        <f t="shared" si="129"/>
        <v>-2622.054407072922</v>
      </c>
      <c r="L359" s="16">
        <f t="shared" si="130"/>
        <v>1283.9264517450083</v>
      </c>
      <c r="M359" s="16">
        <f t="shared" si="118"/>
        <v>3905.9808588179303</v>
      </c>
      <c r="N359" s="16">
        <f t="shared" si="119"/>
        <v>3857.4916065478792</v>
      </c>
      <c r="O359" s="16">
        <f t="shared" si="120"/>
        <v>5763.9563776827354</v>
      </c>
      <c r="P359" s="16">
        <f t="shared" si="131"/>
        <v>67160.538276844774</v>
      </c>
      <c r="Q359" s="16">
        <f t="shared" si="121"/>
        <v>2551640.5184620554</v>
      </c>
      <c r="R359" s="16">
        <f t="shared" si="122"/>
        <v>3435.5637551693026</v>
      </c>
      <c r="S359" s="16" cm="1">
        <f t="array" ref="S359">Y359*tax_rate</f>
        <v>0</v>
      </c>
      <c r="T359" s="16">
        <f t="shared" si="132"/>
        <v>1195983.6251028364</v>
      </c>
      <c r="U359" s="16">
        <f t="shared" si="123"/>
        <v>3747624.143564892</v>
      </c>
      <c r="V359" s="16"/>
      <c r="W359" s="144">
        <f t="shared" si="133"/>
        <v>0.13078483743589581</v>
      </c>
      <c r="X359" s="144" t="str">
        <f t="shared" si="117"/>
        <v/>
      </c>
      <c r="Y359" s="16"/>
      <c r="Z359" s="139">
        <f t="shared" si="124"/>
        <v>5763.9563776827354</v>
      </c>
      <c r="AA359" s="114">
        <v>332</v>
      </c>
      <c r="AB359" s="46">
        <f t="shared" si="134"/>
        <v>-433.43225269514113</v>
      </c>
      <c r="AC359" s="47"/>
      <c r="AD359" s="47">
        <f t="shared" si="138"/>
        <v>23601.37909310963</v>
      </c>
      <c r="AE359" s="86"/>
      <c r="AF359" s="140"/>
      <c r="AG359" s="140"/>
      <c r="AH359" s="140">
        <f t="shared" si="125"/>
        <v>3590496.0801605582</v>
      </c>
      <c r="AI359" s="15"/>
      <c r="AJ359" s="9"/>
      <c r="AK359" s="9"/>
    </row>
    <row r="360" spans="2:37" ht="12" hidden="1" customHeight="1" outlineLevel="1" x14ac:dyDescent="0.25">
      <c r="B360" s="143" t="str">
        <f t="shared" si="126"/>
        <v/>
      </c>
      <c r="C360" s="16">
        <f t="shared" si="127"/>
        <v>2631895.0620225943</v>
      </c>
      <c r="D360" s="16">
        <f t="shared" si="135"/>
        <v>7047.8828294277437</v>
      </c>
      <c r="E360" s="16">
        <f t="shared" si="136"/>
        <v>-861.9986003664319</v>
      </c>
      <c r="F360" s="16">
        <f t="shared" si="137"/>
        <v>-421.92785137857646</v>
      </c>
      <c r="G360" s="16">
        <f t="shared" si="128"/>
        <v>0</v>
      </c>
      <c r="H360" s="16">
        <v>0</v>
      </c>
      <c r="I360" s="16">
        <v>0</v>
      </c>
      <c r="J360" s="16">
        <v>0</v>
      </c>
      <c r="K360" s="16">
        <f t="shared" si="129"/>
        <v>-2622.054407072922</v>
      </c>
      <c r="L360" s="16">
        <f t="shared" si="130"/>
        <v>1283.9264517450083</v>
      </c>
      <c r="M360" s="16">
        <f t="shared" si="118"/>
        <v>3905.9808588179303</v>
      </c>
      <c r="N360" s="16">
        <f t="shared" si="119"/>
        <v>3857.4916065478792</v>
      </c>
      <c r="O360" s="16">
        <f t="shared" si="120"/>
        <v>5763.9563776827354</v>
      </c>
      <c r="P360" s="16">
        <f t="shared" si="131"/>
        <v>64958.237234002103</v>
      </c>
      <c r="Q360" s="16">
        <f t="shared" si="121"/>
        <v>2566936.8247885923</v>
      </c>
      <c r="R360" s="16">
        <f t="shared" si="122"/>
        <v>3435.5637551693026</v>
      </c>
      <c r="S360" s="16" cm="1">
        <f t="array" ref="S360">Y360*tax_rate</f>
        <v>0</v>
      </c>
      <c r="T360" s="16">
        <f t="shared" si="132"/>
        <v>1204402.4539626008</v>
      </c>
      <c r="U360" s="16">
        <f t="shared" si="123"/>
        <v>3771339.2787511931</v>
      </c>
      <c r="V360" s="16"/>
      <c r="W360" s="144">
        <f t="shared" si="133"/>
        <v>0.13062451963774649</v>
      </c>
      <c r="X360" s="144" t="str">
        <f t="shared" ref="X360:X423" si="139">IF(V360=0,"",V360/U348)</f>
        <v/>
      </c>
      <c r="Y360" s="16"/>
      <c r="Z360" s="139">
        <f t="shared" si="124"/>
        <v>5763.9563776827354</v>
      </c>
      <c r="AA360" s="114">
        <v>333</v>
      </c>
      <c r="AB360" s="46">
        <f t="shared" si="134"/>
        <v>-419.75336423027983</v>
      </c>
      <c r="AC360" s="47"/>
      <c r="AD360" s="47">
        <f t="shared" si="138"/>
        <v>23715.135186301079</v>
      </c>
      <c r="AE360" s="86"/>
      <c r="AF360" s="140"/>
      <c r="AG360" s="140"/>
      <c r="AH360" s="140">
        <f t="shared" si="125"/>
        <v>3613425.5750298374</v>
      </c>
      <c r="AI360" s="15"/>
      <c r="AJ360" s="9"/>
      <c r="AK360" s="9"/>
    </row>
    <row r="361" spans="2:37" ht="12" hidden="1" customHeight="1" outlineLevel="1" x14ac:dyDescent="0.25">
      <c r="B361" s="143" t="str">
        <f t="shared" si="126"/>
        <v/>
      </c>
      <c r="C361" s="16">
        <f t="shared" si="127"/>
        <v>2645054.5373327071</v>
      </c>
      <c r="D361" s="16">
        <f t="shared" si="135"/>
        <v>7047.8828294277437</v>
      </c>
      <c r="E361" s="16">
        <f t="shared" si="136"/>
        <v>-861.9986003664319</v>
      </c>
      <c r="F361" s="16">
        <f t="shared" si="137"/>
        <v>-421.92785137857646</v>
      </c>
      <c r="G361" s="16">
        <f t="shared" si="128"/>
        <v>0</v>
      </c>
      <c r="H361" s="16">
        <v>0</v>
      </c>
      <c r="I361" s="16">
        <v>0</v>
      </c>
      <c r="J361" s="16">
        <v>0</v>
      </c>
      <c r="K361" s="16">
        <f t="shared" si="129"/>
        <v>-2622.054407072922</v>
      </c>
      <c r="L361" s="16">
        <f t="shared" si="130"/>
        <v>1283.9264517450083</v>
      </c>
      <c r="M361" s="16">
        <f t="shared" si="118"/>
        <v>3905.9808588179303</v>
      </c>
      <c r="N361" s="16">
        <f t="shared" si="119"/>
        <v>3857.4916065478792</v>
      </c>
      <c r="O361" s="16">
        <f t="shared" si="120"/>
        <v>5763.9563776827354</v>
      </c>
      <c r="P361" s="16">
        <f t="shared" si="131"/>
        <v>62742.171809641659</v>
      </c>
      <c r="Q361" s="16">
        <f t="shared" si="121"/>
        <v>2582312.3655230654</v>
      </c>
      <c r="R361" s="16">
        <f t="shared" si="122"/>
        <v>3435.5637551693026</v>
      </c>
      <c r="S361" s="16" cm="1">
        <f t="array" ref="S361">Y361*tax_rate</f>
        <v>0</v>
      </c>
      <c r="T361" s="16">
        <f t="shared" si="132"/>
        <v>1212856.3612759477</v>
      </c>
      <c r="U361" s="16">
        <f t="shared" si="123"/>
        <v>3795168.7267990131</v>
      </c>
      <c r="V361" s="16"/>
      <c r="W361" s="144">
        <f t="shared" si="133"/>
        <v>0.13046480167958879</v>
      </c>
      <c r="X361" s="144" t="str">
        <f t="shared" si="139"/>
        <v/>
      </c>
      <c r="Y361" s="16"/>
      <c r="Z361" s="139">
        <f t="shared" si="124"/>
        <v>5763.9563776827354</v>
      </c>
      <c r="AA361" s="114">
        <v>334</v>
      </c>
      <c r="AB361" s="46">
        <f t="shared" si="134"/>
        <v>-405.98898271251312</v>
      </c>
      <c r="AC361" s="47"/>
      <c r="AD361" s="47">
        <f t="shared" si="138"/>
        <v>23829.448047820013</v>
      </c>
      <c r="AE361" s="86"/>
      <c r="AF361" s="140"/>
      <c r="AG361" s="140"/>
      <c r="AH361" s="140">
        <f t="shared" si="125"/>
        <v>3636465.4545590505</v>
      </c>
      <c r="AI361" s="15"/>
      <c r="AJ361" s="9"/>
      <c r="AK361" s="9"/>
    </row>
    <row r="362" spans="2:37" ht="12" hidden="1" customHeight="1" outlineLevel="1" x14ac:dyDescent="0.25">
      <c r="B362" s="143" t="str">
        <f t="shared" si="126"/>
        <v/>
      </c>
      <c r="C362" s="16">
        <f t="shared" si="127"/>
        <v>2658279.8100193702</v>
      </c>
      <c r="D362" s="16">
        <f t="shared" si="135"/>
        <v>7047.8828294277437</v>
      </c>
      <c r="E362" s="16">
        <f t="shared" si="136"/>
        <v>-861.9986003664319</v>
      </c>
      <c r="F362" s="16">
        <f t="shared" si="137"/>
        <v>-421.92785137857646</v>
      </c>
      <c r="G362" s="16">
        <f t="shared" si="128"/>
        <v>0</v>
      </c>
      <c r="H362" s="16">
        <v>0</v>
      </c>
      <c r="I362" s="16">
        <v>0</v>
      </c>
      <c r="J362" s="16">
        <v>0</v>
      </c>
      <c r="K362" s="16">
        <f t="shared" si="129"/>
        <v>-2622.054407072922</v>
      </c>
      <c r="L362" s="16">
        <f t="shared" si="130"/>
        <v>1283.9264517450083</v>
      </c>
      <c r="M362" s="16">
        <f t="shared" si="118"/>
        <v>3905.9808588179303</v>
      </c>
      <c r="N362" s="16">
        <f t="shared" si="119"/>
        <v>3857.4916065478792</v>
      </c>
      <c r="O362" s="16">
        <f t="shared" si="120"/>
        <v>5763.9563776827354</v>
      </c>
      <c r="P362" s="16">
        <f t="shared" si="131"/>
        <v>60512.255976378969</v>
      </c>
      <c r="Q362" s="16">
        <f t="shared" si="121"/>
        <v>2597767.5540429913</v>
      </c>
      <c r="R362" s="16">
        <f t="shared" si="122"/>
        <v>3435.5637551693026</v>
      </c>
      <c r="S362" s="16" cm="1">
        <f t="array" ref="S362">Y362*tax_rate</f>
        <v>0</v>
      </c>
      <c r="T362" s="16">
        <f t="shared" si="132"/>
        <v>1221345.4932031</v>
      </c>
      <c r="U362" s="16">
        <f t="shared" si="123"/>
        <v>3819113.0472460911</v>
      </c>
      <c r="V362" s="16"/>
      <c r="W362" s="144">
        <f t="shared" si="133"/>
        <v>0.13030568119620831</v>
      </c>
      <c r="X362" s="144" t="str">
        <f t="shared" si="139"/>
        <v/>
      </c>
      <c r="Y362" s="16"/>
      <c r="Z362" s="139">
        <f t="shared" si="124"/>
        <v>5763.9563776827354</v>
      </c>
      <c r="AA362" s="114">
        <v>335</v>
      </c>
      <c r="AB362" s="46">
        <f t="shared" si="134"/>
        <v>-392.13857381026031</v>
      </c>
      <c r="AC362" s="47"/>
      <c r="AD362" s="47">
        <f t="shared" si="138"/>
        <v>23944.320447077975</v>
      </c>
      <c r="AE362" s="86"/>
      <c r="AF362" s="140"/>
      <c r="AG362" s="140"/>
      <c r="AH362" s="140">
        <f t="shared" si="125"/>
        <v>3659616.2586449287</v>
      </c>
      <c r="AI362" s="15"/>
      <c r="AJ362" s="9"/>
      <c r="AK362" s="9"/>
    </row>
    <row r="363" spans="2:37" ht="15" customHeight="1" collapsed="1" x14ac:dyDescent="0.25">
      <c r="B363" s="143">
        <f t="shared" si="126"/>
        <v>28</v>
      </c>
      <c r="C363" s="16">
        <f t="shared" si="127"/>
        <v>2671571.2090694667</v>
      </c>
      <c r="D363" s="16">
        <f t="shared" si="135"/>
        <v>7047.8828294277437</v>
      </c>
      <c r="E363" s="16">
        <f t="shared" si="136"/>
        <v>-861.9986003664319</v>
      </c>
      <c r="F363" s="16">
        <f t="shared" si="137"/>
        <v>-421.92785137857646</v>
      </c>
      <c r="G363" s="16">
        <f t="shared" si="128"/>
        <v>0</v>
      </c>
      <c r="H363" s="16">
        <v>0</v>
      </c>
      <c r="I363" s="16">
        <v>0</v>
      </c>
      <c r="J363" s="16">
        <v>0</v>
      </c>
      <c r="K363" s="16">
        <f t="shared" si="129"/>
        <v>-2622.054407072922</v>
      </c>
      <c r="L363" s="16">
        <f t="shared" si="130"/>
        <v>1283.9264517450083</v>
      </c>
      <c r="M363" s="16">
        <f t="shared" si="118"/>
        <v>3905.9808588179303</v>
      </c>
      <c r="N363" s="16">
        <f t="shared" si="119"/>
        <v>3857.4916065478792</v>
      </c>
      <c r="O363" s="16">
        <f t="shared" si="120"/>
        <v>5763.9563776827354</v>
      </c>
      <c r="P363" s="16">
        <f t="shared" si="131"/>
        <v>58268.40316915838</v>
      </c>
      <c r="Q363" s="16">
        <f t="shared" si="121"/>
        <v>2613302.8059003083</v>
      </c>
      <c r="R363" s="16">
        <f t="shared" si="122"/>
        <v>3435.5637551693026</v>
      </c>
      <c r="S363" s="16" cm="1">
        <f t="array" ref="S363">Y363*tax_rate</f>
        <v>6672.3616164489767</v>
      </c>
      <c r="T363" s="16">
        <f t="shared" si="132"/>
        <v>1236542.3581297311</v>
      </c>
      <c r="U363" s="16">
        <f t="shared" si="123"/>
        <v>3849845.1640300397</v>
      </c>
      <c r="V363" s="16">
        <f>U363-U351</f>
        <v>287893.07596976357</v>
      </c>
      <c r="W363" s="144">
        <f t="shared" si="133"/>
        <v>0.13021717279511855</v>
      </c>
      <c r="X363" s="144">
        <f t="shared" si="139"/>
        <v>8.0824522299102794E-2</v>
      </c>
      <c r="Y363" s="145">
        <f>(((Sale_Price*0.8)+Improvement_Costs+Closing_Costs_Total)/27.5)+(-E363*12)+-AC363</f>
        <v>30328.916438404438</v>
      </c>
      <c r="Z363" s="139">
        <f t="shared" si="124"/>
        <v>5763.9563776827354</v>
      </c>
      <c r="AA363" s="114">
        <v>336</v>
      </c>
      <c r="AB363" s="46">
        <f t="shared" si="134"/>
        <v>-378.20159985236853</v>
      </c>
      <c r="AC363" s="46">
        <f>SUM(AB352:AB363)</f>
        <v>-5439.478688552711</v>
      </c>
      <c r="AD363" s="47">
        <f t="shared" si="138"/>
        <v>30732.116783948615</v>
      </c>
      <c r="AE363" s="86">
        <f>D363*12</f>
        <v>84574.59395313292</v>
      </c>
      <c r="AF363" s="140"/>
      <c r="AG363" s="140"/>
      <c r="AH363" s="140">
        <f t="shared" si="125"/>
        <v>3689550.8914858717</v>
      </c>
      <c r="AI363" s="15">
        <f>AI351*(1+Comparison_Rate_of_Return)</f>
        <v>1802624.2013312448</v>
      </c>
      <c r="AJ363" s="9"/>
      <c r="AK363" s="9"/>
    </row>
    <row r="364" spans="2:37" ht="12" hidden="1" customHeight="1" outlineLevel="1" x14ac:dyDescent="0.25">
      <c r="B364" s="143" t="str">
        <f t="shared" si="126"/>
        <v/>
      </c>
      <c r="C364" s="15">
        <f t="shared" si="127"/>
        <v>2684929.0651148139</v>
      </c>
      <c r="D364" s="15">
        <f t="shared" si="135"/>
        <v>7294.5587284577141</v>
      </c>
      <c r="E364" s="15">
        <f t="shared" si="136"/>
        <v>-892.168551379257</v>
      </c>
      <c r="F364" s="15">
        <f t="shared" si="137"/>
        <v>-436.6953261768266</v>
      </c>
      <c r="G364" s="15">
        <f t="shared" si="128"/>
        <v>0</v>
      </c>
      <c r="H364" s="15">
        <v>0</v>
      </c>
      <c r="I364" s="15">
        <v>0</v>
      </c>
      <c r="J364" s="15">
        <v>0</v>
      </c>
      <c r="K364" s="15">
        <f t="shared" si="129"/>
        <v>-2622.054407072922</v>
      </c>
      <c r="L364" s="15">
        <f t="shared" si="130"/>
        <v>1328.8638775560835</v>
      </c>
      <c r="M364" s="15">
        <f t="shared" si="118"/>
        <v>3950.9182846290055</v>
      </c>
      <c r="N364" s="15">
        <f t="shared" si="119"/>
        <v>4084.2757170246068</v>
      </c>
      <c r="O364" s="15">
        <f t="shared" si="120"/>
        <v>5965.6948509016302</v>
      </c>
      <c r="P364" s="15">
        <f t="shared" si="131"/>
        <v>56010.526281892664</v>
      </c>
      <c r="Q364" s="15">
        <f t="shared" si="121"/>
        <v>2628918.5388329211</v>
      </c>
      <c r="R364" s="15">
        <f t="shared" si="122"/>
        <v>3647.5803908477801</v>
      </c>
      <c r="S364" s="15" cm="1">
        <f t="array" ref="S364">Y364*tax_rate</f>
        <v>0</v>
      </c>
      <c r="T364" s="15">
        <f t="shared" si="132"/>
        <v>1245342.1983461194</v>
      </c>
      <c r="U364" s="15">
        <f t="shared" si="123"/>
        <v>3874260.7371790404</v>
      </c>
      <c r="V364" s="15"/>
      <c r="W364" s="144">
        <f t="shared" si="133"/>
        <v>0.13006107757157306</v>
      </c>
      <c r="X364" s="144" t="str">
        <f t="shared" si="139"/>
        <v/>
      </c>
      <c r="Y364" s="146"/>
      <c r="Z364" s="139">
        <f t="shared" si="124"/>
        <v>5965.6948509016302</v>
      </c>
      <c r="AA364" s="114">
        <v>337</v>
      </c>
      <c r="AB364" s="46">
        <f t="shared" si="134"/>
        <v>-364.17751980723983</v>
      </c>
      <c r="AC364" s="47"/>
      <c r="AD364" s="47">
        <f t="shared" si="138"/>
        <v>24415.57314900076</v>
      </c>
      <c r="AE364" s="86"/>
      <c r="AF364" s="140"/>
      <c r="AG364" s="140"/>
      <c r="AH364" s="140">
        <f t="shared" si="125"/>
        <v>3713164.9932721518</v>
      </c>
      <c r="AI364" s="15"/>
      <c r="AJ364" s="9"/>
      <c r="AK364" s="9"/>
    </row>
    <row r="365" spans="2:37" ht="12" hidden="1" customHeight="1" outlineLevel="1" x14ac:dyDescent="0.25">
      <c r="B365" s="143" t="str">
        <f t="shared" si="126"/>
        <v/>
      </c>
      <c r="C365" s="15">
        <f t="shared" si="127"/>
        <v>2698353.7104403875</v>
      </c>
      <c r="D365" s="15">
        <f t="shared" si="135"/>
        <v>7294.5587284577141</v>
      </c>
      <c r="E365" s="15">
        <f t="shared" si="136"/>
        <v>-892.168551379257</v>
      </c>
      <c r="F365" s="15">
        <f t="shared" si="137"/>
        <v>-436.6953261768266</v>
      </c>
      <c r="G365" s="15">
        <f t="shared" si="128"/>
        <v>0</v>
      </c>
      <c r="H365" s="15">
        <v>0</v>
      </c>
      <c r="I365" s="15">
        <v>0</v>
      </c>
      <c r="J365" s="15">
        <v>0</v>
      </c>
      <c r="K365" s="15">
        <f t="shared" si="129"/>
        <v>-2622.054407072922</v>
      </c>
      <c r="L365" s="15">
        <f t="shared" si="130"/>
        <v>1328.8638775560835</v>
      </c>
      <c r="M365" s="15">
        <f t="shared" si="118"/>
        <v>3950.9182846290055</v>
      </c>
      <c r="N365" s="15">
        <f t="shared" si="119"/>
        <v>4084.2757170246068</v>
      </c>
      <c r="O365" s="15">
        <f t="shared" si="120"/>
        <v>5965.6948509016302</v>
      </c>
      <c r="P365" s="15">
        <f t="shared" si="131"/>
        <v>53738.537664081538</v>
      </c>
      <c r="Q365" s="15">
        <f t="shared" si="121"/>
        <v>2644615.172776306</v>
      </c>
      <c r="R365" s="15">
        <f t="shared" si="122"/>
        <v>3647.5803908477801</v>
      </c>
      <c r="S365" s="15" cm="1">
        <f t="array" ref="S365">Y365*tax_rate</f>
        <v>0</v>
      </c>
      <c r="T365" s="15">
        <f t="shared" si="132"/>
        <v>1254178.7045634093</v>
      </c>
      <c r="U365" s="15">
        <f t="shared" si="123"/>
        <v>3898793.8773397151</v>
      </c>
      <c r="V365" s="15"/>
      <c r="W365" s="144">
        <f t="shared" si="133"/>
        <v>0.12990554382578179</v>
      </c>
      <c r="X365" s="144" t="str">
        <f t="shared" si="139"/>
        <v/>
      </c>
      <c r="Y365" s="146"/>
      <c r="Z365" s="139">
        <f t="shared" si="124"/>
        <v>5965.6948509016302</v>
      </c>
      <c r="AA365" s="114">
        <v>338</v>
      </c>
      <c r="AB365" s="46">
        <f t="shared" si="134"/>
        <v>-350.06578926182914</v>
      </c>
      <c r="AC365" s="47"/>
      <c r="AD365" s="47">
        <f t="shared" si="138"/>
        <v>24533.140160674695</v>
      </c>
      <c r="AE365" s="86"/>
      <c r="AF365" s="140"/>
      <c r="AG365" s="140"/>
      <c r="AH365" s="140">
        <f t="shared" si="125"/>
        <v>3736892.6547132917</v>
      </c>
      <c r="AI365" s="15"/>
      <c r="AJ365" s="9"/>
      <c r="AK365" s="9"/>
    </row>
    <row r="366" spans="2:37" ht="12" hidden="1" customHeight="1" outlineLevel="1" x14ac:dyDescent="0.25">
      <c r="B366" s="143" t="str">
        <f t="shared" si="126"/>
        <v/>
      </c>
      <c r="C366" s="15">
        <f t="shared" si="127"/>
        <v>2711845.4789925893</v>
      </c>
      <c r="D366" s="15">
        <f t="shared" si="135"/>
        <v>7294.5587284577141</v>
      </c>
      <c r="E366" s="15">
        <f t="shared" si="136"/>
        <v>-892.168551379257</v>
      </c>
      <c r="F366" s="15">
        <f t="shared" si="137"/>
        <v>-436.6953261768266</v>
      </c>
      <c r="G366" s="15">
        <f t="shared" si="128"/>
        <v>0</v>
      </c>
      <c r="H366" s="15">
        <v>0</v>
      </c>
      <c r="I366" s="15">
        <v>0</v>
      </c>
      <c r="J366" s="15">
        <v>0</v>
      </c>
      <c r="K366" s="15">
        <f t="shared" si="129"/>
        <v>-2622.054407072922</v>
      </c>
      <c r="L366" s="15">
        <f t="shared" si="130"/>
        <v>1328.8638775560835</v>
      </c>
      <c r="M366" s="15">
        <f t="shared" si="118"/>
        <v>3950.9182846290055</v>
      </c>
      <c r="N366" s="15">
        <f t="shared" si="119"/>
        <v>4084.2757170246068</v>
      </c>
      <c r="O366" s="15">
        <f t="shared" si="120"/>
        <v>5965.6948509016302</v>
      </c>
      <c r="P366" s="15">
        <f t="shared" si="131"/>
        <v>51452.349117409096</v>
      </c>
      <c r="Q366" s="15">
        <f t="shared" si="121"/>
        <v>2660393.1298751803</v>
      </c>
      <c r="R366" s="15">
        <f t="shared" si="122"/>
        <v>3647.5803908477801</v>
      </c>
      <c r="S366" s="15" cm="1">
        <f t="array" ref="S366">Y366*tax_rate</f>
        <v>0</v>
      </c>
      <c r="T366" s="15">
        <f t="shared" si="132"/>
        <v>1263052.0295566046</v>
      </c>
      <c r="U366" s="15">
        <f t="shared" si="123"/>
        <v>3923445.1594317849</v>
      </c>
      <c r="V366" s="15"/>
      <c r="W366" s="144">
        <f t="shared" si="133"/>
        <v>0.12975056962290005</v>
      </c>
      <c r="X366" s="144" t="str">
        <f t="shared" si="139"/>
        <v/>
      </c>
      <c r="Y366" s="146"/>
      <c r="Z366" s="139">
        <f t="shared" si="124"/>
        <v>5965.6948509016302</v>
      </c>
      <c r="AA366" s="114">
        <v>339</v>
      </c>
      <c r="AB366" s="46">
        <f t="shared" si="134"/>
        <v>-335.86586040050958</v>
      </c>
      <c r="AC366" s="47"/>
      <c r="AD366" s="47">
        <f t="shared" si="138"/>
        <v>24651.282092069741</v>
      </c>
      <c r="AE366" s="86"/>
      <c r="AF366" s="140"/>
      <c r="AG366" s="140"/>
      <c r="AH366" s="140">
        <f t="shared" si="125"/>
        <v>3760734.4306922294</v>
      </c>
      <c r="AI366" s="15"/>
      <c r="AJ366" s="9"/>
      <c r="AK366" s="9"/>
    </row>
    <row r="367" spans="2:37" ht="12" hidden="1" customHeight="1" outlineLevel="1" x14ac:dyDescent="0.25">
      <c r="B367" s="143" t="str">
        <f t="shared" si="126"/>
        <v/>
      </c>
      <c r="C367" s="15">
        <f t="shared" si="127"/>
        <v>2725404.706387552</v>
      </c>
      <c r="D367" s="15">
        <f t="shared" si="135"/>
        <v>7294.5587284577141</v>
      </c>
      <c r="E367" s="15">
        <f t="shared" si="136"/>
        <v>-892.168551379257</v>
      </c>
      <c r="F367" s="15">
        <f t="shared" si="137"/>
        <v>-436.6953261768266</v>
      </c>
      <c r="G367" s="15">
        <f t="shared" si="128"/>
        <v>0</v>
      </c>
      <c r="H367" s="15">
        <v>0</v>
      </c>
      <c r="I367" s="15">
        <v>0</v>
      </c>
      <c r="J367" s="15">
        <v>0</v>
      </c>
      <c r="K367" s="15">
        <f t="shared" si="129"/>
        <v>-2622.054407072922</v>
      </c>
      <c r="L367" s="15">
        <f t="shared" si="130"/>
        <v>1328.8638775560835</v>
      </c>
      <c r="M367" s="15">
        <f t="shared" si="118"/>
        <v>3950.9182846290055</v>
      </c>
      <c r="N367" s="15">
        <f t="shared" si="119"/>
        <v>4084.2757170246068</v>
      </c>
      <c r="O367" s="15">
        <f t="shared" si="120"/>
        <v>5965.6948509016302</v>
      </c>
      <c r="P367" s="15">
        <f t="shared" si="131"/>
        <v>49151.871892319949</v>
      </c>
      <c r="Q367" s="15">
        <f t="shared" si="121"/>
        <v>2676252.834495232</v>
      </c>
      <c r="R367" s="15">
        <f t="shared" si="122"/>
        <v>3647.5803908477801</v>
      </c>
      <c r="S367" s="15" cm="1">
        <f t="array" ref="S367">Y367*tax_rate</f>
        <v>0</v>
      </c>
      <c r="T367" s="15">
        <f t="shared" si="132"/>
        <v>1271962.3267372714</v>
      </c>
      <c r="U367" s="15">
        <f t="shared" si="123"/>
        <v>3948215.1612325031</v>
      </c>
      <c r="V367" s="15"/>
      <c r="W367" s="144">
        <f t="shared" si="133"/>
        <v>0.12959615301878377</v>
      </c>
      <c r="X367" s="144" t="str">
        <f t="shared" si="139"/>
        <v/>
      </c>
      <c r="Y367" s="146"/>
      <c r="Z367" s="139">
        <f t="shared" si="124"/>
        <v>5965.6948509016302</v>
      </c>
      <c r="AA367" s="114">
        <v>340</v>
      </c>
      <c r="AB367" s="46">
        <f t="shared" si="134"/>
        <v>-321.57718198380684</v>
      </c>
      <c r="AC367" s="47"/>
      <c r="AD367" s="47">
        <f t="shared" si="138"/>
        <v>24770.001800718252</v>
      </c>
      <c r="AE367" s="86"/>
      <c r="AF367" s="140"/>
      <c r="AG367" s="140"/>
      <c r="AH367" s="140">
        <f t="shared" si="125"/>
        <v>3784690.8788492503</v>
      </c>
      <c r="AI367" s="15"/>
      <c r="AJ367" s="9"/>
      <c r="AK367" s="9"/>
    </row>
    <row r="368" spans="2:37" ht="12" hidden="1" customHeight="1" outlineLevel="1" x14ac:dyDescent="0.25">
      <c r="B368" s="143" t="str">
        <f t="shared" si="126"/>
        <v/>
      </c>
      <c r="C368" s="15">
        <f t="shared" si="127"/>
        <v>2739031.7299194895</v>
      </c>
      <c r="D368" s="15">
        <f t="shared" si="135"/>
        <v>7294.5587284577141</v>
      </c>
      <c r="E368" s="15">
        <f t="shared" si="136"/>
        <v>-892.168551379257</v>
      </c>
      <c r="F368" s="15">
        <f t="shared" si="137"/>
        <v>-436.6953261768266</v>
      </c>
      <c r="G368" s="15">
        <f t="shared" si="128"/>
        <v>0</v>
      </c>
      <c r="H368" s="15">
        <v>0</v>
      </c>
      <c r="I368" s="15">
        <v>0</v>
      </c>
      <c r="J368" s="15">
        <v>0</v>
      </c>
      <c r="K368" s="15">
        <f t="shared" si="129"/>
        <v>-2622.054407072922</v>
      </c>
      <c r="L368" s="15">
        <f t="shared" si="130"/>
        <v>1328.8638775560835</v>
      </c>
      <c r="M368" s="15">
        <f t="shared" si="118"/>
        <v>3950.9182846290055</v>
      </c>
      <c r="N368" s="15">
        <f t="shared" si="119"/>
        <v>4084.2757170246068</v>
      </c>
      <c r="O368" s="15">
        <f t="shared" si="120"/>
        <v>5965.6948509016302</v>
      </c>
      <c r="P368" s="15">
        <f t="shared" si="131"/>
        <v>46837.016684573995</v>
      </c>
      <c r="Q368" s="15">
        <f t="shared" si="121"/>
        <v>2692194.7132349154</v>
      </c>
      <c r="R368" s="15">
        <f t="shared" si="122"/>
        <v>3647.5803908477801</v>
      </c>
      <c r="S368" s="15" cm="1">
        <f t="array" ref="S368">Y368*tax_rate</f>
        <v>0</v>
      </c>
      <c r="T368" s="15">
        <f t="shared" si="132"/>
        <v>1280909.7501561912</v>
      </c>
      <c r="U368" s="15">
        <f t="shared" si="123"/>
        <v>3973104.4633911066</v>
      </c>
      <c r="V368" s="15"/>
      <c r="W368" s="144">
        <f t="shared" si="133"/>
        <v>0.12944229206056618</v>
      </c>
      <c r="X368" s="144" t="str">
        <f t="shared" si="139"/>
        <v/>
      </c>
      <c r="Y368" s="146"/>
      <c r="Z368" s="139">
        <f t="shared" si="124"/>
        <v>5965.6948509016302</v>
      </c>
      <c r="AA368" s="114">
        <v>341</v>
      </c>
      <c r="AB368" s="46">
        <f t="shared" si="134"/>
        <v>-307.19919932699963</v>
      </c>
      <c r="AC368" s="47"/>
      <c r="AD368" s="47">
        <f t="shared" si="138"/>
        <v>24889.302158603445</v>
      </c>
      <c r="AE368" s="86"/>
      <c r="AF368" s="140"/>
      <c r="AG368" s="140"/>
      <c r="AH368" s="140">
        <f t="shared" si="125"/>
        <v>3808762.5595959374</v>
      </c>
      <c r="AI368" s="15"/>
      <c r="AJ368" s="9"/>
      <c r="AK368" s="9"/>
    </row>
    <row r="369" spans="2:37" ht="12" hidden="1" customHeight="1" outlineLevel="1" x14ac:dyDescent="0.25">
      <c r="B369" s="143" t="str">
        <f t="shared" si="126"/>
        <v/>
      </c>
      <c r="C369" s="15">
        <f t="shared" si="127"/>
        <v>2752726.8885690868</v>
      </c>
      <c r="D369" s="15">
        <f t="shared" si="135"/>
        <v>7294.5587284577141</v>
      </c>
      <c r="E369" s="15">
        <f t="shared" si="136"/>
        <v>-892.168551379257</v>
      </c>
      <c r="F369" s="15">
        <f t="shared" si="137"/>
        <v>-436.6953261768266</v>
      </c>
      <c r="G369" s="15">
        <f t="shared" si="128"/>
        <v>0</v>
      </c>
      <c r="H369" s="15">
        <v>0</v>
      </c>
      <c r="I369" s="15">
        <v>0</v>
      </c>
      <c r="J369" s="15">
        <v>0</v>
      </c>
      <c r="K369" s="15">
        <f t="shared" si="129"/>
        <v>-2622.054407072922</v>
      </c>
      <c r="L369" s="15">
        <f t="shared" si="130"/>
        <v>1328.8638775560835</v>
      </c>
      <c r="M369" s="15">
        <f t="shared" si="118"/>
        <v>3950.9182846290055</v>
      </c>
      <c r="N369" s="15">
        <f t="shared" si="119"/>
        <v>4084.2757170246068</v>
      </c>
      <c r="O369" s="15">
        <f t="shared" si="120"/>
        <v>5965.6948509016302</v>
      </c>
      <c r="P369" s="15">
        <f t="shared" si="131"/>
        <v>44507.693631779628</v>
      </c>
      <c r="Q369" s="15">
        <f t="shared" si="121"/>
        <v>2708219.1949373074</v>
      </c>
      <c r="R369" s="15">
        <f t="shared" si="122"/>
        <v>3647.5803908477801</v>
      </c>
      <c r="S369" s="15" cm="1">
        <f t="array" ref="S369">Y369*tax_rate</f>
        <v>0</v>
      </c>
      <c r="T369" s="15">
        <f t="shared" si="132"/>
        <v>1289894.4545060231</v>
      </c>
      <c r="U369" s="15">
        <f t="shared" si="123"/>
        <v>3998113.6494433302</v>
      </c>
      <c r="V369" s="15"/>
      <c r="W369" s="144">
        <f t="shared" si="133"/>
        <v>0.12928898478721526</v>
      </c>
      <c r="X369" s="144" t="str">
        <f t="shared" si="139"/>
        <v/>
      </c>
      <c r="Y369" s="146"/>
      <c r="Z369" s="139">
        <f t="shared" si="124"/>
        <v>5965.6948509016302</v>
      </c>
      <c r="AA369" s="114">
        <v>342</v>
      </c>
      <c r="AB369" s="46">
        <f t="shared" si="134"/>
        <v>-292.73135427858745</v>
      </c>
      <c r="AC369" s="47"/>
      <c r="AD369" s="47">
        <f t="shared" si="138"/>
        <v>25009.186052223668</v>
      </c>
      <c r="AE369" s="86"/>
      <c r="AF369" s="140"/>
      <c r="AG369" s="140"/>
      <c r="AH369" s="140">
        <f t="shared" si="125"/>
        <v>3832950.036129185</v>
      </c>
      <c r="AI369" s="15"/>
      <c r="AJ369" s="9"/>
      <c r="AK369" s="9"/>
    </row>
    <row r="370" spans="2:37" ht="12" hidden="1" customHeight="1" outlineLevel="1" x14ac:dyDescent="0.25">
      <c r="B370" s="143" t="str">
        <f t="shared" si="126"/>
        <v/>
      </c>
      <c r="C370" s="15">
        <f t="shared" si="127"/>
        <v>2766490.5230119321</v>
      </c>
      <c r="D370" s="15">
        <f t="shared" si="135"/>
        <v>7294.5587284577141</v>
      </c>
      <c r="E370" s="15">
        <f t="shared" si="136"/>
        <v>-892.168551379257</v>
      </c>
      <c r="F370" s="15">
        <f t="shared" si="137"/>
        <v>-436.6953261768266</v>
      </c>
      <c r="G370" s="15">
        <f t="shared" si="128"/>
        <v>0</v>
      </c>
      <c r="H370" s="15">
        <v>0</v>
      </c>
      <c r="I370" s="15">
        <v>0</v>
      </c>
      <c r="J370" s="15">
        <v>0</v>
      </c>
      <c r="K370" s="15">
        <f t="shared" si="129"/>
        <v>-2622.054407072922</v>
      </c>
      <c r="L370" s="15">
        <f t="shared" si="130"/>
        <v>1328.8638775560835</v>
      </c>
      <c r="M370" s="15">
        <f t="shared" si="118"/>
        <v>3950.9182846290055</v>
      </c>
      <c r="N370" s="15">
        <f t="shared" si="119"/>
        <v>4084.2757170246068</v>
      </c>
      <c r="O370" s="15">
        <f t="shared" si="120"/>
        <v>5965.6948509016302</v>
      </c>
      <c r="P370" s="15">
        <f t="shared" si="131"/>
        <v>42163.812309905297</v>
      </c>
      <c r="Q370" s="15">
        <f t="shared" si="121"/>
        <v>2724326.7107020267</v>
      </c>
      <c r="R370" s="15">
        <f t="shared" si="122"/>
        <v>3647.5803908477801</v>
      </c>
      <c r="S370" s="15" cm="1">
        <f t="array" ref="S370">Y370*tax_rate</f>
        <v>0</v>
      </c>
      <c r="T370" s="15">
        <f t="shared" si="132"/>
        <v>1298916.5951239793</v>
      </c>
      <c r="U370" s="15">
        <f t="shared" si="123"/>
        <v>4023243.305826006</v>
      </c>
      <c r="V370" s="15"/>
      <c r="W370" s="144">
        <f t="shared" si="133"/>
        <v>0.12913622923007559</v>
      </c>
      <c r="X370" s="144" t="str">
        <f t="shared" si="139"/>
        <v/>
      </c>
      <c r="Y370" s="146"/>
      <c r="Z370" s="139">
        <f t="shared" si="124"/>
        <v>5965.6948509016302</v>
      </c>
      <c r="AA370" s="114">
        <v>343</v>
      </c>
      <c r="AB370" s="46">
        <f t="shared" si="134"/>
        <v>-278.17308519862263</v>
      </c>
      <c r="AC370" s="47"/>
      <c r="AD370" s="47">
        <f t="shared" si="138"/>
        <v>25129.656382675748</v>
      </c>
      <c r="AE370" s="86"/>
      <c r="AF370" s="140"/>
      <c r="AG370" s="140"/>
      <c r="AH370" s="140">
        <f t="shared" si="125"/>
        <v>3857253.8744452903</v>
      </c>
      <c r="AI370" s="15"/>
      <c r="AJ370" s="9"/>
      <c r="AK370" s="9"/>
    </row>
    <row r="371" spans="2:37" ht="12" hidden="1" customHeight="1" outlineLevel="1" x14ac:dyDescent="0.25">
      <c r="B371" s="143" t="str">
        <f t="shared" si="126"/>
        <v/>
      </c>
      <c r="C371" s="15">
        <f t="shared" si="127"/>
        <v>2780322.9756269916</v>
      </c>
      <c r="D371" s="15">
        <f t="shared" si="135"/>
        <v>7294.5587284577141</v>
      </c>
      <c r="E371" s="15">
        <f t="shared" si="136"/>
        <v>-892.168551379257</v>
      </c>
      <c r="F371" s="15">
        <f t="shared" si="137"/>
        <v>-436.6953261768266</v>
      </c>
      <c r="G371" s="15">
        <f t="shared" si="128"/>
        <v>0</v>
      </c>
      <c r="H371" s="15">
        <v>0</v>
      </c>
      <c r="I371" s="15">
        <v>0</v>
      </c>
      <c r="J371" s="15">
        <v>0</v>
      </c>
      <c r="K371" s="15">
        <f t="shared" si="129"/>
        <v>-2622.054407072922</v>
      </c>
      <c r="L371" s="15">
        <f t="shared" si="130"/>
        <v>1328.8638775560835</v>
      </c>
      <c r="M371" s="15">
        <f t="shared" si="118"/>
        <v>3950.9182846290055</v>
      </c>
      <c r="N371" s="15">
        <f t="shared" si="119"/>
        <v>4084.2757170246068</v>
      </c>
      <c r="O371" s="15">
        <f t="shared" si="120"/>
        <v>5965.6948509016302</v>
      </c>
      <c r="P371" s="15">
        <f t="shared" si="131"/>
        <v>39805.281729769253</v>
      </c>
      <c r="Q371" s="15">
        <f t="shared" si="121"/>
        <v>2740517.6938972222</v>
      </c>
      <c r="R371" s="15">
        <f t="shared" si="122"/>
        <v>3647.5803908477801</v>
      </c>
      <c r="S371" s="15" cm="1">
        <f t="array" ref="S371">Y371*tax_rate</f>
        <v>0</v>
      </c>
      <c r="T371" s="15">
        <f t="shared" si="132"/>
        <v>1307976.3279945103</v>
      </c>
      <c r="U371" s="15">
        <f t="shared" si="123"/>
        <v>4048494.0218917327</v>
      </c>
      <c r="V371" s="15"/>
      <c r="W371" s="144">
        <f t="shared" si="133"/>
        <v>0.12898402341339221</v>
      </c>
      <c r="X371" s="144" t="str">
        <f t="shared" si="139"/>
        <v/>
      </c>
      <c r="Y371" s="146"/>
      <c r="Z371" s="139">
        <f t="shared" si="124"/>
        <v>5965.6948509016302</v>
      </c>
      <c r="AA371" s="114">
        <v>344</v>
      </c>
      <c r="AB371" s="46">
        <f t="shared" si="134"/>
        <v>-263.52382693690811</v>
      </c>
      <c r="AC371" s="47"/>
      <c r="AD371" s="47">
        <f t="shared" si="138"/>
        <v>25250.716065726709</v>
      </c>
      <c r="AE371" s="86"/>
      <c r="AF371" s="140"/>
      <c r="AG371" s="140"/>
      <c r="AH371" s="140">
        <f t="shared" si="125"/>
        <v>3881674.6433541132</v>
      </c>
      <c r="AI371" s="15"/>
      <c r="AJ371" s="9"/>
      <c r="AK371" s="9"/>
    </row>
    <row r="372" spans="2:37" ht="12" hidden="1" customHeight="1" outlineLevel="1" x14ac:dyDescent="0.25">
      <c r="B372" s="143" t="str">
        <f t="shared" si="126"/>
        <v/>
      </c>
      <c r="C372" s="15">
        <f t="shared" si="127"/>
        <v>2794224.5905051264</v>
      </c>
      <c r="D372" s="15">
        <f t="shared" si="135"/>
        <v>7294.5587284577141</v>
      </c>
      <c r="E372" s="15">
        <f t="shared" si="136"/>
        <v>-892.168551379257</v>
      </c>
      <c r="F372" s="15">
        <f t="shared" si="137"/>
        <v>-436.6953261768266</v>
      </c>
      <c r="G372" s="15">
        <f t="shared" si="128"/>
        <v>0</v>
      </c>
      <c r="H372" s="15">
        <v>0</v>
      </c>
      <c r="I372" s="15">
        <v>0</v>
      </c>
      <c r="J372" s="15">
        <v>0</v>
      </c>
      <c r="K372" s="15">
        <f t="shared" si="129"/>
        <v>-2622.054407072922</v>
      </c>
      <c r="L372" s="15">
        <f t="shared" si="130"/>
        <v>1328.8638775560835</v>
      </c>
      <c r="M372" s="15">
        <f t="shared" si="118"/>
        <v>3950.9182846290055</v>
      </c>
      <c r="N372" s="15">
        <f t="shared" si="119"/>
        <v>4084.2757170246068</v>
      </c>
      <c r="O372" s="15">
        <f t="shared" si="120"/>
        <v>5965.6948509016302</v>
      </c>
      <c r="P372" s="15">
        <f t="shared" si="131"/>
        <v>37432.010333507358</v>
      </c>
      <c r="Q372" s="15">
        <f t="shared" si="121"/>
        <v>2756792.5801716191</v>
      </c>
      <c r="R372" s="15">
        <f t="shared" si="122"/>
        <v>3647.5803908477801</v>
      </c>
      <c r="S372" s="15" cm="1">
        <f t="array" ref="S372">Y372*tax_rate</f>
        <v>0</v>
      </c>
      <c r="T372" s="15">
        <f t="shared" si="132"/>
        <v>1317073.8097520019</v>
      </c>
      <c r="U372" s="15">
        <f t="shared" si="123"/>
        <v>4073866.389923621</v>
      </c>
      <c r="V372" s="15"/>
      <c r="W372" s="144">
        <f t="shared" si="133"/>
        <v>0.12883236535482034</v>
      </c>
      <c r="X372" s="144" t="str">
        <f t="shared" si="139"/>
        <v/>
      </c>
      <c r="Y372" s="146"/>
      <c r="Z372" s="139">
        <f t="shared" si="124"/>
        <v>5965.6948509016302</v>
      </c>
      <c r="AA372" s="114">
        <v>345</v>
      </c>
      <c r="AB372" s="46">
        <f t="shared" si="134"/>
        <v>-248.78301081105781</v>
      </c>
      <c r="AC372" s="47"/>
      <c r="AD372" s="47">
        <f t="shared" si="138"/>
        <v>25372.368031888269</v>
      </c>
      <c r="AE372" s="86"/>
      <c r="AF372" s="140"/>
      <c r="AG372" s="140"/>
      <c r="AH372" s="140">
        <f t="shared" si="125"/>
        <v>3906212.9144933135</v>
      </c>
      <c r="AI372" s="15"/>
      <c r="AJ372" s="9"/>
      <c r="AK372" s="9"/>
    </row>
    <row r="373" spans="2:37" ht="12" hidden="1" customHeight="1" outlineLevel="1" x14ac:dyDescent="0.25">
      <c r="B373" s="143" t="str">
        <f t="shared" si="126"/>
        <v/>
      </c>
      <c r="C373" s="15">
        <f t="shared" si="127"/>
        <v>2808195.7134576519</v>
      </c>
      <c r="D373" s="15">
        <f t="shared" si="135"/>
        <v>7294.5587284577141</v>
      </c>
      <c r="E373" s="15">
        <f t="shared" si="136"/>
        <v>-892.168551379257</v>
      </c>
      <c r="F373" s="15">
        <f t="shared" si="137"/>
        <v>-436.6953261768266</v>
      </c>
      <c r="G373" s="15">
        <f t="shared" si="128"/>
        <v>0</v>
      </c>
      <c r="H373" s="15">
        <v>0</v>
      </c>
      <c r="I373" s="15">
        <v>0</v>
      </c>
      <c r="J373" s="15">
        <v>0</v>
      </c>
      <c r="K373" s="15">
        <f t="shared" si="129"/>
        <v>-2622.054407072922</v>
      </c>
      <c r="L373" s="15">
        <f t="shared" si="130"/>
        <v>1328.8638775560835</v>
      </c>
      <c r="M373" s="15">
        <f t="shared" si="118"/>
        <v>3950.9182846290055</v>
      </c>
      <c r="N373" s="15">
        <f t="shared" si="119"/>
        <v>4084.2757170246068</v>
      </c>
      <c r="O373" s="15">
        <f t="shared" si="120"/>
        <v>5965.6948509016302</v>
      </c>
      <c r="P373" s="15">
        <f t="shared" si="131"/>
        <v>35043.905991018823</v>
      </c>
      <c r="Q373" s="15">
        <f t="shared" si="121"/>
        <v>2773151.8074666332</v>
      </c>
      <c r="R373" s="15">
        <f t="shared" si="122"/>
        <v>3647.5803908477801</v>
      </c>
      <c r="S373" s="15" cm="1">
        <f t="array" ref="S373">Y373*tax_rate</f>
        <v>0</v>
      </c>
      <c r="T373" s="15">
        <f t="shared" si="132"/>
        <v>1326209.1976834829</v>
      </c>
      <c r="U373" s="15">
        <f t="shared" si="123"/>
        <v>4099361.005150116</v>
      </c>
      <c r="V373" s="15"/>
      <c r="W373" s="144">
        <f t="shared" si="133"/>
        <v>0.12868125306591724</v>
      </c>
      <c r="X373" s="144" t="str">
        <f t="shared" si="139"/>
        <v/>
      </c>
      <c r="Y373" s="146"/>
      <c r="Z373" s="139">
        <f t="shared" si="124"/>
        <v>5965.6948509016302</v>
      </c>
      <c r="AA373" s="114">
        <v>346</v>
      </c>
      <c r="AB373" s="46">
        <f t="shared" si="134"/>
        <v>-233.95006458442097</v>
      </c>
      <c r="AC373" s="47"/>
      <c r="AD373" s="47">
        <f t="shared" si="138"/>
        <v>25494.61522649508</v>
      </c>
      <c r="AE373" s="86"/>
      <c r="AF373" s="140"/>
      <c r="AG373" s="140"/>
      <c r="AH373" s="140">
        <f t="shared" si="125"/>
        <v>3930869.262342657</v>
      </c>
      <c r="AI373" s="15"/>
      <c r="AJ373" s="9"/>
      <c r="AK373" s="9"/>
    </row>
    <row r="374" spans="2:37" ht="12" hidden="1" customHeight="1" outlineLevel="1" x14ac:dyDescent="0.25">
      <c r="B374" s="143" t="str">
        <f t="shared" si="126"/>
        <v/>
      </c>
      <c r="C374" s="15">
        <f t="shared" si="127"/>
        <v>2822236.6920249397</v>
      </c>
      <c r="D374" s="15">
        <f t="shared" si="135"/>
        <v>7294.5587284577141</v>
      </c>
      <c r="E374" s="15">
        <f t="shared" si="136"/>
        <v>-892.168551379257</v>
      </c>
      <c r="F374" s="15">
        <f t="shared" si="137"/>
        <v>-436.6953261768266</v>
      </c>
      <c r="G374" s="15">
        <f t="shared" si="128"/>
        <v>0</v>
      </c>
      <c r="H374" s="15">
        <v>0</v>
      </c>
      <c r="I374" s="15">
        <v>0</v>
      </c>
      <c r="J374" s="15">
        <v>0</v>
      </c>
      <c r="K374" s="15">
        <f t="shared" si="129"/>
        <v>-2622.054407072922</v>
      </c>
      <c r="L374" s="15">
        <f t="shared" si="130"/>
        <v>1328.8638775560835</v>
      </c>
      <c r="M374" s="15">
        <f t="shared" si="118"/>
        <v>3950.9182846290055</v>
      </c>
      <c r="N374" s="15">
        <f t="shared" si="119"/>
        <v>4084.2757170246068</v>
      </c>
      <c r="O374" s="15">
        <f t="shared" si="120"/>
        <v>5965.6948509016302</v>
      </c>
      <c r="P374" s="15">
        <f t="shared" si="131"/>
        <v>32640.875996389732</v>
      </c>
      <c r="Q374" s="15">
        <f t="shared" si="121"/>
        <v>2789595.8160285498</v>
      </c>
      <c r="R374" s="15">
        <f t="shared" si="122"/>
        <v>3647.5803908477801</v>
      </c>
      <c r="S374" s="15" cm="1">
        <f t="array" ref="S374">Y374*tax_rate</f>
        <v>0</v>
      </c>
      <c r="T374" s="15">
        <f t="shared" si="132"/>
        <v>1335382.6497313452</v>
      </c>
      <c r="U374" s="15">
        <f t="shared" si="123"/>
        <v>4124978.4657598948</v>
      </c>
      <c r="V374" s="15"/>
      <c r="W374" s="144">
        <f t="shared" si="133"/>
        <v>0.12853068455262107</v>
      </c>
      <c r="X374" s="144" t="str">
        <f t="shared" si="139"/>
        <v/>
      </c>
      <c r="Y374" s="146"/>
      <c r="Z374" s="139">
        <f t="shared" si="124"/>
        <v>5965.6948509016302</v>
      </c>
      <c r="AA374" s="114">
        <v>347</v>
      </c>
      <c r="AB374" s="46">
        <f t="shared" si="134"/>
        <v>-219.02441244386762</v>
      </c>
      <c r="AC374" s="47"/>
      <c r="AD374" s="47">
        <f t="shared" si="138"/>
        <v>25617.460609778762</v>
      </c>
      <c r="AE374" s="86"/>
      <c r="AF374" s="140"/>
      <c r="AG374" s="140"/>
      <c r="AH374" s="140">
        <f t="shared" si="125"/>
        <v>3955644.2642383985</v>
      </c>
      <c r="AI374" s="15"/>
      <c r="AJ374" s="9"/>
      <c r="AK374" s="9"/>
    </row>
    <row r="375" spans="2:37" ht="15" customHeight="1" collapsed="1" x14ac:dyDescent="0.25">
      <c r="B375" s="143">
        <f t="shared" si="126"/>
        <v>29</v>
      </c>
      <c r="C375" s="16">
        <f t="shared" si="127"/>
        <v>2836347.875485064</v>
      </c>
      <c r="D375" s="16">
        <f t="shared" si="135"/>
        <v>7294.5587284577141</v>
      </c>
      <c r="E375" s="16">
        <f t="shared" si="136"/>
        <v>-892.168551379257</v>
      </c>
      <c r="F375" s="16">
        <f t="shared" si="137"/>
        <v>-436.6953261768266</v>
      </c>
      <c r="G375" s="16">
        <f t="shared" si="128"/>
        <v>0</v>
      </c>
      <c r="H375" s="16">
        <v>0</v>
      </c>
      <c r="I375" s="16">
        <v>0</v>
      </c>
      <c r="J375" s="16">
        <v>0</v>
      </c>
      <c r="K375" s="16">
        <f t="shared" si="129"/>
        <v>-2622.054407072922</v>
      </c>
      <c r="L375" s="16">
        <f t="shared" si="130"/>
        <v>1328.8638775560835</v>
      </c>
      <c r="M375" s="16">
        <f t="shared" si="118"/>
        <v>3950.9182846290055</v>
      </c>
      <c r="N375" s="16">
        <f t="shared" si="119"/>
        <v>4084.2757170246068</v>
      </c>
      <c r="O375" s="16">
        <f t="shared" si="120"/>
        <v>5965.6948509016302</v>
      </c>
      <c r="P375" s="16">
        <f t="shared" si="131"/>
        <v>30222.827064294208</v>
      </c>
      <c r="Q375" s="16">
        <f t="shared" si="121"/>
        <v>2806125.0484207696</v>
      </c>
      <c r="R375" s="16">
        <f t="shared" si="122"/>
        <v>3647.5803908477801</v>
      </c>
      <c r="S375" s="16" cm="1">
        <f t="array" ref="S375">Y375*tax_rate</f>
        <v>6307.5218672437204</v>
      </c>
      <c r="T375" s="16">
        <f t="shared" si="132"/>
        <v>1350901.8463633175</v>
      </c>
      <c r="U375" s="16">
        <f t="shared" si="123"/>
        <v>4157026.8947840873</v>
      </c>
      <c r="V375" s="16">
        <f>U375-U363</f>
        <v>307181.73075404763</v>
      </c>
      <c r="W375" s="144">
        <f t="shared" si="133"/>
        <v>0.1284397424599944</v>
      </c>
      <c r="X375" s="144">
        <f t="shared" si="139"/>
        <v>7.9790671485730102E-2</v>
      </c>
      <c r="Y375" s="145">
        <f>(((Sale_Price*0.8)+Improvement_Costs+Closing_Costs_Total)/27.5)+(-E375*12)+-AC375</f>
        <v>28670.553942016912</v>
      </c>
      <c r="Z375" s="139">
        <f t="shared" si="124"/>
        <v>5965.6948509016302</v>
      </c>
      <c r="AA375" s="114">
        <v>348</v>
      </c>
      <c r="AB375" s="46">
        <f t="shared" si="134"/>
        <v>-204.0054749774358</v>
      </c>
      <c r="AC375" s="46">
        <f>SUM(AB364:AB375)</f>
        <v>-3419.0767800112853</v>
      </c>
      <c r="AD375" s="47">
        <f t="shared" si="138"/>
        <v>32048.429024192505</v>
      </c>
      <c r="AE375" s="86">
        <f>D375*12</f>
        <v>87534.704741492576</v>
      </c>
      <c r="AF375" s="140"/>
      <c r="AG375" s="140"/>
      <c r="AH375" s="140">
        <f t="shared" si="125"/>
        <v>3986846.0222549834</v>
      </c>
      <c r="AI375" s="15">
        <f>AI363*(1+Comparison_Rate_of_Return)</f>
        <v>1982886.6214643694</v>
      </c>
      <c r="AJ375" s="9"/>
      <c r="AK375" s="9"/>
    </row>
    <row r="376" spans="2:37" ht="12" hidden="1" customHeight="1" outlineLevel="1" x14ac:dyDescent="0.25">
      <c r="B376" s="143" t="str">
        <f t="shared" si="126"/>
        <v/>
      </c>
      <c r="C376" s="16">
        <f t="shared" si="127"/>
        <v>2850529.614862489</v>
      </c>
      <c r="D376" s="16">
        <f t="shared" si="135"/>
        <v>7549.8682839537332</v>
      </c>
      <c r="E376" s="16">
        <f t="shared" si="136"/>
        <v>-923.39445067753093</v>
      </c>
      <c r="F376" s="16">
        <f t="shared" si="137"/>
        <v>-451.97966259301552</v>
      </c>
      <c r="G376" s="16">
        <f t="shared" si="128"/>
        <v>0</v>
      </c>
      <c r="H376" s="16">
        <v>0</v>
      </c>
      <c r="I376" s="16">
        <v>0</v>
      </c>
      <c r="J376" s="16">
        <v>0</v>
      </c>
      <c r="K376" s="16">
        <f t="shared" si="129"/>
        <v>-2622.054407072922</v>
      </c>
      <c r="L376" s="16">
        <f t="shared" si="130"/>
        <v>1375.3741132705463</v>
      </c>
      <c r="M376" s="16">
        <f t="shared" si="118"/>
        <v>3997.4285203434683</v>
      </c>
      <c r="N376" s="16">
        <f t="shared" si="119"/>
        <v>4318.9972713680199</v>
      </c>
      <c r="O376" s="16">
        <f t="shared" si="120"/>
        <v>6174.4941706831869</v>
      </c>
      <c r="P376" s="16">
        <f t="shared" si="131"/>
        <v>27789.665326373091</v>
      </c>
      <c r="Q376" s="16">
        <f t="shared" si="121"/>
        <v>2822739.9495361159</v>
      </c>
      <c r="R376" s="16">
        <f t="shared" si="122"/>
        <v>3867.0176087750042</v>
      </c>
      <c r="S376" s="16" cm="1">
        <f t="array" ref="S376">Y376*tax_rate</f>
        <v>0</v>
      </c>
      <c r="T376" s="16">
        <f t="shared" si="132"/>
        <v>1360397.6216652731</v>
      </c>
      <c r="U376" s="16">
        <f t="shared" si="123"/>
        <v>4183137.5712013887</v>
      </c>
      <c r="V376" s="16"/>
      <c r="W376" s="144">
        <f t="shared" si="133"/>
        <v>0.12829199275022474</v>
      </c>
      <c r="X376" s="144" t="str">
        <f t="shared" si="139"/>
        <v/>
      </c>
      <c r="Y376" s="146"/>
      <c r="Z376" s="139">
        <f t="shared" si="124"/>
        <v>6174.4941706831869</v>
      </c>
      <c r="AA376" s="114">
        <v>349</v>
      </c>
      <c r="AB376" s="46">
        <f t="shared" si="134"/>
        <v>-188.89266915183879</v>
      </c>
      <c r="AC376" s="47"/>
      <c r="AD376" s="47">
        <f t="shared" si="138"/>
        <v>26110.676417301409</v>
      </c>
      <c r="AE376" s="86"/>
      <c r="AF376" s="140"/>
      <c r="AG376" s="140"/>
      <c r="AH376" s="140">
        <f t="shared" si="125"/>
        <v>4012105.7943096394</v>
      </c>
      <c r="AI376" s="15"/>
      <c r="AJ376" s="9"/>
      <c r="AK376" s="9"/>
    </row>
    <row r="377" spans="2:37" ht="12" hidden="1" customHeight="1" outlineLevel="1" x14ac:dyDescent="0.25">
      <c r="B377" s="143" t="str">
        <f t="shared" si="126"/>
        <v/>
      </c>
      <c r="C377" s="16">
        <f t="shared" si="127"/>
        <v>2864782.2629368012</v>
      </c>
      <c r="D377" s="16">
        <f t="shared" si="135"/>
        <v>7549.8682839537332</v>
      </c>
      <c r="E377" s="16">
        <f t="shared" si="136"/>
        <v>-923.39445067753093</v>
      </c>
      <c r="F377" s="16">
        <f t="shared" si="137"/>
        <v>-451.97966259301552</v>
      </c>
      <c r="G377" s="16">
        <f t="shared" si="128"/>
        <v>0</v>
      </c>
      <c r="H377" s="16">
        <v>0</v>
      </c>
      <c r="I377" s="16">
        <v>0</v>
      </c>
      <c r="J377" s="16">
        <v>0</v>
      </c>
      <c r="K377" s="16">
        <f t="shared" si="129"/>
        <v>-2622.054407072922</v>
      </c>
      <c r="L377" s="16">
        <f t="shared" si="130"/>
        <v>1375.3741132705463</v>
      </c>
      <c r="M377" s="16">
        <f t="shared" si="118"/>
        <v>3997.4285203434683</v>
      </c>
      <c r="N377" s="16">
        <f t="shared" si="119"/>
        <v>4318.9972713680199</v>
      </c>
      <c r="O377" s="16">
        <f t="shared" si="120"/>
        <v>6174.4941706831869</v>
      </c>
      <c r="P377" s="16">
        <f t="shared" si="131"/>
        <v>25341.296327589967</v>
      </c>
      <c r="Q377" s="16">
        <f t="shared" si="121"/>
        <v>2839440.9666092112</v>
      </c>
      <c r="R377" s="16">
        <f t="shared" si="122"/>
        <v>3867.0176087750042</v>
      </c>
      <c r="S377" s="16" cm="1">
        <f t="array" ref="S377">Y377*tax_rate</f>
        <v>0</v>
      </c>
      <c r="T377" s="16">
        <f t="shared" si="132"/>
        <v>1369932.9626976533</v>
      </c>
      <c r="U377" s="16">
        <f t="shared" si="123"/>
        <v>4209373.9293068647</v>
      </c>
      <c r="V377" s="16"/>
      <c r="W377" s="144">
        <f t="shared" si="133"/>
        <v>0.12814475437195236</v>
      </c>
      <c r="X377" s="144" t="str">
        <f t="shared" si="139"/>
        <v/>
      </c>
      <c r="Y377" s="146"/>
      <c r="Z377" s="139">
        <f t="shared" si="124"/>
        <v>6174.4941706831869</v>
      </c>
      <c r="AA377" s="114">
        <v>350</v>
      </c>
      <c r="AB377" s="46">
        <f t="shared" si="134"/>
        <v>-173.6854082898318</v>
      </c>
      <c r="AC377" s="47"/>
      <c r="AD377" s="47">
        <f t="shared" si="138"/>
        <v>26236.358105476014</v>
      </c>
      <c r="AE377" s="86"/>
      <c r="AF377" s="140"/>
      <c r="AG377" s="140"/>
      <c r="AH377" s="140">
        <f t="shared" si="125"/>
        <v>4037486.9935306567</v>
      </c>
      <c r="AI377" s="15"/>
      <c r="AJ377" s="9"/>
      <c r="AK377" s="9"/>
    </row>
    <row r="378" spans="2:37" ht="12" hidden="1" customHeight="1" outlineLevel="1" x14ac:dyDescent="0.25">
      <c r="B378" s="143" t="str">
        <f t="shared" si="126"/>
        <v/>
      </c>
      <c r="C378" s="16">
        <f t="shared" si="127"/>
        <v>2879106.1742514847</v>
      </c>
      <c r="D378" s="16">
        <f t="shared" si="135"/>
        <v>7549.8682839537332</v>
      </c>
      <c r="E378" s="16">
        <f t="shared" si="136"/>
        <v>-923.39445067753093</v>
      </c>
      <c r="F378" s="16">
        <f t="shared" si="137"/>
        <v>-451.97966259301552</v>
      </c>
      <c r="G378" s="16">
        <f t="shared" si="128"/>
        <v>0</v>
      </c>
      <c r="H378" s="16">
        <v>0</v>
      </c>
      <c r="I378" s="16">
        <v>0</v>
      </c>
      <c r="J378" s="16">
        <v>0</v>
      </c>
      <c r="K378" s="16">
        <f t="shared" si="129"/>
        <v>-2622.054407072922</v>
      </c>
      <c r="L378" s="16">
        <f t="shared" si="130"/>
        <v>1375.3741132705463</v>
      </c>
      <c r="M378" s="16">
        <f t="shared" si="118"/>
        <v>3997.4285203434683</v>
      </c>
      <c r="N378" s="16">
        <f t="shared" si="119"/>
        <v>4318.9972713680199</v>
      </c>
      <c r="O378" s="16">
        <f t="shared" si="120"/>
        <v>6174.4941706831869</v>
      </c>
      <c r="P378" s="16">
        <f t="shared" si="131"/>
        <v>22877.625022564447</v>
      </c>
      <c r="Q378" s="16">
        <f t="shared" si="121"/>
        <v>2856228.5492289201</v>
      </c>
      <c r="R378" s="16">
        <f t="shared" si="122"/>
        <v>3867.0176087750042</v>
      </c>
      <c r="S378" s="16" cm="1">
        <f t="array" ref="S378">Y378*tax_rate</f>
        <v>0</v>
      </c>
      <c r="T378" s="16">
        <f t="shared" si="132"/>
        <v>1379508.0343176685</v>
      </c>
      <c r="U378" s="16">
        <f t="shared" si="123"/>
        <v>4235736.5835465882</v>
      </c>
      <c r="V378" s="16"/>
      <c r="W378" s="144">
        <f t="shared" si="133"/>
        <v>0.12799802570590249</v>
      </c>
      <c r="X378" s="144" t="str">
        <f t="shared" si="139"/>
        <v/>
      </c>
      <c r="Y378" s="146"/>
      <c r="Z378" s="139">
        <f t="shared" si="124"/>
        <v>6174.4941706831869</v>
      </c>
      <c r="AA378" s="114">
        <v>351</v>
      </c>
      <c r="AB378" s="46">
        <f t="shared" si="134"/>
        <v>-158.38310204743729</v>
      </c>
      <c r="AC378" s="47"/>
      <c r="AD378" s="47">
        <f t="shared" si="138"/>
        <v>26362.654239723459</v>
      </c>
      <c r="AE378" s="86"/>
      <c r="AF378" s="140"/>
      <c r="AG378" s="140"/>
      <c r="AH378" s="140">
        <f t="shared" si="125"/>
        <v>4062990.2130914992</v>
      </c>
      <c r="AI378" s="15"/>
      <c r="AJ378" s="9"/>
      <c r="AK378" s="9"/>
    </row>
    <row r="379" spans="2:37" ht="12" hidden="1" customHeight="1" outlineLevel="1" x14ac:dyDescent="0.25">
      <c r="B379" s="143" t="str">
        <f t="shared" si="126"/>
        <v/>
      </c>
      <c r="C379" s="16">
        <f t="shared" si="127"/>
        <v>2893501.7051227419</v>
      </c>
      <c r="D379" s="16">
        <f t="shared" si="135"/>
        <v>7549.8682839537332</v>
      </c>
      <c r="E379" s="16">
        <f t="shared" si="136"/>
        <v>-923.39445067753093</v>
      </c>
      <c r="F379" s="16">
        <f t="shared" si="137"/>
        <v>-451.97966259301552</v>
      </c>
      <c r="G379" s="16">
        <f t="shared" si="128"/>
        <v>0</v>
      </c>
      <c r="H379" s="16">
        <v>0</v>
      </c>
      <c r="I379" s="16">
        <v>0</v>
      </c>
      <c r="J379" s="16">
        <v>0</v>
      </c>
      <c r="K379" s="16">
        <f t="shared" si="129"/>
        <v>-2622.054407072922</v>
      </c>
      <c r="L379" s="16">
        <f t="shared" si="130"/>
        <v>1375.3741132705463</v>
      </c>
      <c r="M379" s="16">
        <f t="shared" si="118"/>
        <v>3997.4285203434683</v>
      </c>
      <c r="N379" s="16">
        <f t="shared" si="119"/>
        <v>4318.9972713680199</v>
      </c>
      <c r="O379" s="16">
        <f t="shared" si="120"/>
        <v>6174.4941706831869</v>
      </c>
      <c r="P379" s="16">
        <f t="shared" si="131"/>
        <v>20398.555771882518</v>
      </c>
      <c r="Q379" s="16">
        <f t="shared" si="121"/>
        <v>2873103.1493508592</v>
      </c>
      <c r="R379" s="16">
        <f t="shared" si="122"/>
        <v>3867.0176087750042</v>
      </c>
      <c r="S379" s="16" cm="1">
        <f t="array" ref="S379">Y379*tax_rate</f>
        <v>0</v>
      </c>
      <c r="T379" s="16">
        <f t="shared" si="132"/>
        <v>1389123.0020694339</v>
      </c>
      <c r="U379" s="16">
        <f t="shared" si="123"/>
        <v>4262226.1514202934</v>
      </c>
      <c r="V379" s="16"/>
      <c r="W379" s="144">
        <f t="shared" si="133"/>
        <v>0.12785180512271349</v>
      </c>
      <c r="X379" s="144" t="str">
        <f t="shared" si="139"/>
        <v/>
      </c>
      <c r="Y379" s="146"/>
      <c r="Z379" s="139">
        <f t="shared" si="124"/>
        <v>6174.4941706831869</v>
      </c>
      <c r="AA379" s="114">
        <v>352</v>
      </c>
      <c r="AB379" s="46">
        <f t="shared" si="134"/>
        <v>-142.98515639102777</v>
      </c>
      <c r="AC379" s="47"/>
      <c r="AD379" s="47">
        <f t="shared" si="138"/>
        <v>26489.567873705178</v>
      </c>
      <c r="AE379" s="86"/>
      <c r="AF379" s="140"/>
      <c r="AG379" s="140"/>
      <c r="AH379" s="140">
        <f t="shared" si="125"/>
        <v>4088616.049112929</v>
      </c>
      <c r="AI379" s="15"/>
      <c r="AJ379" s="9"/>
      <c r="AK379" s="9"/>
    </row>
    <row r="380" spans="2:37" ht="12" hidden="1" customHeight="1" outlineLevel="1" x14ac:dyDescent="0.25">
      <c r="B380" s="143" t="str">
        <f t="shared" si="126"/>
        <v/>
      </c>
      <c r="C380" s="16">
        <f t="shared" si="127"/>
        <v>2907969.2136483551</v>
      </c>
      <c r="D380" s="16">
        <f t="shared" si="135"/>
        <v>7549.8682839537332</v>
      </c>
      <c r="E380" s="16">
        <f t="shared" si="136"/>
        <v>-923.39445067753093</v>
      </c>
      <c r="F380" s="16">
        <f t="shared" si="137"/>
        <v>-451.97966259301552</v>
      </c>
      <c r="G380" s="16">
        <f t="shared" si="128"/>
        <v>0</v>
      </c>
      <c r="H380" s="16">
        <v>0</v>
      </c>
      <c r="I380" s="16">
        <v>0</v>
      </c>
      <c r="J380" s="16">
        <v>0</v>
      </c>
      <c r="K380" s="16">
        <f t="shared" si="129"/>
        <v>-2622.054407072922</v>
      </c>
      <c r="L380" s="16">
        <f t="shared" si="130"/>
        <v>1375.3741132705463</v>
      </c>
      <c r="M380" s="16">
        <f t="shared" si="118"/>
        <v>3997.4285203434683</v>
      </c>
      <c r="N380" s="16">
        <f t="shared" si="119"/>
        <v>4318.9972713680199</v>
      </c>
      <c r="O380" s="16">
        <f t="shared" si="120"/>
        <v>6174.4941706831869</v>
      </c>
      <c r="P380" s="16">
        <f t="shared" si="131"/>
        <v>17903.992338383825</v>
      </c>
      <c r="Q380" s="16">
        <f t="shared" si="121"/>
        <v>2890065.2213099711</v>
      </c>
      <c r="R380" s="16">
        <f t="shared" si="122"/>
        <v>3867.0176087750042</v>
      </c>
      <c r="S380" s="16" cm="1">
        <f t="array" ref="S380">Y380*tax_rate</f>
        <v>0</v>
      </c>
      <c r="T380" s="16">
        <f t="shared" si="132"/>
        <v>1398778.0321868316</v>
      </c>
      <c r="U380" s="16">
        <f t="shared" si="123"/>
        <v>4288843.2534968024</v>
      </c>
      <c r="V380" s="16"/>
      <c r="W380" s="144">
        <f t="shared" si="133"/>
        <v>0.12770609098346206</v>
      </c>
      <c r="X380" s="144" t="str">
        <f t="shared" si="139"/>
        <v/>
      </c>
      <c r="Y380" s="146"/>
      <c r="Z380" s="139">
        <f t="shared" si="124"/>
        <v>6174.4941706831869</v>
      </c>
      <c r="AA380" s="114">
        <v>353</v>
      </c>
      <c r="AB380" s="46">
        <f t="shared" si="134"/>
        <v>-127.49097357426572</v>
      </c>
      <c r="AC380" s="47"/>
      <c r="AD380" s="47">
        <f t="shared" si="138"/>
        <v>26617.102076509036</v>
      </c>
      <c r="AE380" s="86"/>
      <c r="AF380" s="140"/>
      <c r="AG380" s="140"/>
      <c r="AH380" s="140">
        <f t="shared" si="125"/>
        <v>4114365.1006779009</v>
      </c>
      <c r="AI380" s="15"/>
      <c r="AJ380" s="9"/>
      <c r="AK380" s="9"/>
    </row>
    <row r="381" spans="2:37" ht="12" hidden="1" customHeight="1" outlineLevel="1" x14ac:dyDescent="0.25">
      <c r="B381" s="143" t="str">
        <f t="shared" si="126"/>
        <v/>
      </c>
      <c r="C381" s="16">
        <f t="shared" si="127"/>
        <v>2922509.0597165967</v>
      </c>
      <c r="D381" s="16">
        <f t="shared" si="135"/>
        <v>7549.8682839537332</v>
      </c>
      <c r="E381" s="16">
        <f t="shared" si="136"/>
        <v>-923.39445067753093</v>
      </c>
      <c r="F381" s="16">
        <f t="shared" si="137"/>
        <v>-451.97966259301552</v>
      </c>
      <c r="G381" s="16">
        <f t="shared" si="128"/>
        <v>0</v>
      </c>
      <c r="H381" s="16">
        <v>0</v>
      </c>
      <c r="I381" s="16">
        <v>0</v>
      </c>
      <c r="J381" s="16">
        <v>0</v>
      </c>
      <c r="K381" s="16">
        <f t="shared" si="129"/>
        <v>-2622.054407072922</v>
      </c>
      <c r="L381" s="16">
        <f t="shared" si="130"/>
        <v>1375.3741132705463</v>
      </c>
      <c r="M381" s="16">
        <f t="shared" si="118"/>
        <v>3997.4285203434683</v>
      </c>
      <c r="N381" s="16">
        <f t="shared" si="119"/>
        <v>4318.9972713680199</v>
      </c>
      <c r="O381" s="16">
        <f t="shared" si="120"/>
        <v>6174.4941706831869</v>
      </c>
      <c r="P381" s="16">
        <f t="shared" si="131"/>
        <v>15393.837883425767</v>
      </c>
      <c r="Q381" s="16">
        <f t="shared" si="121"/>
        <v>2907115.2218331709</v>
      </c>
      <c r="R381" s="16">
        <f t="shared" si="122"/>
        <v>3867.0176087750042</v>
      </c>
      <c r="S381" s="16" cm="1">
        <f t="array" ref="S381">Y381*tax_rate</f>
        <v>0</v>
      </c>
      <c r="T381" s="16">
        <f t="shared" si="132"/>
        <v>1408473.2915963852</v>
      </c>
      <c r="U381" s="16">
        <f t="shared" si="123"/>
        <v>4315588.513429556</v>
      </c>
      <c r="V381" s="16"/>
      <c r="W381" s="144">
        <f t="shared" si="133"/>
        <v>0.12756088164017362</v>
      </c>
      <c r="X381" s="144" t="str">
        <f t="shared" si="139"/>
        <v/>
      </c>
      <c r="Y381" s="146"/>
      <c r="Z381" s="139">
        <f t="shared" si="124"/>
        <v>6174.4941706831869</v>
      </c>
      <c r="AA381" s="114">
        <v>354</v>
      </c>
      <c r="AB381" s="46">
        <f t="shared" si="134"/>
        <v>-111.89995211489889</v>
      </c>
      <c r="AC381" s="47"/>
      <c r="AD381" s="47">
        <f t="shared" si="138"/>
        <v>26745.25993275363</v>
      </c>
      <c r="AE381" s="86"/>
      <c r="AF381" s="140"/>
      <c r="AG381" s="140"/>
      <c r="AH381" s="140">
        <f t="shared" si="125"/>
        <v>4140237.9698465602</v>
      </c>
      <c r="AI381" s="15"/>
      <c r="AJ381" s="9"/>
      <c r="AK381" s="9"/>
    </row>
    <row r="382" spans="2:37" ht="12" hidden="1" customHeight="1" outlineLevel="1" x14ac:dyDescent="0.25">
      <c r="B382" s="143" t="str">
        <f t="shared" si="126"/>
        <v/>
      </c>
      <c r="C382" s="16">
        <f t="shared" si="127"/>
        <v>2937121.6050151796</v>
      </c>
      <c r="D382" s="16">
        <f t="shared" si="135"/>
        <v>7549.8682839537332</v>
      </c>
      <c r="E382" s="16">
        <f t="shared" si="136"/>
        <v>-923.39445067753093</v>
      </c>
      <c r="F382" s="16">
        <f t="shared" si="137"/>
        <v>-451.97966259301552</v>
      </c>
      <c r="G382" s="16">
        <f t="shared" si="128"/>
        <v>0</v>
      </c>
      <c r="H382" s="16">
        <v>0</v>
      </c>
      <c r="I382" s="16">
        <v>0</v>
      </c>
      <c r="J382" s="16">
        <v>0</v>
      </c>
      <c r="K382" s="16">
        <f t="shared" si="129"/>
        <v>-2622.054407072922</v>
      </c>
      <c r="L382" s="16">
        <f t="shared" si="130"/>
        <v>1375.3741132705463</v>
      </c>
      <c r="M382" s="16">
        <f t="shared" si="118"/>
        <v>3997.4285203434683</v>
      </c>
      <c r="N382" s="16">
        <f t="shared" si="119"/>
        <v>4318.9972713680199</v>
      </c>
      <c r="O382" s="16">
        <f t="shared" si="120"/>
        <v>6174.4941706831869</v>
      </c>
      <c r="P382" s="16">
        <f t="shared" si="131"/>
        <v>12867.99496312422</v>
      </c>
      <c r="Q382" s="16">
        <f t="shared" si="121"/>
        <v>2924253.6100520552</v>
      </c>
      <c r="R382" s="16">
        <f t="shared" si="122"/>
        <v>3867.0176087750042</v>
      </c>
      <c r="S382" s="16" cm="1">
        <f t="array" ref="S382">Y382*tax_rate</f>
        <v>0</v>
      </c>
      <c r="T382" s="16">
        <f t="shared" si="132"/>
        <v>1418208.9479201452</v>
      </c>
      <c r="U382" s="16">
        <f t="shared" si="123"/>
        <v>4342462.5579722002</v>
      </c>
      <c r="V382" s="16"/>
      <c r="W382" s="144">
        <f t="shared" si="133"/>
        <v>0.12741617543631609</v>
      </c>
      <c r="X382" s="144" t="str">
        <f t="shared" si="139"/>
        <v/>
      </c>
      <c r="Y382" s="146"/>
      <c r="Z382" s="139">
        <f t="shared" si="124"/>
        <v>6174.4941706831869</v>
      </c>
      <c r="AA382" s="114">
        <v>355</v>
      </c>
      <c r="AB382" s="46">
        <f t="shared" si="134"/>
        <v>-96.211486771411032</v>
      </c>
      <c r="AC382" s="47"/>
      <c r="AD382" s="47">
        <f t="shared" si="138"/>
        <v>26874.044542644173</v>
      </c>
      <c r="AE382" s="86"/>
      <c r="AF382" s="140"/>
      <c r="AG382" s="140"/>
      <c r="AH382" s="140">
        <f t="shared" si="125"/>
        <v>4166235.2616712893</v>
      </c>
      <c r="AI382" s="15"/>
      <c r="AJ382" s="9"/>
      <c r="AK382" s="9"/>
    </row>
    <row r="383" spans="2:37" ht="12" hidden="1" customHeight="1" outlineLevel="1" x14ac:dyDescent="0.25">
      <c r="B383" s="143" t="str">
        <f t="shared" si="126"/>
        <v/>
      </c>
      <c r="C383" s="16">
        <f t="shared" si="127"/>
        <v>2951807.213040255</v>
      </c>
      <c r="D383" s="16">
        <f t="shared" si="135"/>
        <v>7549.8682839537332</v>
      </c>
      <c r="E383" s="16">
        <f t="shared" si="136"/>
        <v>-923.39445067753093</v>
      </c>
      <c r="F383" s="16">
        <f t="shared" si="137"/>
        <v>-451.97966259301552</v>
      </c>
      <c r="G383" s="16">
        <f t="shared" si="128"/>
        <v>0</v>
      </c>
      <c r="H383" s="16">
        <v>0</v>
      </c>
      <c r="I383" s="16">
        <v>0</v>
      </c>
      <c r="J383" s="16">
        <v>0</v>
      </c>
      <c r="K383" s="16">
        <f t="shared" si="129"/>
        <v>-2622.054407072922</v>
      </c>
      <c r="L383" s="16">
        <f t="shared" si="130"/>
        <v>1375.3741132705463</v>
      </c>
      <c r="M383" s="16">
        <f t="shared" si="118"/>
        <v>3997.4285203434683</v>
      </c>
      <c r="N383" s="16">
        <f t="shared" si="119"/>
        <v>4318.9972713680199</v>
      </c>
      <c r="O383" s="16">
        <f t="shared" si="120"/>
        <v>6174.4941706831869</v>
      </c>
      <c r="P383" s="16">
        <f t="shared" si="131"/>
        <v>10326.365524570789</v>
      </c>
      <c r="Q383" s="16">
        <f t="shared" si="121"/>
        <v>2941480.8475156841</v>
      </c>
      <c r="R383" s="16">
        <f t="shared" si="122"/>
        <v>3867.0176087750042</v>
      </c>
      <c r="S383" s="16" cm="1">
        <f t="array" ref="S383">Y383*tax_rate</f>
        <v>0</v>
      </c>
      <c r="T383" s="16">
        <f t="shared" si="132"/>
        <v>1427985.1694785876</v>
      </c>
      <c r="U383" s="16">
        <f t="shared" si="123"/>
        <v>4369466.0169942714</v>
      </c>
      <c r="V383" s="16"/>
      <c r="W383" s="144">
        <f t="shared" si="133"/>
        <v>0.12727197070728244</v>
      </c>
      <c r="X383" s="144" t="str">
        <f t="shared" si="139"/>
        <v/>
      </c>
      <c r="Y383" s="146"/>
      <c r="Z383" s="139">
        <f t="shared" si="124"/>
        <v>6174.4941706831869</v>
      </c>
      <c r="AA383" s="114">
        <v>356</v>
      </c>
      <c r="AB383" s="46">
        <f t="shared" si="134"/>
        <v>-80.424968519526374</v>
      </c>
      <c r="AC383" s="47"/>
      <c r="AD383" s="47">
        <f t="shared" si="138"/>
        <v>27003.459022071213</v>
      </c>
      <c r="AE383" s="86"/>
      <c r="AF383" s="140"/>
      <c r="AG383" s="140"/>
      <c r="AH383" s="140">
        <f t="shared" si="125"/>
        <v>4192357.5842118561</v>
      </c>
      <c r="AI383" s="15"/>
      <c r="AJ383" s="9"/>
      <c r="AK383" s="9"/>
    </row>
    <row r="384" spans="2:37" ht="12" hidden="1" customHeight="1" outlineLevel="1" x14ac:dyDescent="0.25">
      <c r="B384" s="143" t="str">
        <f t="shared" si="126"/>
        <v/>
      </c>
      <c r="C384" s="16">
        <f t="shared" si="127"/>
        <v>2966566.2491054558</v>
      </c>
      <c r="D384" s="16">
        <f t="shared" si="135"/>
        <v>7549.8682839537332</v>
      </c>
      <c r="E384" s="16">
        <f t="shared" si="136"/>
        <v>-923.39445067753093</v>
      </c>
      <c r="F384" s="16">
        <f t="shared" si="137"/>
        <v>-451.97966259301552</v>
      </c>
      <c r="G384" s="16">
        <f t="shared" si="128"/>
        <v>0</v>
      </c>
      <c r="H384" s="16">
        <v>0</v>
      </c>
      <c r="I384" s="16">
        <v>0</v>
      </c>
      <c r="J384" s="16">
        <v>0</v>
      </c>
      <c r="K384" s="16">
        <f t="shared" si="129"/>
        <v>-2622.054407072922</v>
      </c>
      <c r="L384" s="16">
        <f t="shared" si="130"/>
        <v>1375.3741132705463</v>
      </c>
      <c r="M384" s="16">
        <f t="shared" si="118"/>
        <v>3997.4285203434683</v>
      </c>
      <c r="N384" s="16">
        <f t="shared" si="119"/>
        <v>4318.9972713680199</v>
      </c>
      <c r="O384" s="16">
        <f t="shared" si="120"/>
        <v>6174.4941706831869</v>
      </c>
      <c r="P384" s="16">
        <f t="shared" si="131"/>
        <v>7768.8509020263973</v>
      </c>
      <c r="Q384" s="16">
        <f t="shared" si="121"/>
        <v>2958797.3982034293</v>
      </c>
      <c r="R384" s="16">
        <f t="shared" si="122"/>
        <v>3867.0176087750042</v>
      </c>
      <c r="S384" s="16" cm="1">
        <f t="array" ref="S384">Y384*tax_rate</f>
        <v>0</v>
      </c>
      <c r="T384" s="16">
        <f t="shared" si="132"/>
        <v>1437802.1252935233</v>
      </c>
      <c r="U384" s="16">
        <f t="shared" si="123"/>
        <v>4396599.5234969528</v>
      </c>
      <c r="V384" s="16"/>
      <c r="W384" s="144">
        <f t="shared" si="133"/>
        <v>0.12712826578085484</v>
      </c>
      <c r="X384" s="144" t="str">
        <f t="shared" si="139"/>
        <v/>
      </c>
      <c r="Y384" s="146"/>
      <c r="Z384" s="139">
        <f t="shared" si="124"/>
        <v>6174.4941706831869</v>
      </c>
      <c r="AA384" s="114">
        <v>357</v>
      </c>
      <c r="AB384" s="46">
        <f t="shared" si="134"/>
        <v>-64.539784528567424</v>
      </c>
      <c r="AC384" s="47"/>
      <c r="AD384" s="47">
        <f t="shared" si="138"/>
        <v>27133.506502681412</v>
      </c>
      <c r="AE384" s="86"/>
      <c r="AF384" s="140"/>
      <c r="AG384" s="140"/>
      <c r="AH384" s="140">
        <f t="shared" si="125"/>
        <v>4218605.5485506253</v>
      </c>
      <c r="AI384" s="15"/>
      <c r="AJ384" s="9"/>
      <c r="AK384" s="9"/>
    </row>
    <row r="385" spans="2:42" ht="12" hidden="1" customHeight="1" outlineLevel="1" x14ac:dyDescent="0.25">
      <c r="B385" s="143" t="str">
        <f t="shared" si="126"/>
        <v/>
      </c>
      <c r="C385" s="16">
        <f t="shared" si="127"/>
        <v>2981399.080350983</v>
      </c>
      <c r="D385" s="16">
        <f t="shared" si="135"/>
        <v>7549.8682839537332</v>
      </c>
      <c r="E385" s="16">
        <f t="shared" si="136"/>
        <v>-923.39445067753093</v>
      </c>
      <c r="F385" s="16">
        <f t="shared" si="137"/>
        <v>-451.97966259301552</v>
      </c>
      <c r="G385" s="16">
        <f t="shared" si="128"/>
        <v>0</v>
      </c>
      <c r="H385" s="16">
        <v>0</v>
      </c>
      <c r="I385" s="16">
        <v>0</v>
      </c>
      <c r="J385" s="16">
        <v>0</v>
      </c>
      <c r="K385" s="16">
        <f t="shared" si="129"/>
        <v>-2622.054407072922</v>
      </c>
      <c r="L385" s="16">
        <f t="shared" si="130"/>
        <v>1375.3741132705463</v>
      </c>
      <c r="M385" s="16">
        <f t="shared" si="118"/>
        <v>3997.4285203434683</v>
      </c>
      <c r="N385" s="16">
        <f t="shared" si="119"/>
        <v>4318.9972713680199</v>
      </c>
      <c r="O385" s="16">
        <f t="shared" si="120"/>
        <v>6174.4941706831869</v>
      </c>
      <c r="P385" s="16">
        <f t="shared" si="131"/>
        <v>5195.3518130911034</v>
      </c>
      <c r="Q385" s="16">
        <f t="shared" si="121"/>
        <v>2976203.728537892</v>
      </c>
      <c r="R385" s="16">
        <f t="shared" si="122"/>
        <v>3867.0176087750042</v>
      </c>
      <c r="S385" s="16" cm="1">
        <f t="array" ref="S385">Y385*tax_rate</f>
        <v>0</v>
      </c>
      <c r="T385" s="16">
        <f t="shared" si="132"/>
        <v>1447659.9850910213</v>
      </c>
      <c r="U385" s="16">
        <f t="shared" si="123"/>
        <v>4423863.7136289133</v>
      </c>
      <c r="V385" s="16"/>
      <c r="W385" s="144">
        <f t="shared" si="133"/>
        <v>0.1269850589776601</v>
      </c>
      <c r="X385" s="144" t="str">
        <f t="shared" si="139"/>
        <v/>
      </c>
      <c r="Y385" s="146"/>
      <c r="Z385" s="139">
        <f t="shared" si="124"/>
        <v>6174.4941706831869</v>
      </c>
      <c r="AA385" s="114">
        <v>358</v>
      </c>
      <c r="AB385" s="46">
        <f t="shared" si="134"/>
        <v>-48.555318137664976</v>
      </c>
      <c r="AC385" s="47"/>
      <c r="AD385" s="49">
        <f t="shared" si="138"/>
        <v>27264.190131960437</v>
      </c>
      <c r="AE385" s="50"/>
      <c r="AF385" s="140"/>
      <c r="AG385" s="140"/>
      <c r="AH385" s="140">
        <f t="shared" si="125"/>
        <v>4244979.7688078545</v>
      </c>
      <c r="AI385" s="15"/>
      <c r="AJ385" s="9"/>
      <c r="AK385" s="9"/>
    </row>
    <row r="386" spans="2:42" ht="12" hidden="1" customHeight="1" outlineLevel="1" x14ac:dyDescent="0.25">
      <c r="B386" s="143" t="str">
        <f t="shared" si="126"/>
        <v/>
      </c>
      <c r="C386" s="16">
        <f t="shared" si="127"/>
        <v>2996306.0757527375</v>
      </c>
      <c r="D386" s="16">
        <f t="shared" si="135"/>
        <v>7549.8682839537332</v>
      </c>
      <c r="E386" s="16">
        <f t="shared" si="136"/>
        <v>-923.39445067753093</v>
      </c>
      <c r="F386" s="16">
        <f t="shared" si="137"/>
        <v>-451.97966259301552</v>
      </c>
      <c r="G386" s="16">
        <f t="shared" si="128"/>
        <v>0</v>
      </c>
      <c r="H386" s="16">
        <v>0</v>
      </c>
      <c r="I386" s="16">
        <v>0</v>
      </c>
      <c r="J386" s="16">
        <v>0</v>
      </c>
      <c r="K386" s="16">
        <f t="shared" si="129"/>
        <v>-2622.054407072922</v>
      </c>
      <c r="L386" s="16">
        <f t="shared" si="130"/>
        <v>1375.3741132705463</v>
      </c>
      <c r="M386" s="16">
        <f t="shared" si="118"/>
        <v>3997.4285203434683</v>
      </c>
      <c r="N386" s="16">
        <f t="shared" si="119"/>
        <v>4318.9972713680199</v>
      </c>
      <c r="O386" s="16">
        <f t="shared" si="120"/>
        <v>6174.4941706831869</v>
      </c>
      <c r="P386" s="16">
        <f t="shared" si="131"/>
        <v>2605.7683548499635</v>
      </c>
      <c r="Q386" s="16">
        <f t="shared" si="121"/>
        <v>2993700.3073978876</v>
      </c>
      <c r="R386" s="16">
        <f t="shared" si="122"/>
        <v>3867.0176087750042</v>
      </c>
      <c r="S386" s="16" cm="1">
        <f t="array" ref="S386">Y386*tax_rate</f>
        <v>0</v>
      </c>
      <c r="T386" s="16">
        <f t="shared" si="132"/>
        <v>1457558.9193043422</v>
      </c>
      <c r="U386" s="16">
        <f t="shared" si="123"/>
        <v>4451259.2267022301</v>
      </c>
      <c r="V386" s="16"/>
      <c r="W386" s="144">
        <f t="shared" si="133"/>
        <v>0.12684234861160754</v>
      </c>
      <c r="X386" s="144" t="str">
        <f t="shared" si="139"/>
        <v/>
      </c>
      <c r="Y386" s="146"/>
      <c r="Z386" s="139">
        <f t="shared" si="124"/>
        <v>6174.4941706831869</v>
      </c>
      <c r="AA386" s="114">
        <v>359</v>
      </c>
      <c r="AB386" s="46">
        <f t="shared" si="134"/>
        <v>-32.470948831819392</v>
      </c>
      <c r="AC386" s="47"/>
      <c r="AD386" s="49">
        <f t="shared" si="138"/>
        <v>27395.513073316775</v>
      </c>
      <c r="AE386" s="50"/>
      <c r="AF386" s="140"/>
      <c r="AG386" s="140"/>
      <c r="AH386" s="140">
        <f t="shared" si="125"/>
        <v>4271480.8621570654</v>
      </c>
      <c r="AI386" s="15"/>
      <c r="AJ386" s="9"/>
      <c r="AK386" s="9"/>
    </row>
    <row r="387" spans="2:42" ht="15" customHeight="1" collapsed="1" x14ac:dyDescent="0.25">
      <c r="B387" s="143">
        <f t="shared" si="126"/>
        <v>30</v>
      </c>
      <c r="C387" s="16">
        <f t="shared" si="127"/>
        <v>3011287.606131501</v>
      </c>
      <c r="D387" s="16">
        <f t="shared" si="135"/>
        <v>7549.8682839537332</v>
      </c>
      <c r="E387" s="16">
        <f t="shared" si="136"/>
        <v>-923.39445067753093</v>
      </c>
      <c r="F387" s="16">
        <f t="shared" si="137"/>
        <v>-451.97966259301552</v>
      </c>
      <c r="G387" s="16">
        <f t="shared" si="128"/>
        <v>0</v>
      </c>
      <c r="H387" s="16">
        <v>0</v>
      </c>
      <c r="I387" s="16">
        <v>0</v>
      </c>
      <c r="J387" s="16">
        <v>0</v>
      </c>
      <c r="K387" s="16">
        <f t="shared" si="129"/>
        <v>-2605.7683548499635</v>
      </c>
      <c r="L387" s="16">
        <f t="shared" si="130"/>
        <v>1375.3741132705463</v>
      </c>
      <c r="M387" s="16">
        <f t="shared" si="118"/>
        <v>3981.1424681205099</v>
      </c>
      <c r="N387" s="16">
        <f t="shared" si="119"/>
        <v>4335.2833235909784</v>
      </c>
      <c r="O387" s="16">
        <f t="shared" si="120"/>
        <v>6174.4941706831869</v>
      </c>
      <c r="P387" s="16">
        <f t="shared" si="131"/>
        <v>16.286052217775705</v>
      </c>
      <c r="Q387" s="16">
        <f t="shared" si="121"/>
        <v>3011271.3200792833</v>
      </c>
      <c r="R387" s="16">
        <f t="shared" si="122"/>
        <v>3883.3036609979627</v>
      </c>
      <c r="S387" s="16" cm="1">
        <f t="array" ref="S387">Y387*tax_rate</f>
        <v>5907.3800988275052</v>
      </c>
      <c r="T387" s="16">
        <f t="shared" si="132"/>
        <v>1473422.7652279355</v>
      </c>
      <c r="U387" s="16">
        <f t="shared" si="123"/>
        <v>4484694.0853072191</v>
      </c>
      <c r="V387" s="16">
        <f>U387-U375</f>
        <v>327667.19052313175</v>
      </c>
      <c r="W387" s="144">
        <f t="shared" si="133"/>
        <v>0.12674963751712756</v>
      </c>
      <c r="X387" s="144">
        <f t="shared" si="139"/>
        <v>7.882248511171841E-2</v>
      </c>
      <c r="Y387" s="145">
        <f>(((Sale_Price*0.8)+Improvement_Costs+Closing_Costs_Total)/27.5)+(-E387*12)+-AC387</f>
        <v>26851.727721943204</v>
      </c>
      <c r="Z387" s="139">
        <f t="shared" si="124"/>
        <v>6174.4941706831869</v>
      </c>
      <c r="AA387" s="114">
        <v>360</v>
      </c>
      <c r="AB387" s="46">
        <f t="shared" si="134"/>
        <v>0</v>
      </c>
      <c r="AC387" s="46">
        <f>SUM(AB376:AB387)</f>
        <v>-1225.5397683582894</v>
      </c>
      <c r="AD387" s="49">
        <f t="shared" si="138"/>
        <v>33434.858604989015</v>
      </c>
      <c r="AE387" s="50">
        <f>D387*12</f>
        <v>90598.419407444802</v>
      </c>
      <c r="AF387" s="140"/>
      <c r="AG387" s="140"/>
      <c r="AH387" s="140">
        <f t="shared" si="125"/>
        <v>4304016.8289393289</v>
      </c>
      <c r="AI387" s="15">
        <f>AI375*(1+Comparison_Rate_of_Return)</f>
        <v>2181175.2836108063</v>
      </c>
      <c r="AJ387" s="9"/>
      <c r="AK387" s="9"/>
    </row>
    <row r="388" spans="2:42" ht="12" hidden="1" customHeight="1" outlineLevel="1" x14ac:dyDescent="0.25">
      <c r="B388" s="143" t="str">
        <f t="shared" ref="B388:B447" si="140">IF(MOD(AA388,12)=0,AA388/12,"")</f>
        <v/>
      </c>
      <c r="C388" s="16">
        <f t="shared" si="127"/>
        <v>3026344.0441621584</v>
      </c>
      <c r="D388" s="16">
        <f t="shared" si="135"/>
        <v>7814.1136738921132</v>
      </c>
      <c r="E388" s="16">
        <f t="shared" si="136"/>
        <v>-955.71325645124443</v>
      </c>
      <c r="F388" s="16">
        <f t="shared" si="137"/>
        <v>-467.79895078377103</v>
      </c>
      <c r="G388" s="16">
        <f t="shared" si="128"/>
        <v>0</v>
      </c>
      <c r="H388" s="16">
        <v>0</v>
      </c>
      <c r="I388" s="16">
        <v>0</v>
      </c>
      <c r="J388" s="16">
        <v>0</v>
      </c>
      <c r="K388" s="16">
        <f t="shared" si="129"/>
        <v>-16.286052217775705</v>
      </c>
      <c r="L388" s="16">
        <f t="shared" si="130"/>
        <v>1423.5122072350155</v>
      </c>
      <c r="M388" s="16">
        <f t="shared" si="118"/>
        <v>1439.7982594527912</v>
      </c>
      <c r="N388" s="16">
        <f t="shared" si="119"/>
        <v>7167.702434968598</v>
      </c>
      <c r="O388" s="16">
        <f t="shared" si="120"/>
        <v>6390.6014666570982</v>
      </c>
      <c r="P388" s="16">
        <f t="shared" si="131"/>
        <v>0.10178782636086936</v>
      </c>
      <c r="Q388" s="16">
        <f t="shared" si="121"/>
        <v>3026343.9423743319</v>
      </c>
      <c r="R388" s="16">
        <f t="shared" si="122"/>
        <v>6699.903484184827</v>
      </c>
      <c r="S388" s="16" cm="1">
        <f t="array" ref="S388">Y388*tax_rate</f>
        <v>0</v>
      </c>
      <c r="T388" s="16">
        <f t="shared" si="132"/>
        <v>1486261.9302339032</v>
      </c>
      <c r="U388" s="16">
        <f t="shared" si="123"/>
        <v>4512605.8726082351</v>
      </c>
      <c r="V388" s="16"/>
      <c r="W388" s="144">
        <f t="shared" si="133"/>
        <v>0.12660955768402324</v>
      </c>
      <c r="X388" s="144" t="str">
        <f t="shared" si="139"/>
        <v/>
      </c>
      <c r="Y388" s="145"/>
      <c r="Z388" s="139">
        <f t="shared" si="124"/>
        <v>6390.6014666570982</v>
      </c>
      <c r="AA388" s="114">
        <v>361</v>
      </c>
      <c r="AB388" s="46">
        <f t="shared" si="134"/>
        <v>0</v>
      </c>
      <c r="AC388" s="46"/>
      <c r="AD388" s="49">
        <f t="shared" ref="AD388:AD447" si="141">U388-U387</f>
        <v>27911.78730101604</v>
      </c>
      <c r="AE388" s="50"/>
      <c r="AF388" s="140"/>
      <c r="AG388" s="140"/>
      <c r="AH388" s="140">
        <f t="shared" si="125"/>
        <v>4331025.2299585054</v>
      </c>
      <c r="AI388" s="15"/>
      <c r="AJ388" s="9"/>
      <c r="AK388" s="9"/>
    </row>
    <row r="389" spans="2:42" ht="12" hidden="1" customHeight="1" outlineLevel="1" x14ac:dyDescent="0.25">
      <c r="B389" s="143" t="str">
        <f t="shared" si="140"/>
        <v/>
      </c>
      <c r="C389" s="16">
        <f t="shared" si="127"/>
        <v>3041475.7643829687</v>
      </c>
      <c r="D389" s="16">
        <f t="shared" si="135"/>
        <v>7814.1136738921132</v>
      </c>
      <c r="E389" s="16">
        <f t="shared" si="136"/>
        <v>-955.71325645124443</v>
      </c>
      <c r="F389" s="16">
        <f t="shared" si="137"/>
        <v>-467.79895078377103</v>
      </c>
      <c r="G389" s="16">
        <f t="shared" si="128"/>
        <v>0</v>
      </c>
      <c r="H389" s="16">
        <v>0</v>
      </c>
      <c r="I389" s="16">
        <v>0</v>
      </c>
      <c r="J389" s="16">
        <v>0</v>
      </c>
      <c r="K389" s="16">
        <f t="shared" si="129"/>
        <v>-0.10178782636086936</v>
      </c>
      <c r="L389" s="16">
        <f t="shared" si="130"/>
        <v>1423.5122072350155</v>
      </c>
      <c r="M389" s="16">
        <f t="shared" si="118"/>
        <v>1423.6139950613763</v>
      </c>
      <c r="N389" s="16">
        <f t="shared" si="119"/>
        <v>7183.8866993600132</v>
      </c>
      <c r="O389" s="16">
        <f t="shared" si="120"/>
        <v>6390.6014666570982</v>
      </c>
      <c r="P389" s="16">
        <f t="shared" si="131"/>
        <v>6.3617391475399854E-4</v>
      </c>
      <c r="Q389" s="16">
        <f t="shared" si="121"/>
        <v>3041475.7637467948</v>
      </c>
      <c r="R389" s="16">
        <f t="shared" si="122"/>
        <v>6716.0877485762421</v>
      </c>
      <c r="S389" s="16" cm="1">
        <f t="array" ref="S389">Y389*tax_rate</f>
        <v>0</v>
      </c>
      <c r="T389" s="16">
        <f t="shared" si="132"/>
        <v>1499170.7760251206</v>
      </c>
      <c r="U389" s="16">
        <f t="shared" si="123"/>
        <v>4540646.5397719154</v>
      </c>
      <c r="V389" s="16"/>
      <c r="W389" s="144">
        <f t="shared" si="133"/>
        <v>0.12646990031150257</v>
      </c>
      <c r="X389" s="144" t="str">
        <f t="shared" si="139"/>
        <v/>
      </c>
      <c r="Y389" s="146"/>
      <c r="Z389" s="139">
        <f t="shared" si="124"/>
        <v>6390.6014666570982</v>
      </c>
      <c r="AA389" s="114">
        <v>362</v>
      </c>
      <c r="AB389" s="46">
        <f t="shared" si="134"/>
        <v>0</v>
      </c>
      <c r="AC389" s="47"/>
      <c r="AD389" s="49">
        <f t="shared" si="141"/>
        <v>28040.667163680308</v>
      </c>
      <c r="AE389" s="50"/>
      <c r="AF389" s="140"/>
      <c r="AG389" s="140"/>
      <c r="AH389" s="140">
        <f t="shared" si="125"/>
        <v>4358157.9939089371</v>
      </c>
      <c r="AI389" s="15"/>
      <c r="AJ389" s="9"/>
      <c r="AK389" s="9"/>
    </row>
    <row r="390" spans="2:42" ht="12" hidden="1" customHeight="1" outlineLevel="1" x14ac:dyDescent="0.25">
      <c r="B390" s="143" t="str">
        <f t="shared" si="140"/>
        <v/>
      </c>
      <c r="C390" s="16">
        <f t="shared" si="127"/>
        <v>3056683.1432048832</v>
      </c>
      <c r="D390" s="16">
        <f t="shared" si="135"/>
        <v>7814.1136738921132</v>
      </c>
      <c r="E390" s="16">
        <f t="shared" si="136"/>
        <v>-955.71325645124443</v>
      </c>
      <c r="F390" s="16">
        <f t="shared" si="137"/>
        <v>-467.79895078377103</v>
      </c>
      <c r="G390" s="16">
        <f t="shared" si="128"/>
        <v>0</v>
      </c>
      <c r="H390" s="16">
        <v>0</v>
      </c>
      <c r="I390" s="16">
        <v>0</v>
      </c>
      <c r="J390" s="16">
        <v>0</v>
      </c>
      <c r="K390" s="16">
        <f t="shared" si="129"/>
        <v>-6.3617391475399854E-4</v>
      </c>
      <c r="L390" s="16">
        <f t="shared" si="130"/>
        <v>1423.5122072350155</v>
      </c>
      <c r="M390" s="16">
        <f t="shared" si="118"/>
        <v>1423.5128434089302</v>
      </c>
      <c r="N390" s="16">
        <f t="shared" si="119"/>
        <v>7183.987851012459</v>
      </c>
      <c r="O390" s="16">
        <f t="shared" si="120"/>
        <v>6390.6014666570982</v>
      </c>
      <c r="P390" s="16">
        <f t="shared" si="131"/>
        <v>3.976086967203557E-6</v>
      </c>
      <c r="Q390" s="16">
        <f t="shared" si="121"/>
        <v>3056683.1432009069</v>
      </c>
      <c r="R390" s="16">
        <f t="shared" si="122"/>
        <v>6716.188900228688</v>
      </c>
      <c r="S390" s="16" cm="1">
        <f t="array" ref="S390">Y390*tax_rate</f>
        <v>0</v>
      </c>
      <c r="T390" s="16">
        <f t="shared" si="132"/>
        <v>1512133.5098254539</v>
      </c>
      <c r="U390" s="16">
        <f t="shared" si="123"/>
        <v>4568816.653026361</v>
      </c>
      <c r="V390" s="16"/>
      <c r="W390" s="144">
        <f t="shared" si="133"/>
        <v>0.12633066451478614</v>
      </c>
      <c r="X390" s="144" t="str">
        <f t="shared" si="139"/>
        <v/>
      </c>
      <c r="Y390" s="146"/>
      <c r="Z390" s="139">
        <f t="shared" si="124"/>
        <v>6390.6014666570982</v>
      </c>
      <c r="AA390" s="114">
        <v>363</v>
      </c>
      <c r="AB390" s="46">
        <f t="shared" si="134"/>
        <v>0</v>
      </c>
      <c r="AC390" s="47"/>
      <c r="AD390" s="49">
        <f t="shared" si="141"/>
        <v>28170.113254445605</v>
      </c>
      <c r="AE390" s="50"/>
      <c r="AF390" s="140"/>
      <c r="AG390" s="140"/>
      <c r="AH390" s="140">
        <f t="shared" si="125"/>
        <v>4385415.6644340679</v>
      </c>
      <c r="AI390" s="15"/>
      <c r="AM390" s="9"/>
      <c r="AN390" s="9"/>
      <c r="AO390" s="9"/>
    </row>
    <row r="391" spans="2:42" ht="12" hidden="1" customHeight="1" outlineLevel="1" x14ac:dyDescent="0.25">
      <c r="B391" s="143" t="str">
        <f t="shared" si="140"/>
        <v/>
      </c>
      <c r="C391" s="16">
        <f t="shared" si="127"/>
        <v>3071966.5589209073</v>
      </c>
      <c r="D391" s="16">
        <f t="shared" si="135"/>
        <v>7814.1136738921132</v>
      </c>
      <c r="E391" s="16">
        <f t="shared" si="136"/>
        <v>-955.71325645124443</v>
      </c>
      <c r="F391" s="16">
        <f t="shared" si="137"/>
        <v>-467.79895078377103</v>
      </c>
      <c r="G391" s="16">
        <f t="shared" si="128"/>
        <v>0</v>
      </c>
      <c r="H391" s="16">
        <v>0</v>
      </c>
      <c r="I391" s="16">
        <v>0</v>
      </c>
      <c r="J391" s="16">
        <v>0</v>
      </c>
      <c r="K391" s="16">
        <f t="shared" si="129"/>
        <v>-3.976086967203557E-6</v>
      </c>
      <c r="L391" s="16">
        <f t="shared" si="130"/>
        <v>1423.5122072350155</v>
      </c>
      <c r="M391" s="16">
        <f t="shared" si="118"/>
        <v>1423.5122112111023</v>
      </c>
      <c r="N391" s="16">
        <f t="shared" si="119"/>
        <v>7183.9884832102871</v>
      </c>
      <c r="O391" s="16">
        <f t="shared" si="120"/>
        <v>6390.6014666570982</v>
      </c>
      <c r="P391" s="16">
        <f t="shared" si="131"/>
        <v>2.4850543544965988E-8</v>
      </c>
      <c r="Q391" s="16">
        <f t="shared" si="121"/>
        <v>3071966.5589208826</v>
      </c>
      <c r="R391" s="16">
        <f t="shared" si="122"/>
        <v>6716.1895324265161</v>
      </c>
      <c r="S391" s="16" cm="1">
        <f t="array" ref="S391">Y391*tax_rate</f>
        <v>0</v>
      </c>
      <c r="T391" s="16">
        <f t="shared" si="132"/>
        <v>1525150.2556488197</v>
      </c>
      <c r="U391" s="16">
        <f t="shared" si="123"/>
        <v>4597116.8145697024</v>
      </c>
      <c r="V391" s="16"/>
      <c r="W391" s="144">
        <f t="shared" si="133"/>
        <v>0.12619184966295072</v>
      </c>
      <c r="X391" s="144" t="str">
        <f t="shared" si="139"/>
        <v/>
      </c>
      <c r="Y391" s="146"/>
      <c r="Z391" s="139">
        <f t="shared" si="124"/>
        <v>6390.6014666570982</v>
      </c>
      <c r="AA391" s="114">
        <v>364</v>
      </c>
      <c r="AB391" s="46">
        <f t="shared" si="134"/>
        <v>0</v>
      </c>
      <c r="AC391" s="47"/>
      <c r="AD391" s="47">
        <f t="shared" si="141"/>
        <v>28300.161543341354</v>
      </c>
      <c r="AE391" s="86"/>
      <c r="AF391" s="140"/>
      <c r="AG391" s="140"/>
      <c r="AH391" s="140">
        <f t="shared" si="125"/>
        <v>4412798.8210344482</v>
      </c>
      <c r="AI391" s="15"/>
      <c r="AM391" s="9"/>
      <c r="AN391" s="9"/>
      <c r="AO391" s="9"/>
    </row>
    <row r="392" spans="2:42" ht="12" hidden="1" customHeight="1" outlineLevel="1" x14ac:dyDescent="0.25">
      <c r="B392" s="143" t="str">
        <f t="shared" si="140"/>
        <v/>
      </c>
      <c r="C392" s="16">
        <f t="shared" si="127"/>
        <v>3087326.3917155117</v>
      </c>
      <c r="D392" s="16">
        <f t="shared" si="135"/>
        <v>7814.1136738921132</v>
      </c>
      <c r="E392" s="16">
        <f t="shared" si="136"/>
        <v>-955.71325645124443</v>
      </c>
      <c r="F392" s="16">
        <f t="shared" si="137"/>
        <v>-467.79895078377103</v>
      </c>
      <c r="G392" s="16">
        <f t="shared" si="128"/>
        <v>0</v>
      </c>
      <c r="H392" s="16">
        <v>0</v>
      </c>
      <c r="I392" s="16">
        <v>0</v>
      </c>
      <c r="J392" s="16">
        <v>0</v>
      </c>
      <c r="K392" s="16">
        <f t="shared" si="129"/>
        <v>-2.4850543544965988E-8</v>
      </c>
      <c r="L392" s="16">
        <f t="shared" si="130"/>
        <v>1423.5122072350155</v>
      </c>
      <c r="M392" s="16">
        <f t="shared" si="118"/>
        <v>1423.512207259866</v>
      </c>
      <c r="N392" s="16">
        <f t="shared" si="119"/>
        <v>7183.9884871615241</v>
      </c>
      <c r="O392" s="16">
        <f t="shared" si="120"/>
        <v>6390.6014666570982</v>
      </c>
      <c r="P392" s="16">
        <f t="shared" si="131"/>
        <v>1.553158971556867E-10</v>
      </c>
      <c r="Q392" s="16">
        <f t="shared" si="121"/>
        <v>3087326.3917155117</v>
      </c>
      <c r="R392" s="16">
        <f t="shared" si="122"/>
        <v>6716.189536377753</v>
      </c>
      <c r="S392" s="16" cm="1">
        <f t="array" ref="S392">Y392*tax_rate</f>
        <v>0</v>
      </c>
      <c r="T392" s="16">
        <f t="shared" si="132"/>
        <v>1538221.2379170675</v>
      </c>
      <c r="U392" s="16">
        <f t="shared" si="123"/>
        <v>4625547.6296325792</v>
      </c>
      <c r="V392" s="16"/>
      <c r="W392" s="144">
        <f t="shared" si="133"/>
        <v>0.12605345510364119</v>
      </c>
      <c r="X392" s="144" t="str">
        <f t="shared" si="139"/>
        <v/>
      </c>
      <c r="Y392" s="146"/>
      <c r="Z392" s="139">
        <f t="shared" si="124"/>
        <v>6390.6014666570982</v>
      </c>
      <c r="AA392" s="114">
        <v>365</v>
      </c>
      <c r="AB392" s="46">
        <f t="shared" si="134"/>
        <v>0</v>
      </c>
      <c r="AC392" s="47"/>
      <c r="AD392" s="47">
        <f t="shared" si="141"/>
        <v>28430.815062876791</v>
      </c>
      <c r="AE392" s="86"/>
      <c r="AF392" s="140"/>
      <c r="AG392" s="140"/>
      <c r="AH392" s="140">
        <f t="shared" si="125"/>
        <v>4440308.0461296486</v>
      </c>
      <c r="AI392" s="15"/>
      <c r="AM392" s="9"/>
      <c r="AN392" s="9"/>
      <c r="AO392" s="9"/>
    </row>
    <row r="393" spans="2:42" ht="12" hidden="1" customHeight="1" outlineLevel="1" x14ac:dyDescent="0.25">
      <c r="B393" s="143" t="str">
        <f t="shared" si="140"/>
        <v/>
      </c>
      <c r="C393" s="16">
        <f t="shared" si="127"/>
        <v>3102763.023674089</v>
      </c>
      <c r="D393" s="16">
        <f t="shared" si="135"/>
        <v>7814.1136738921132</v>
      </c>
      <c r="E393" s="16">
        <f t="shared" si="136"/>
        <v>-955.71325645124443</v>
      </c>
      <c r="F393" s="16">
        <f t="shared" si="137"/>
        <v>-467.79895078377103</v>
      </c>
      <c r="G393" s="16">
        <f t="shared" si="128"/>
        <v>0</v>
      </c>
      <c r="H393" s="16">
        <v>0</v>
      </c>
      <c r="I393" s="16">
        <v>0</v>
      </c>
      <c r="J393" s="16">
        <v>0</v>
      </c>
      <c r="K393" s="16">
        <f t="shared" si="129"/>
        <v>-1.553158971556867E-10</v>
      </c>
      <c r="L393" s="16">
        <f t="shared" si="130"/>
        <v>1423.5122072350155</v>
      </c>
      <c r="M393" s="16">
        <f t="shared" si="118"/>
        <v>1423.5122072351708</v>
      </c>
      <c r="N393" s="16">
        <f t="shared" si="119"/>
        <v>7183.9884871862187</v>
      </c>
      <c r="O393" s="16">
        <f t="shared" si="120"/>
        <v>6390.6014666570982</v>
      </c>
      <c r="P393" s="16">
        <f t="shared" si="131"/>
        <v>9.7072435722087055E-13</v>
      </c>
      <c r="Q393" s="16">
        <f t="shared" si="121"/>
        <v>3102763.023674089</v>
      </c>
      <c r="R393" s="16">
        <f t="shared" si="122"/>
        <v>6716.1895364024476</v>
      </c>
      <c r="S393" s="16" cm="1">
        <f t="array" ref="S393">Y393*tax_rate</f>
        <v>0</v>
      </c>
      <c r="T393" s="16">
        <f t="shared" si="132"/>
        <v>1551346.6826114578</v>
      </c>
      <c r="U393" s="16">
        <f t="shared" si="123"/>
        <v>4654109.7062855465</v>
      </c>
      <c r="V393" s="16"/>
      <c r="W393" s="144">
        <f t="shared" si="133"/>
        <v>0.12591548016208623</v>
      </c>
      <c r="X393" s="144" t="str">
        <f t="shared" si="139"/>
        <v/>
      </c>
      <c r="Y393" s="146"/>
      <c r="Z393" s="139">
        <f t="shared" si="124"/>
        <v>6390.6014666570982</v>
      </c>
      <c r="AA393" s="114">
        <v>366</v>
      </c>
      <c r="AB393" s="46">
        <f t="shared" si="134"/>
        <v>0</v>
      </c>
      <c r="AC393" s="47"/>
      <c r="AD393" s="47">
        <f t="shared" si="141"/>
        <v>28562.076652967371</v>
      </c>
      <c r="AE393" s="86"/>
      <c r="AF393" s="140"/>
      <c r="AG393" s="140"/>
      <c r="AH393" s="140">
        <f t="shared" si="125"/>
        <v>4467943.9248651015</v>
      </c>
      <c r="AI393" s="15"/>
      <c r="AN393" s="9"/>
      <c r="AO393" s="9"/>
      <c r="AP393" s="9"/>
    </row>
    <row r="394" spans="2:42" ht="12" hidden="1" customHeight="1" outlineLevel="1" x14ac:dyDescent="0.25">
      <c r="B394" s="143" t="str">
        <f t="shared" si="140"/>
        <v/>
      </c>
      <c r="C394" s="16">
        <f t="shared" si="127"/>
        <v>3118276.8387924591</v>
      </c>
      <c r="D394" s="16">
        <f t="shared" si="135"/>
        <v>7814.1136738921132</v>
      </c>
      <c r="E394" s="16">
        <f t="shared" si="136"/>
        <v>-955.71325645124443</v>
      </c>
      <c r="F394" s="16">
        <f t="shared" si="137"/>
        <v>-467.79895078377103</v>
      </c>
      <c r="G394" s="16">
        <f t="shared" si="128"/>
        <v>0</v>
      </c>
      <c r="H394" s="16">
        <v>0</v>
      </c>
      <c r="I394" s="16">
        <v>0</v>
      </c>
      <c r="J394" s="16">
        <v>0</v>
      </c>
      <c r="K394" s="16">
        <f t="shared" si="129"/>
        <v>-9.7072435722087055E-13</v>
      </c>
      <c r="L394" s="16">
        <f t="shared" si="130"/>
        <v>1423.5122072350155</v>
      </c>
      <c r="M394" s="16">
        <f t="shared" si="118"/>
        <v>1423.5122072350164</v>
      </c>
      <c r="N394" s="16">
        <f t="shared" si="119"/>
        <v>7183.9884871863733</v>
      </c>
      <c r="O394" s="16">
        <f t="shared" si="120"/>
        <v>6390.6014666570982</v>
      </c>
      <c r="P394" s="16">
        <f t="shared" si="131"/>
        <v>6.0670272326167084E-15</v>
      </c>
      <c r="Q394" s="16">
        <f t="shared" si="121"/>
        <v>3118276.8387924591</v>
      </c>
      <c r="R394" s="16">
        <f t="shared" si="122"/>
        <v>6716.1895364026022</v>
      </c>
      <c r="S394" s="16" cm="1">
        <f t="array" ref="S394">Y394*tax_rate</f>
        <v>0</v>
      </c>
      <c r="T394" s="16">
        <f t="shared" si="132"/>
        <v>1564526.8166587416</v>
      </c>
      <c r="U394" s="16">
        <f t="shared" si="123"/>
        <v>4682803.6554512009</v>
      </c>
      <c r="V394" s="16"/>
      <c r="W394" s="144">
        <f t="shared" si="133"/>
        <v>0.12577792414179653</v>
      </c>
      <c r="X394" s="144" t="str">
        <f t="shared" si="139"/>
        <v/>
      </c>
      <c r="Y394" s="146"/>
      <c r="Z394" s="139">
        <f t="shared" si="124"/>
        <v>6390.6014666570982</v>
      </c>
      <c r="AA394" s="114">
        <v>367</v>
      </c>
      <c r="AB394" s="46">
        <f t="shared" si="134"/>
        <v>0</v>
      </c>
      <c r="AC394" s="47"/>
      <c r="AD394" s="47">
        <f t="shared" si="141"/>
        <v>28693.949165654369</v>
      </c>
      <c r="AE394" s="86"/>
      <c r="AF394" s="140"/>
      <c r="AG394" s="140"/>
      <c r="AH394" s="140">
        <f t="shared" si="125"/>
        <v>4495707.0451236535</v>
      </c>
      <c r="AI394" s="15"/>
      <c r="AN394" s="9"/>
      <c r="AO394" s="9"/>
      <c r="AP394" s="9"/>
    </row>
    <row r="395" spans="2:42" ht="12" hidden="1" customHeight="1" outlineLevel="1" x14ac:dyDescent="0.25">
      <c r="B395" s="143" t="str">
        <f t="shared" si="140"/>
        <v/>
      </c>
      <c r="C395" s="16">
        <f t="shared" si="127"/>
        <v>3133868.2229864211</v>
      </c>
      <c r="D395" s="16">
        <f t="shared" si="135"/>
        <v>7814.1136738921132</v>
      </c>
      <c r="E395" s="16">
        <f t="shared" si="136"/>
        <v>-955.71325645124443</v>
      </c>
      <c r="F395" s="16">
        <f t="shared" si="137"/>
        <v>-467.79895078377103</v>
      </c>
      <c r="G395" s="16">
        <f t="shared" si="128"/>
        <v>0</v>
      </c>
      <c r="H395" s="16">
        <v>0</v>
      </c>
      <c r="I395" s="16">
        <v>0</v>
      </c>
      <c r="J395" s="16">
        <v>0</v>
      </c>
      <c r="K395" s="16">
        <f t="shared" si="129"/>
        <v>-6.0670272326167084E-15</v>
      </c>
      <c r="L395" s="16">
        <f t="shared" si="130"/>
        <v>1423.5122072350155</v>
      </c>
      <c r="M395" s="16">
        <f t="shared" si="118"/>
        <v>1423.5122072350155</v>
      </c>
      <c r="N395" s="16">
        <f t="shared" si="119"/>
        <v>7183.9884871863742</v>
      </c>
      <c r="O395" s="16">
        <f t="shared" si="120"/>
        <v>6390.6014666570982</v>
      </c>
      <c r="P395" s="16">
        <f t="shared" si="131"/>
        <v>3.7918920203768915E-17</v>
      </c>
      <c r="Q395" s="16">
        <f t="shared" si="121"/>
        <v>3133868.2229864211</v>
      </c>
      <c r="R395" s="16">
        <f t="shared" si="122"/>
        <v>6716.1895364026032</v>
      </c>
      <c r="S395" s="16" cm="1">
        <f t="array" ref="S395">Y395*tax_rate</f>
        <v>0</v>
      </c>
      <c r="T395" s="16">
        <f t="shared" si="132"/>
        <v>1577761.8679312223</v>
      </c>
      <c r="U395" s="16">
        <f t="shared" si="123"/>
        <v>4711630.0909176432</v>
      </c>
      <c r="V395" s="16"/>
      <c r="W395" s="144">
        <f t="shared" si="133"/>
        <v>0.12564078632525041</v>
      </c>
      <c r="X395" s="144" t="str">
        <f t="shared" si="139"/>
        <v/>
      </c>
      <c r="Y395" s="146"/>
      <c r="Z395" s="139">
        <f t="shared" si="124"/>
        <v>6390.6014666570982</v>
      </c>
      <c r="AA395" s="114">
        <v>368</v>
      </c>
      <c r="AB395" s="46">
        <f t="shared" si="134"/>
        <v>0</v>
      </c>
      <c r="AC395" s="47"/>
      <c r="AD395" s="49">
        <f t="shared" si="141"/>
        <v>28826.435466442257</v>
      </c>
      <c r="AE395" s="50"/>
      <c r="AF395" s="140"/>
      <c r="AG395" s="140"/>
      <c r="AH395" s="140">
        <f t="shared" si="125"/>
        <v>4523597.9975384576</v>
      </c>
      <c r="AI395" s="16"/>
      <c r="AN395" s="9"/>
      <c r="AO395" s="9"/>
      <c r="AP395" s="9"/>
    </row>
    <row r="396" spans="2:42" ht="12" hidden="1" customHeight="1" outlineLevel="1" x14ac:dyDescent="0.25">
      <c r="B396" s="143" t="str">
        <f t="shared" si="140"/>
        <v/>
      </c>
      <c r="C396" s="16">
        <f t="shared" si="127"/>
        <v>3149537.5641013528</v>
      </c>
      <c r="D396" s="16">
        <f t="shared" si="135"/>
        <v>7814.1136738921132</v>
      </c>
      <c r="E396" s="16">
        <f t="shared" si="136"/>
        <v>-955.71325645124443</v>
      </c>
      <c r="F396" s="16">
        <f t="shared" si="137"/>
        <v>-467.79895078377103</v>
      </c>
      <c r="G396" s="16">
        <f t="shared" si="128"/>
        <v>0</v>
      </c>
      <c r="H396" s="16">
        <v>0</v>
      </c>
      <c r="I396" s="16">
        <v>0</v>
      </c>
      <c r="J396" s="16">
        <v>0</v>
      </c>
      <c r="K396" s="16">
        <f t="shared" si="129"/>
        <v>-3.7918920203768915E-17</v>
      </c>
      <c r="L396" s="16">
        <f t="shared" si="130"/>
        <v>1423.5122072350155</v>
      </c>
      <c r="M396" s="16">
        <f t="shared" si="118"/>
        <v>1423.5122072350155</v>
      </c>
      <c r="N396" s="16">
        <f t="shared" si="119"/>
        <v>7183.9884871863742</v>
      </c>
      <c r="O396" s="16">
        <f t="shared" si="120"/>
        <v>6390.6014666570982</v>
      </c>
      <c r="P396" s="16">
        <f t="shared" si="131"/>
        <v>2.3699325127302447E-19</v>
      </c>
      <c r="Q396" s="16">
        <f t="shared" si="121"/>
        <v>3149537.5641013528</v>
      </c>
      <c r="R396" s="16">
        <f t="shared" si="122"/>
        <v>6716.1895364026032</v>
      </c>
      <c r="S396" s="16" cm="1">
        <f t="array" ref="S396">Y396*tax_rate</f>
        <v>0</v>
      </c>
      <c r="T396" s="16">
        <f t="shared" si="132"/>
        <v>1591052.0652506717</v>
      </c>
      <c r="U396" s="16">
        <f t="shared" si="123"/>
        <v>4740589.6293520248</v>
      </c>
      <c r="V396" s="16"/>
      <c r="W396" s="144">
        <f t="shared" si="133"/>
        <v>0.12550406597457389</v>
      </c>
      <c r="X396" s="144" t="str">
        <f t="shared" si="139"/>
        <v/>
      </c>
      <c r="Y396" s="146"/>
      <c r="Z396" s="139">
        <f t="shared" si="124"/>
        <v>6390.6014666570982</v>
      </c>
      <c r="AA396" s="114">
        <v>369</v>
      </c>
      <c r="AB396" s="46">
        <f t="shared" si="134"/>
        <v>0</v>
      </c>
      <c r="AC396" s="47"/>
      <c r="AD396" s="49">
        <f t="shared" si="141"/>
        <v>28959.538434381597</v>
      </c>
      <c r="AE396" s="50"/>
      <c r="AF396" s="140"/>
      <c r="AG396" s="140"/>
      <c r="AH396" s="140">
        <f t="shared" si="125"/>
        <v>4551617.3755059438</v>
      </c>
      <c r="AI396" s="16"/>
      <c r="AN396" s="9"/>
      <c r="AO396" s="9"/>
      <c r="AP396" s="9"/>
    </row>
    <row r="397" spans="2:42" ht="12" hidden="1" customHeight="1" outlineLevel="1" x14ac:dyDescent="0.25">
      <c r="B397" s="143" t="str">
        <f t="shared" si="140"/>
        <v/>
      </c>
      <c r="C397" s="16">
        <f t="shared" si="127"/>
        <v>3165285.2519218591</v>
      </c>
      <c r="D397" s="16">
        <f t="shared" si="135"/>
        <v>7814.1136738921132</v>
      </c>
      <c r="E397" s="16">
        <f t="shared" si="136"/>
        <v>-955.71325645124443</v>
      </c>
      <c r="F397" s="16">
        <f t="shared" si="137"/>
        <v>-467.79895078377103</v>
      </c>
      <c r="G397" s="16">
        <f t="shared" si="128"/>
        <v>0</v>
      </c>
      <c r="H397" s="16">
        <v>0</v>
      </c>
      <c r="I397" s="16">
        <v>0</v>
      </c>
      <c r="J397" s="16">
        <v>0</v>
      </c>
      <c r="K397" s="16">
        <f t="shared" si="129"/>
        <v>-2.3699325127302447E-19</v>
      </c>
      <c r="L397" s="16">
        <f t="shared" si="130"/>
        <v>1423.5122072350155</v>
      </c>
      <c r="M397" s="16">
        <f t="shared" si="118"/>
        <v>1423.5122072350155</v>
      </c>
      <c r="N397" s="16">
        <f t="shared" si="119"/>
        <v>7183.9884871863742</v>
      </c>
      <c r="O397" s="16">
        <f t="shared" si="120"/>
        <v>6390.6014666570982</v>
      </c>
      <c r="P397" s="16">
        <f t="shared" si="131"/>
        <v>1.4812078204530326E-21</v>
      </c>
      <c r="Q397" s="16">
        <f t="shared" si="121"/>
        <v>3165285.2519218591</v>
      </c>
      <c r="R397" s="16">
        <f t="shared" si="122"/>
        <v>6716.1895364026032</v>
      </c>
      <c r="S397" s="16" cm="1">
        <f t="array" ref="S397">Y397*tax_rate</f>
        <v>0</v>
      </c>
      <c r="T397" s="16">
        <f t="shared" si="132"/>
        <v>1604397.6383922854</v>
      </c>
      <c r="U397" s="16">
        <f t="shared" si="123"/>
        <v>4769682.890314145</v>
      </c>
      <c r="V397" s="16"/>
      <c r="W397" s="144">
        <f t="shared" si="133"/>
        <v>0.12536776233218341</v>
      </c>
      <c r="X397" s="144" t="str">
        <f t="shared" si="139"/>
        <v/>
      </c>
      <c r="Y397" s="146"/>
      <c r="Z397" s="139">
        <f t="shared" si="124"/>
        <v>6390.6014666570982</v>
      </c>
      <c r="AA397" s="114">
        <v>370</v>
      </c>
      <c r="AB397" s="46">
        <f t="shared" si="134"/>
        <v>0</v>
      </c>
      <c r="AC397" s="47"/>
      <c r="AD397" s="49">
        <f t="shared" si="141"/>
        <v>29093.260962120257</v>
      </c>
      <c r="AE397" s="50"/>
      <c r="AF397" s="140"/>
      <c r="AG397" s="140"/>
      <c r="AH397" s="140">
        <f t="shared" si="125"/>
        <v>4579765.7751988331</v>
      </c>
      <c r="AI397" s="16"/>
      <c r="AN397" s="9"/>
      <c r="AO397" s="9"/>
      <c r="AP397" s="9"/>
    </row>
    <row r="398" spans="2:42" ht="12" hidden="1" customHeight="1" outlineLevel="1" x14ac:dyDescent="0.25">
      <c r="B398" s="143" t="str">
        <f t="shared" si="140"/>
        <v/>
      </c>
      <c r="C398" s="16">
        <f t="shared" si="127"/>
        <v>3181111.678181468</v>
      </c>
      <c r="D398" s="16">
        <f t="shared" si="135"/>
        <v>7814.1136738921132</v>
      </c>
      <c r="E398" s="16">
        <f t="shared" si="136"/>
        <v>-955.71325645124443</v>
      </c>
      <c r="F398" s="16">
        <f t="shared" si="137"/>
        <v>-467.79895078377103</v>
      </c>
      <c r="G398" s="16">
        <f t="shared" si="128"/>
        <v>0</v>
      </c>
      <c r="H398" s="16">
        <v>0</v>
      </c>
      <c r="I398" s="16">
        <v>0</v>
      </c>
      <c r="J398" s="16">
        <v>0</v>
      </c>
      <c r="K398" s="16">
        <f t="shared" si="129"/>
        <v>-1.4812078204530326E-21</v>
      </c>
      <c r="L398" s="16">
        <f t="shared" si="130"/>
        <v>1423.5122072350155</v>
      </c>
      <c r="M398" s="16">
        <f t="shared" si="118"/>
        <v>1423.5122072350155</v>
      </c>
      <c r="N398" s="16">
        <f t="shared" si="119"/>
        <v>7183.9884871863742</v>
      </c>
      <c r="O398" s="16">
        <f t="shared" si="120"/>
        <v>6390.6014666570982</v>
      </c>
      <c r="P398" s="16">
        <f t="shared" si="131"/>
        <v>9.2575488778105391E-24</v>
      </c>
      <c r="Q398" s="16">
        <f t="shared" si="121"/>
        <v>3181111.678181468</v>
      </c>
      <c r="R398" s="16">
        <f t="shared" si="122"/>
        <v>6716.1895364026032</v>
      </c>
      <c r="S398" s="16" cm="1">
        <f t="array" ref="S398">Y398*tax_rate</f>
        <v>0</v>
      </c>
      <c r="T398" s="16">
        <f t="shared" si="132"/>
        <v>1617798.8180886561</v>
      </c>
      <c r="U398" s="16">
        <f t="shared" si="123"/>
        <v>4798910.4962701239</v>
      </c>
      <c r="V398" s="16"/>
      <c r="W398" s="144">
        <f t="shared" si="133"/>
        <v>0.12523187462143212</v>
      </c>
      <c r="X398" s="144" t="str">
        <f t="shared" si="139"/>
        <v/>
      </c>
      <c r="Y398" s="146"/>
      <c r="Z398" s="139">
        <f t="shared" si="124"/>
        <v>6390.6014666570982</v>
      </c>
      <c r="AA398" s="114">
        <v>371</v>
      </c>
      <c r="AB398" s="46">
        <f t="shared" si="134"/>
        <v>0</v>
      </c>
      <c r="AC398" s="47"/>
      <c r="AD398" s="49">
        <f t="shared" si="141"/>
        <v>29227.605955978855</v>
      </c>
      <c r="AE398" s="50"/>
      <c r="AF398" s="140"/>
      <c r="AG398" s="140"/>
      <c r="AH398" s="140">
        <f t="shared" si="125"/>
        <v>4608043.795579236</v>
      </c>
      <c r="AI398" s="16"/>
      <c r="AN398" s="9"/>
      <c r="AO398" s="9"/>
      <c r="AP398" s="9"/>
    </row>
    <row r="399" spans="2:42" ht="15" customHeight="1" collapsed="1" x14ac:dyDescent="0.25">
      <c r="B399" s="8">
        <f t="shared" si="140"/>
        <v>31</v>
      </c>
      <c r="C399" s="85">
        <f t="shared" si="127"/>
        <v>3197017.2365723751</v>
      </c>
      <c r="D399" s="85">
        <f t="shared" si="135"/>
        <v>7814.1136738921132</v>
      </c>
      <c r="E399" s="85">
        <f t="shared" si="136"/>
        <v>-955.71325645124443</v>
      </c>
      <c r="F399" s="85">
        <f t="shared" si="137"/>
        <v>-467.79895078377103</v>
      </c>
      <c r="G399" s="85">
        <f t="shared" si="128"/>
        <v>0</v>
      </c>
      <c r="H399" s="85">
        <v>0</v>
      </c>
      <c r="I399" s="85">
        <v>0</v>
      </c>
      <c r="J399" s="85">
        <v>0</v>
      </c>
      <c r="K399" s="85">
        <f t="shared" si="129"/>
        <v>-9.2575488778105391E-24</v>
      </c>
      <c r="L399" s="85">
        <f t="shared" si="130"/>
        <v>1423.5122072350155</v>
      </c>
      <c r="M399" s="85">
        <f t="shared" si="118"/>
        <v>1423.5122072350155</v>
      </c>
      <c r="N399" s="85">
        <f t="shared" si="119"/>
        <v>7183.9884871863742</v>
      </c>
      <c r="O399" s="85">
        <f t="shared" si="120"/>
        <v>6390.6014666570982</v>
      </c>
      <c r="P399" s="85">
        <f t="shared" si="131"/>
        <v>5.7859680486184214E-26</v>
      </c>
      <c r="Q399" s="85">
        <f t="shared" si="121"/>
        <v>3197017.2365723751</v>
      </c>
      <c r="R399" s="85">
        <f t="shared" si="122"/>
        <v>6716.1895364026032</v>
      </c>
      <c r="S399" s="85" cm="1">
        <f t="array" ref="S399">Y399*tax_rate</f>
        <v>5723.0829970312852</v>
      </c>
      <c r="T399" s="85">
        <f t="shared" si="132"/>
        <v>1636978.9190307928</v>
      </c>
      <c r="U399" s="85">
        <f t="shared" si="123"/>
        <v>4833996.1556031676</v>
      </c>
      <c r="V399" s="85">
        <f t="shared" ref="V399" si="142">U399-U387</f>
        <v>349302.07029594854</v>
      </c>
      <c r="W399" s="138">
        <f t="shared" si="133"/>
        <v>0.12513939698217699</v>
      </c>
      <c r="X399" s="138">
        <f t="shared" si="139"/>
        <v>7.7887602510131965E-2</v>
      </c>
      <c r="Y399" s="141">
        <f>(((Sale_Price*0.8)+Improvement_Costs+Closing_Costs_Total)/27.5)+(-E399*12)+-AC399</f>
        <v>26014.013622869479</v>
      </c>
      <c r="Z399" s="139">
        <f t="shared" si="124"/>
        <v>6390.6014666570982</v>
      </c>
      <c r="AA399" s="114">
        <v>372</v>
      </c>
      <c r="AB399" s="46">
        <f t="shared" si="134"/>
        <v>0</v>
      </c>
      <c r="AC399" s="46">
        <f>SUM(AB388:AB399)</f>
        <v>0</v>
      </c>
      <c r="AD399" s="49">
        <f t="shared" si="141"/>
        <v>35085.659333043732</v>
      </c>
      <c r="AE399" s="50">
        <f>D399*12</f>
        <v>93769.364086705362</v>
      </c>
      <c r="AF399" s="140"/>
      <c r="AG399" s="140"/>
      <c r="AH399" s="140">
        <f t="shared" si="125"/>
        <v>4642175.1214088248</v>
      </c>
      <c r="AI399" s="84">
        <f>AI387*(1+Comparison_Rate_of_Return)</f>
        <v>2399292.811971887</v>
      </c>
      <c r="AN399" s="9"/>
      <c r="AO399" s="9"/>
      <c r="AP399" s="9"/>
    </row>
    <row r="400" spans="2:42" ht="12" hidden="1" customHeight="1" outlineLevel="1" x14ac:dyDescent="0.25">
      <c r="B400" s="8" t="str">
        <f t="shared" si="140"/>
        <v/>
      </c>
      <c r="C400" s="85">
        <f t="shared" si="127"/>
        <v>3213002.3227552366</v>
      </c>
      <c r="D400" s="85">
        <f t="shared" si="135"/>
        <v>8087.6076524783366</v>
      </c>
      <c r="E400" s="85">
        <f t="shared" si="136"/>
        <v>-989.16322042703791</v>
      </c>
      <c r="F400" s="85">
        <f t="shared" si="137"/>
        <v>-484.17191406120298</v>
      </c>
      <c r="G400" s="85">
        <f t="shared" si="128"/>
        <v>0</v>
      </c>
      <c r="H400" s="85">
        <v>0</v>
      </c>
      <c r="I400" s="85">
        <v>0</v>
      </c>
      <c r="J400" s="85">
        <v>0</v>
      </c>
      <c r="K400" s="85">
        <f t="shared" si="129"/>
        <v>-5.7859680486184214E-26</v>
      </c>
      <c r="L400" s="85">
        <f t="shared" si="130"/>
        <v>1473.3351344882408</v>
      </c>
      <c r="M400" s="85">
        <f t="shared" si="118"/>
        <v>1473.3351344882408</v>
      </c>
      <c r="N400" s="85">
        <f t="shared" si="119"/>
        <v>7435.4280842378967</v>
      </c>
      <c r="O400" s="85">
        <f t="shared" si="120"/>
        <v>6614.2725179900954</v>
      </c>
      <c r="P400" s="85">
        <f t="shared" si="131"/>
        <v>3.6162300303782712E-28</v>
      </c>
      <c r="Q400" s="85">
        <f t="shared" si="121"/>
        <v>3213002.3227552366</v>
      </c>
      <c r="R400" s="85">
        <f t="shared" si="122"/>
        <v>6951.2561701766936</v>
      </c>
      <c r="S400" s="85" cm="1">
        <f t="array" ref="S400">Y400*tax_rate</f>
        <v>0</v>
      </c>
      <c r="T400" s="85">
        <f t="shared" si="132"/>
        <v>1650750.920696931</v>
      </c>
      <c r="U400" s="85">
        <f t="shared" si="123"/>
        <v>4863753.2434521671</v>
      </c>
      <c r="V400" s="85"/>
      <c r="W400" s="138">
        <f t="shared" si="133"/>
        <v>0.12500588484054539</v>
      </c>
      <c r="X400" s="138" t="str">
        <f t="shared" si="139"/>
        <v/>
      </c>
      <c r="Y400" s="141"/>
      <c r="Z400" s="139">
        <f t="shared" si="124"/>
        <v>6614.2725179900954</v>
      </c>
      <c r="AA400" s="114">
        <v>373</v>
      </c>
      <c r="AB400" s="46">
        <f t="shared" si="134"/>
        <v>0</v>
      </c>
      <c r="AC400" s="46"/>
      <c r="AD400" s="49">
        <f t="shared" si="141"/>
        <v>29757.087848999538</v>
      </c>
      <c r="AE400" s="50"/>
      <c r="AF400" s="140"/>
      <c r="AG400" s="140"/>
      <c r="AH400" s="140">
        <f t="shared" si="125"/>
        <v>4670973.1040868526</v>
      </c>
      <c r="AI400" s="84"/>
      <c r="AN400" s="9"/>
      <c r="AO400" s="9"/>
      <c r="AP400" s="9"/>
    </row>
    <row r="401" spans="2:42" ht="12" hidden="1" customHeight="1" outlineLevel="1" x14ac:dyDescent="0.25">
      <c r="B401" s="8" t="str">
        <f t="shared" si="140"/>
        <v/>
      </c>
      <c r="C401" s="85">
        <f t="shared" si="127"/>
        <v>3229067.3343690126</v>
      </c>
      <c r="D401" s="85">
        <f t="shared" si="135"/>
        <v>8087.6076524783366</v>
      </c>
      <c r="E401" s="85">
        <f t="shared" si="136"/>
        <v>-989.16322042703791</v>
      </c>
      <c r="F401" s="85">
        <f t="shared" si="137"/>
        <v>-484.17191406120298</v>
      </c>
      <c r="G401" s="85">
        <f t="shared" si="128"/>
        <v>0</v>
      </c>
      <c r="H401" s="85">
        <v>0</v>
      </c>
      <c r="I401" s="85">
        <v>0</v>
      </c>
      <c r="J401" s="85">
        <v>0</v>
      </c>
      <c r="K401" s="85">
        <f t="shared" si="129"/>
        <v>-3.6162300303782712E-28</v>
      </c>
      <c r="L401" s="85">
        <f t="shared" si="130"/>
        <v>1473.3351344882408</v>
      </c>
      <c r="M401" s="85">
        <f t="shared" si="118"/>
        <v>1473.3351344882408</v>
      </c>
      <c r="N401" s="85">
        <f t="shared" si="119"/>
        <v>7435.4280842378967</v>
      </c>
      <c r="O401" s="85">
        <f t="shared" si="120"/>
        <v>6614.2725179900954</v>
      </c>
      <c r="P401" s="85">
        <f t="shared" si="131"/>
        <v>2.2601437689813165E-30</v>
      </c>
      <c r="Q401" s="85">
        <f t="shared" si="121"/>
        <v>3229067.3343690126</v>
      </c>
      <c r="R401" s="85">
        <f t="shared" si="122"/>
        <v>6951.2561701766936</v>
      </c>
      <c r="S401" s="85" cm="1">
        <f t="array" ref="S401">Y401*tax_rate</f>
        <v>0</v>
      </c>
      <c r="T401" s="85">
        <f t="shared" si="132"/>
        <v>1664580.3057033448</v>
      </c>
      <c r="U401" s="85">
        <f t="shared" si="123"/>
        <v>4893647.6400723569</v>
      </c>
      <c r="V401" s="85"/>
      <c r="W401" s="138">
        <f t="shared" si="133"/>
        <v>0.12487276408149041</v>
      </c>
      <c r="X401" s="138" t="str">
        <f t="shared" si="139"/>
        <v/>
      </c>
      <c r="Y401" s="141"/>
      <c r="Z401" s="139">
        <f t="shared" si="124"/>
        <v>6614.2725179900954</v>
      </c>
      <c r="AA401" s="114">
        <v>374</v>
      </c>
      <c r="AB401" s="46">
        <f t="shared" si="134"/>
        <v>0</v>
      </c>
      <c r="AC401" s="46"/>
      <c r="AD401" s="49">
        <f t="shared" si="141"/>
        <v>29894.396620189771</v>
      </c>
      <c r="AE401" s="50"/>
      <c r="AF401" s="140"/>
      <c r="AG401" s="140"/>
      <c r="AH401" s="140">
        <f t="shared" si="125"/>
        <v>4699903.6000102162</v>
      </c>
      <c r="AI401" s="84"/>
      <c r="AN401" s="9"/>
      <c r="AO401" s="9"/>
      <c r="AP401" s="9"/>
    </row>
    <row r="402" spans="2:42" ht="12" hidden="1" customHeight="1" outlineLevel="1" x14ac:dyDescent="0.25">
      <c r="B402" s="8" t="str">
        <f t="shared" si="140"/>
        <v/>
      </c>
      <c r="C402" s="85">
        <f t="shared" si="127"/>
        <v>3245212.6710408572</v>
      </c>
      <c r="D402" s="85">
        <f t="shared" si="135"/>
        <v>8087.6076524783366</v>
      </c>
      <c r="E402" s="85">
        <f t="shared" si="136"/>
        <v>-989.16322042703791</v>
      </c>
      <c r="F402" s="85">
        <f t="shared" si="137"/>
        <v>-484.17191406120298</v>
      </c>
      <c r="G402" s="85">
        <f t="shared" si="128"/>
        <v>0</v>
      </c>
      <c r="H402" s="85">
        <v>0</v>
      </c>
      <c r="I402" s="85">
        <v>0</v>
      </c>
      <c r="J402" s="85">
        <v>0</v>
      </c>
      <c r="K402" s="85">
        <f t="shared" si="129"/>
        <v>-2.2601437689813165E-30</v>
      </c>
      <c r="L402" s="85">
        <f t="shared" si="130"/>
        <v>1473.3351344882408</v>
      </c>
      <c r="M402" s="85">
        <f t="shared" si="118"/>
        <v>1473.3351344882408</v>
      </c>
      <c r="N402" s="85">
        <f t="shared" si="119"/>
        <v>7435.4280842378967</v>
      </c>
      <c r="O402" s="85">
        <f t="shared" si="120"/>
        <v>6614.2725179900954</v>
      </c>
      <c r="P402" s="85">
        <f t="shared" si="131"/>
        <v>1.4125898556101279E-32</v>
      </c>
      <c r="Q402" s="85">
        <f t="shared" si="121"/>
        <v>3245212.6710408572</v>
      </c>
      <c r="R402" s="85">
        <f t="shared" si="122"/>
        <v>6951.2561701766936</v>
      </c>
      <c r="S402" s="85" cm="1">
        <f t="array" ref="S402">Y402*tax_rate</f>
        <v>0</v>
      </c>
      <c r="T402" s="85">
        <f t="shared" si="132"/>
        <v>1678467.3131472853</v>
      </c>
      <c r="U402" s="85">
        <f t="shared" si="123"/>
        <v>4923679.9841881422</v>
      </c>
      <c r="V402" s="85"/>
      <c r="W402" s="138">
        <f t="shared" si="133"/>
        <v>0.12474003417485037</v>
      </c>
      <c r="X402" s="138" t="str">
        <f t="shared" si="139"/>
        <v/>
      </c>
      <c r="Y402" s="142"/>
      <c r="Z402" s="139">
        <f t="shared" si="124"/>
        <v>6614.2725179900954</v>
      </c>
      <c r="AA402" s="114">
        <v>375</v>
      </c>
      <c r="AB402" s="46">
        <f t="shared" si="134"/>
        <v>0</v>
      </c>
      <c r="AC402" s="47"/>
      <c r="AD402" s="49">
        <f t="shared" si="141"/>
        <v>30032.344115785323</v>
      </c>
      <c r="AE402" s="50"/>
      <c r="AF402" s="140"/>
      <c r="AG402" s="140"/>
      <c r="AH402" s="140">
        <f t="shared" si="125"/>
        <v>4728967.2239256911</v>
      </c>
      <c r="AI402" s="84"/>
      <c r="AN402" s="9"/>
      <c r="AO402" s="9"/>
      <c r="AP402" s="9"/>
    </row>
    <row r="403" spans="2:42" ht="12" hidden="1" customHeight="1" outlineLevel="1" x14ac:dyDescent="0.25">
      <c r="B403" s="8" t="str">
        <f t="shared" si="140"/>
        <v/>
      </c>
      <c r="C403" s="85">
        <f t="shared" si="127"/>
        <v>3261438.7343960609</v>
      </c>
      <c r="D403" s="85">
        <f t="shared" si="135"/>
        <v>8087.6076524783366</v>
      </c>
      <c r="E403" s="85">
        <f t="shared" si="136"/>
        <v>-989.16322042703791</v>
      </c>
      <c r="F403" s="85">
        <f t="shared" si="137"/>
        <v>-484.17191406120298</v>
      </c>
      <c r="G403" s="85">
        <f t="shared" si="128"/>
        <v>0</v>
      </c>
      <c r="H403" s="85">
        <v>0</v>
      </c>
      <c r="I403" s="85">
        <v>0</v>
      </c>
      <c r="J403" s="85">
        <v>0</v>
      </c>
      <c r="K403" s="85">
        <f t="shared" si="129"/>
        <v>-1.4125898556101279E-32</v>
      </c>
      <c r="L403" s="85">
        <f t="shared" si="130"/>
        <v>1473.3351344882408</v>
      </c>
      <c r="M403" s="85">
        <f t="shared" si="118"/>
        <v>1473.3351344882408</v>
      </c>
      <c r="N403" s="85">
        <f t="shared" si="119"/>
        <v>7435.4280842378967</v>
      </c>
      <c r="O403" s="85">
        <f t="shared" si="120"/>
        <v>6614.2725179900954</v>
      </c>
      <c r="P403" s="85">
        <f t="shared" si="131"/>
        <v>8.8286865975434839E-35</v>
      </c>
      <c r="Q403" s="85">
        <f t="shared" si="121"/>
        <v>3261438.7343960609</v>
      </c>
      <c r="R403" s="85">
        <f t="shared" si="122"/>
        <v>6951.2561701766936</v>
      </c>
      <c r="S403" s="85" cm="1">
        <f t="array" ref="S403">Y403*tax_rate</f>
        <v>0</v>
      </c>
      <c r="T403" s="85">
        <f t="shared" si="132"/>
        <v>1692412.1831222423</v>
      </c>
      <c r="U403" s="85">
        <f t="shared" si="123"/>
        <v>4953850.9175183028</v>
      </c>
      <c r="V403" s="85"/>
      <c r="W403" s="138">
        <f t="shared" si="133"/>
        <v>0.1246076945691497</v>
      </c>
      <c r="X403" s="138" t="str">
        <f t="shared" si="139"/>
        <v/>
      </c>
      <c r="Y403" s="142"/>
      <c r="Z403" s="139">
        <f t="shared" si="124"/>
        <v>6614.2725179900954</v>
      </c>
      <c r="AA403" s="114">
        <v>376</v>
      </c>
      <c r="AB403" s="46">
        <f t="shared" si="134"/>
        <v>0</v>
      </c>
      <c r="AC403" s="47"/>
      <c r="AD403" s="47">
        <f t="shared" si="141"/>
        <v>30170.933330160566</v>
      </c>
      <c r="AE403" s="86"/>
      <c r="AF403" s="140"/>
      <c r="AG403" s="140"/>
      <c r="AH403" s="140">
        <f t="shared" si="125"/>
        <v>4758164.5934545388</v>
      </c>
      <c r="AI403" s="9"/>
      <c r="AN403" s="9"/>
      <c r="AO403" s="9"/>
      <c r="AP403" s="9"/>
    </row>
    <row r="404" spans="2:42" ht="12" hidden="1" customHeight="1" outlineLevel="1" x14ac:dyDescent="0.25">
      <c r="B404" s="8" t="str">
        <f t="shared" si="140"/>
        <v/>
      </c>
      <c r="C404" s="85">
        <f t="shared" si="127"/>
        <v>3277745.9280680409</v>
      </c>
      <c r="D404" s="85">
        <f t="shared" si="135"/>
        <v>8087.6076524783366</v>
      </c>
      <c r="E404" s="85">
        <f t="shared" si="136"/>
        <v>-989.16322042703791</v>
      </c>
      <c r="F404" s="85">
        <f t="shared" si="137"/>
        <v>-484.17191406120298</v>
      </c>
      <c r="G404" s="85">
        <f t="shared" si="128"/>
        <v>0</v>
      </c>
      <c r="H404" s="85">
        <v>0</v>
      </c>
      <c r="I404" s="85">
        <v>0</v>
      </c>
      <c r="J404" s="85">
        <v>0</v>
      </c>
      <c r="K404" s="85">
        <f t="shared" si="129"/>
        <v>-8.8286865975434839E-35</v>
      </c>
      <c r="L404" s="85">
        <f t="shared" si="130"/>
        <v>1473.3351344882408</v>
      </c>
      <c r="M404" s="85">
        <f t="shared" si="118"/>
        <v>1473.3351344882408</v>
      </c>
      <c r="N404" s="85">
        <f t="shared" si="119"/>
        <v>7435.4280842378967</v>
      </c>
      <c r="O404" s="85">
        <f t="shared" si="120"/>
        <v>6614.2725179900954</v>
      </c>
      <c r="P404" s="85">
        <f t="shared" si="131"/>
        <v>5.5179291234522972E-37</v>
      </c>
      <c r="Q404" s="85">
        <f t="shared" si="121"/>
        <v>3277745.9280680409</v>
      </c>
      <c r="R404" s="85">
        <f t="shared" si="122"/>
        <v>6951.2561701766936</v>
      </c>
      <c r="S404" s="85" cm="1">
        <f t="array" ref="S404">Y404*tax_rate</f>
        <v>0</v>
      </c>
      <c r="T404" s="85">
        <f t="shared" si="132"/>
        <v>1706415.1567220951</v>
      </c>
      <c r="U404" s="85">
        <f t="shared" si="123"/>
        <v>4984161.0847901357</v>
      </c>
      <c r="V404" s="85"/>
      <c r="W404" s="138">
        <f t="shared" si="133"/>
        <v>0.12447574469224232</v>
      </c>
      <c r="X404" s="138" t="str">
        <f t="shared" si="139"/>
        <v/>
      </c>
      <c r="Y404" s="142"/>
      <c r="Z404" s="139">
        <f t="shared" si="124"/>
        <v>6614.2725179900954</v>
      </c>
      <c r="AA404" s="114">
        <v>377</v>
      </c>
      <c r="AB404" s="46">
        <f t="shared" si="134"/>
        <v>0</v>
      </c>
      <c r="AC404" s="47"/>
      <c r="AD404" s="47">
        <f t="shared" si="141"/>
        <v>30310.167271832936</v>
      </c>
      <c r="AE404" s="86"/>
      <c r="AF404" s="140"/>
      <c r="AG404" s="140"/>
      <c r="AH404" s="140">
        <f t="shared" si="125"/>
        <v>4787496.3291060533</v>
      </c>
      <c r="AI404" s="9"/>
      <c r="AN404" s="9"/>
      <c r="AO404" s="9"/>
      <c r="AP404" s="9"/>
    </row>
    <row r="405" spans="2:42" ht="12" hidden="1" customHeight="1" outlineLevel="1" x14ac:dyDescent="0.25">
      <c r="B405" s="8" t="str">
        <f t="shared" si="140"/>
        <v/>
      </c>
      <c r="C405" s="85">
        <f t="shared" si="127"/>
        <v>3294134.6577083808</v>
      </c>
      <c r="D405" s="85">
        <f t="shared" si="135"/>
        <v>8087.6076524783366</v>
      </c>
      <c r="E405" s="85">
        <f t="shared" si="136"/>
        <v>-989.16322042703791</v>
      </c>
      <c r="F405" s="85">
        <f t="shared" si="137"/>
        <v>-484.17191406120298</v>
      </c>
      <c r="G405" s="85">
        <f t="shared" si="128"/>
        <v>0</v>
      </c>
      <c r="H405" s="85">
        <v>0</v>
      </c>
      <c r="I405" s="85">
        <v>0</v>
      </c>
      <c r="J405" s="85">
        <v>0</v>
      </c>
      <c r="K405" s="85">
        <f t="shared" si="129"/>
        <v>-5.5179291234522972E-37</v>
      </c>
      <c r="L405" s="85">
        <f t="shared" si="130"/>
        <v>1473.3351344882408</v>
      </c>
      <c r="M405" s="85">
        <f t="shared" si="118"/>
        <v>1473.3351344882408</v>
      </c>
      <c r="N405" s="85">
        <f t="shared" si="119"/>
        <v>7435.4280842378967</v>
      </c>
      <c r="O405" s="85">
        <f t="shared" si="120"/>
        <v>6614.2725179900954</v>
      </c>
      <c r="P405" s="85">
        <f t="shared" si="131"/>
        <v>3.4487057021499013E-39</v>
      </c>
      <c r="Q405" s="85">
        <f t="shared" si="121"/>
        <v>3294134.6577083808</v>
      </c>
      <c r="R405" s="85">
        <f t="shared" si="122"/>
        <v>6951.2561701766936</v>
      </c>
      <c r="S405" s="85" cm="1">
        <f t="array" ref="S405">Y405*tax_rate</f>
        <v>0</v>
      </c>
      <c r="T405" s="85">
        <f t="shared" si="132"/>
        <v>1720476.4760452805</v>
      </c>
      <c r="U405" s="85">
        <f t="shared" si="123"/>
        <v>5014611.1337536611</v>
      </c>
      <c r="V405" s="85"/>
      <c r="W405" s="138">
        <f t="shared" si="133"/>
        <v>0.12434418395193893</v>
      </c>
      <c r="X405" s="138" t="str">
        <f t="shared" si="139"/>
        <v/>
      </c>
      <c r="Y405" s="142"/>
      <c r="Z405" s="139">
        <f t="shared" si="124"/>
        <v>6614.2725179900954</v>
      </c>
      <c r="AA405" s="114">
        <v>378</v>
      </c>
      <c r="AB405" s="46">
        <f t="shared" si="134"/>
        <v>0</v>
      </c>
      <c r="AC405" s="47"/>
      <c r="AD405" s="47">
        <f t="shared" si="141"/>
        <v>30450.048963525333</v>
      </c>
      <c r="AE405" s="86"/>
      <c r="AF405" s="140"/>
      <c r="AG405" s="140"/>
      <c r="AH405" s="140">
        <f t="shared" si="125"/>
        <v>4816963.054291158</v>
      </c>
      <c r="AI405" s="9"/>
      <c r="AN405" s="9"/>
      <c r="AO405" s="9"/>
      <c r="AP405" s="9"/>
    </row>
    <row r="406" spans="2:42" ht="12" hidden="1" customHeight="1" outlineLevel="1" x14ac:dyDescent="0.25">
      <c r="B406" s="8" t="str">
        <f t="shared" si="140"/>
        <v/>
      </c>
      <c r="C406" s="85">
        <f t="shared" si="127"/>
        <v>3310605.3309969222</v>
      </c>
      <c r="D406" s="85">
        <f t="shared" si="135"/>
        <v>8087.6076524783366</v>
      </c>
      <c r="E406" s="85">
        <f t="shared" si="136"/>
        <v>-989.16322042703791</v>
      </c>
      <c r="F406" s="85">
        <f t="shared" si="137"/>
        <v>-484.17191406120298</v>
      </c>
      <c r="G406" s="85">
        <f t="shared" si="128"/>
        <v>0</v>
      </c>
      <c r="H406" s="85">
        <v>0</v>
      </c>
      <c r="I406" s="85">
        <v>0</v>
      </c>
      <c r="J406" s="85">
        <v>0</v>
      </c>
      <c r="K406" s="85">
        <f t="shared" si="129"/>
        <v>-3.4487057021499013E-39</v>
      </c>
      <c r="L406" s="85">
        <f t="shared" si="130"/>
        <v>1473.3351344882408</v>
      </c>
      <c r="M406" s="85">
        <f t="shared" si="118"/>
        <v>1473.3351344882408</v>
      </c>
      <c r="N406" s="85">
        <f t="shared" si="119"/>
        <v>7435.4280842378967</v>
      </c>
      <c r="O406" s="85">
        <f t="shared" si="120"/>
        <v>6614.2725179900954</v>
      </c>
      <c r="P406" s="85">
        <f t="shared" si="131"/>
        <v>2.1554410638388074E-41</v>
      </c>
      <c r="Q406" s="85">
        <f t="shared" si="121"/>
        <v>3310605.3309969222</v>
      </c>
      <c r="R406" s="85">
        <f t="shared" si="122"/>
        <v>6951.2561701766936</v>
      </c>
      <c r="S406" s="85" cm="1">
        <f t="array" ref="S406">Y406*tax_rate</f>
        <v>0</v>
      </c>
      <c r="T406" s="85">
        <f t="shared" si="132"/>
        <v>1734596.384198979</v>
      </c>
      <c r="U406" s="85">
        <f t="shared" si="123"/>
        <v>5045201.7151959017</v>
      </c>
      <c r="V406" s="85"/>
      <c r="W406" s="138">
        <f t="shared" si="133"/>
        <v>0.12421301173661776</v>
      </c>
      <c r="X406" s="138" t="str">
        <f t="shared" si="139"/>
        <v/>
      </c>
      <c r="Y406" s="142"/>
      <c r="Z406" s="139">
        <f t="shared" si="124"/>
        <v>6614.2725179900954</v>
      </c>
      <c r="AA406" s="114">
        <v>379</v>
      </c>
      <c r="AB406" s="46">
        <f t="shared" si="134"/>
        <v>0</v>
      </c>
      <c r="AC406" s="47"/>
      <c r="AD406" s="47">
        <f t="shared" si="141"/>
        <v>30590.581442240626</v>
      </c>
      <c r="AE406" s="86"/>
      <c r="AF406" s="140"/>
      <c r="AG406" s="140"/>
      <c r="AH406" s="140">
        <f t="shared" si="125"/>
        <v>4846565.3953360859</v>
      </c>
      <c r="AI406" s="9"/>
      <c r="AN406" s="9"/>
      <c r="AO406" s="9"/>
      <c r="AP406" s="9"/>
    </row>
    <row r="407" spans="2:42" ht="12" hidden="1" customHeight="1" outlineLevel="1" x14ac:dyDescent="0.25">
      <c r="B407" s="8" t="str">
        <f t="shared" si="140"/>
        <v/>
      </c>
      <c r="C407" s="85">
        <f t="shared" si="127"/>
        <v>3327158.3576519066</v>
      </c>
      <c r="D407" s="85">
        <f t="shared" si="135"/>
        <v>8087.6076524783366</v>
      </c>
      <c r="E407" s="85">
        <f t="shared" si="136"/>
        <v>-989.16322042703791</v>
      </c>
      <c r="F407" s="85">
        <f t="shared" si="137"/>
        <v>-484.17191406120298</v>
      </c>
      <c r="G407" s="85">
        <f t="shared" si="128"/>
        <v>0</v>
      </c>
      <c r="H407" s="85">
        <v>0</v>
      </c>
      <c r="I407" s="85">
        <v>0</v>
      </c>
      <c r="J407" s="85">
        <v>0</v>
      </c>
      <c r="K407" s="85">
        <f t="shared" si="129"/>
        <v>-2.1554410638388074E-41</v>
      </c>
      <c r="L407" s="85">
        <f t="shared" si="130"/>
        <v>1473.3351344882408</v>
      </c>
      <c r="M407" s="85">
        <f t="shared" si="118"/>
        <v>1473.3351344882408</v>
      </c>
      <c r="N407" s="85">
        <f t="shared" si="119"/>
        <v>7435.4280842378967</v>
      </c>
      <c r="O407" s="85">
        <f t="shared" si="120"/>
        <v>6614.2725179900954</v>
      </c>
      <c r="P407" s="85">
        <f t="shared" si="131"/>
        <v>1.3471506648962163E-43</v>
      </c>
      <c r="Q407" s="85">
        <f t="shared" si="121"/>
        <v>3327158.3576519066</v>
      </c>
      <c r="R407" s="85">
        <f t="shared" si="122"/>
        <v>6951.2561701766936</v>
      </c>
      <c r="S407" s="85" cm="1">
        <f t="array" ref="S407">Y407*tax_rate</f>
        <v>0</v>
      </c>
      <c r="T407" s="85">
        <f t="shared" si="132"/>
        <v>1748775.125303318</v>
      </c>
      <c r="U407" s="85">
        <f t="shared" si="123"/>
        <v>5075933.4829552248</v>
      </c>
      <c r="V407" s="85"/>
      <c r="W407" s="138">
        <f t="shared" si="133"/>
        <v>0.12408222741582096</v>
      </c>
      <c r="X407" s="138" t="str">
        <f t="shared" si="139"/>
        <v/>
      </c>
      <c r="Y407" s="142"/>
      <c r="Z407" s="139">
        <f t="shared" si="124"/>
        <v>6614.2725179900954</v>
      </c>
      <c r="AA407" s="114">
        <v>380</v>
      </c>
      <c r="AB407" s="46">
        <f t="shared" si="134"/>
        <v>0</v>
      </c>
      <c r="AC407" s="47"/>
      <c r="AD407" s="47">
        <f t="shared" si="141"/>
        <v>30731.76775932312</v>
      </c>
      <c r="AE407" s="86"/>
      <c r="AF407" s="140"/>
      <c r="AG407" s="140"/>
      <c r="AH407" s="140">
        <f t="shared" si="125"/>
        <v>4876303.9814961106</v>
      </c>
      <c r="AI407" s="9"/>
      <c r="AN407" s="9"/>
      <c r="AO407" s="9"/>
      <c r="AP407" s="9"/>
    </row>
    <row r="408" spans="2:42" ht="12" hidden="1" customHeight="1" outlineLevel="1" x14ac:dyDescent="0.25">
      <c r="B408" s="8" t="str">
        <f t="shared" si="140"/>
        <v/>
      </c>
      <c r="C408" s="85">
        <f t="shared" si="127"/>
        <v>3343794.1494401656</v>
      </c>
      <c r="D408" s="85">
        <f t="shared" si="135"/>
        <v>8087.6076524783366</v>
      </c>
      <c r="E408" s="85">
        <f t="shared" si="136"/>
        <v>-989.16322042703791</v>
      </c>
      <c r="F408" s="85">
        <f t="shared" si="137"/>
        <v>-484.17191406120298</v>
      </c>
      <c r="G408" s="85">
        <f t="shared" si="128"/>
        <v>0</v>
      </c>
      <c r="H408" s="85">
        <v>0</v>
      </c>
      <c r="I408" s="85">
        <v>0</v>
      </c>
      <c r="J408" s="85">
        <v>0</v>
      </c>
      <c r="K408" s="85">
        <f t="shared" si="129"/>
        <v>-1.3471506648962163E-43</v>
      </c>
      <c r="L408" s="85">
        <f t="shared" si="130"/>
        <v>1473.3351344882408</v>
      </c>
      <c r="M408" s="85">
        <f t="shared" si="118"/>
        <v>1473.3351344882408</v>
      </c>
      <c r="N408" s="85">
        <f t="shared" si="119"/>
        <v>7435.4280842378967</v>
      </c>
      <c r="O408" s="85">
        <f t="shared" si="120"/>
        <v>6614.2725179900954</v>
      </c>
      <c r="P408" s="85">
        <f t="shared" si="131"/>
        <v>8.4196916555822744E-46</v>
      </c>
      <c r="Q408" s="85">
        <f t="shared" si="121"/>
        <v>3343794.1494401656</v>
      </c>
      <c r="R408" s="85">
        <f t="shared" si="122"/>
        <v>6951.2561701766936</v>
      </c>
      <c r="S408" s="85" cm="1">
        <f t="array" ref="S408">Y408*tax_rate</f>
        <v>0</v>
      </c>
      <c r="T408" s="85">
        <f t="shared" si="132"/>
        <v>1763012.9444955918</v>
      </c>
      <c r="U408" s="85">
        <f t="shared" si="123"/>
        <v>5106807.0939357579</v>
      </c>
      <c r="V408" s="85"/>
      <c r="W408" s="138">
        <f t="shared" si="133"/>
        <v>0.12395183034083618</v>
      </c>
      <c r="X408" s="138" t="str">
        <f t="shared" si="139"/>
        <v/>
      </c>
      <c r="Y408" s="142"/>
      <c r="Z408" s="139">
        <f t="shared" si="124"/>
        <v>6614.2725179900954</v>
      </c>
      <c r="AA408" s="114">
        <v>381</v>
      </c>
      <c r="AB408" s="46">
        <f t="shared" si="134"/>
        <v>0</v>
      </c>
      <c r="AC408" s="47"/>
      <c r="AD408" s="47">
        <f t="shared" si="141"/>
        <v>30873.610980533063</v>
      </c>
      <c r="AE408" s="86"/>
      <c r="AF408" s="140"/>
      <c r="AG408" s="140"/>
      <c r="AH408" s="140">
        <f t="shared" si="125"/>
        <v>4906179.4449693477</v>
      </c>
      <c r="AI408" s="9"/>
      <c r="AN408" s="9"/>
      <c r="AO408" s="9"/>
      <c r="AP408" s="9"/>
    </row>
    <row r="409" spans="2:42" ht="12" hidden="1" customHeight="1" outlineLevel="1" x14ac:dyDescent="0.25">
      <c r="B409" s="8" t="str">
        <f t="shared" si="140"/>
        <v/>
      </c>
      <c r="C409" s="85">
        <f t="shared" si="127"/>
        <v>3360513.1201873659</v>
      </c>
      <c r="D409" s="85">
        <f t="shared" si="135"/>
        <v>8087.6076524783366</v>
      </c>
      <c r="E409" s="85">
        <f t="shared" si="136"/>
        <v>-989.16322042703791</v>
      </c>
      <c r="F409" s="85">
        <f t="shared" si="137"/>
        <v>-484.17191406120298</v>
      </c>
      <c r="G409" s="85">
        <f t="shared" si="128"/>
        <v>0</v>
      </c>
      <c r="H409" s="85">
        <v>0</v>
      </c>
      <c r="I409" s="85">
        <v>0</v>
      </c>
      <c r="J409" s="85">
        <v>0</v>
      </c>
      <c r="K409" s="85">
        <f t="shared" si="129"/>
        <v>-8.4196916555822744E-46</v>
      </c>
      <c r="L409" s="85">
        <f t="shared" si="130"/>
        <v>1473.3351344882408</v>
      </c>
      <c r="M409" s="85">
        <f t="shared" si="118"/>
        <v>1473.3351344882408</v>
      </c>
      <c r="N409" s="85">
        <f t="shared" si="119"/>
        <v>7435.4280842378967</v>
      </c>
      <c r="O409" s="85">
        <f t="shared" si="120"/>
        <v>6614.2725179900954</v>
      </c>
      <c r="P409" s="85">
        <f t="shared" si="131"/>
        <v>5.2623072847269733E-48</v>
      </c>
      <c r="Q409" s="85">
        <f t="shared" si="121"/>
        <v>3360513.1201873659</v>
      </c>
      <c r="R409" s="85">
        <f t="shared" si="122"/>
        <v>6951.2561701766936</v>
      </c>
      <c r="S409" s="85" cm="1">
        <f t="array" ref="S409">Y409*tax_rate</f>
        <v>0</v>
      </c>
      <c r="T409" s="85">
        <f t="shared" si="132"/>
        <v>1777310.0879345001</v>
      </c>
      <c r="U409" s="85">
        <f t="shared" si="123"/>
        <v>5137823.208121866</v>
      </c>
      <c r="V409" s="85"/>
      <c r="W409" s="138">
        <f t="shared" si="133"/>
        <v>0.12382181984526228</v>
      </c>
      <c r="X409" s="138" t="str">
        <f t="shared" si="139"/>
        <v/>
      </c>
      <c r="Y409" s="142"/>
      <c r="Z409" s="139">
        <f t="shared" si="124"/>
        <v>6614.2725179900954</v>
      </c>
      <c r="AA409" s="114">
        <v>382</v>
      </c>
      <c r="AB409" s="46">
        <f t="shared" si="134"/>
        <v>0</v>
      </c>
      <c r="AC409" s="47"/>
      <c r="AD409" s="47">
        <f t="shared" si="141"/>
        <v>31016.114186108112</v>
      </c>
      <c r="AE409" s="86"/>
      <c r="AF409" s="140"/>
      <c r="AG409" s="140"/>
      <c r="AH409" s="140">
        <f t="shared" si="125"/>
        <v>4936192.4209106239</v>
      </c>
      <c r="AI409" s="9"/>
      <c r="AN409" s="9"/>
      <c r="AO409" s="9"/>
      <c r="AP409" s="9"/>
    </row>
    <row r="410" spans="2:42" ht="12" hidden="1" customHeight="1" outlineLevel="1" x14ac:dyDescent="0.25">
      <c r="B410" s="8" t="str">
        <f t="shared" si="140"/>
        <v/>
      </c>
      <c r="C410" s="85">
        <f t="shared" si="127"/>
        <v>3377315.6857883022</v>
      </c>
      <c r="D410" s="85">
        <f t="shared" si="135"/>
        <v>8087.6076524783366</v>
      </c>
      <c r="E410" s="85">
        <f t="shared" si="136"/>
        <v>-989.16322042703791</v>
      </c>
      <c r="F410" s="85">
        <f t="shared" si="137"/>
        <v>-484.17191406120298</v>
      </c>
      <c r="G410" s="85">
        <f t="shared" si="128"/>
        <v>0</v>
      </c>
      <c r="H410" s="85">
        <v>0</v>
      </c>
      <c r="I410" s="85">
        <v>0</v>
      </c>
      <c r="J410" s="85">
        <v>0</v>
      </c>
      <c r="K410" s="85">
        <f t="shared" si="129"/>
        <v>-5.2623072847269733E-48</v>
      </c>
      <c r="L410" s="85">
        <f t="shared" si="130"/>
        <v>1473.3351344882408</v>
      </c>
      <c r="M410" s="85">
        <f t="shared" si="118"/>
        <v>1473.3351344882408</v>
      </c>
      <c r="N410" s="85">
        <f t="shared" si="119"/>
        <v>7435.4280842378967</v>
      </c>
      <c r="O410" s="85">
        <f t="shared" si="120"/>
        <v>6614.2725179900954</v>
      </c>
      <c r="P410" s="85">
        <f t="shared" si="131"/>
        <v>3.2889420529469077E-50</v>
      </c>
      <c r="Q410" s="85">
        <f t="shared" si="121"/>
        <v>3377315.6857883022</v>
      </c>
      <c r="R410" s="85">
        <f t="shared" si="122"/>
        <v>6951.2561701766936</v>
      </c>
      <c r="S410" s="85" cm="1">
        <f t="array" ref="S410">Y410*tax_rate</f>
        <v>0</v>
      </c>
      <c r="T410" s="85">
        <f t="shared" si="132"/>
        <v>1791666.8028044037</v>
      </c>
      <c r="U410" s="85">
        <f t="shared" si="123"/>
        <v>5168982.4885927057</v>
      </c>
      <c r="V410" s="85"/>
      <c r="W410" s="138">
        <f t="shared" si="133"/>
        <v>0.12369219524556214</v>
      </c>
      <c r="X410" s="138" t="str">
        <f t="shared" si="139"/>
        <v/>
      </c>
      <c r="Y410" s="142"/>
      <c r="Z410" s="139">
        <f t="shared" si="124"/>
        <v>6614.2725179900954</v>
      </c>
      <c r="AA410" s="114">
        <v>383</v>
      </c>
      <c r="AB410" s="46">
        <f t="shared" si="134"/>
        <v>0</v>
      </c>
      <c r="AC410" s="47"/>
      <c r="AD410" s="47">
        <f t="shared" si="141"/>
        <v>31159.280470839702</v>
      </c>
      <c r="AE410" s="86"/>
      <c r="AF410" s="140"/>
      <c r="AG410" s="140"/>
      <c r="AH410" s="140">
        <f t="shared" si="125"/>
        <v>4966343.5474454071</v>
      </c>
      <c r="AI410" s="9"/>
      <c r="AN410" s="9"/>
      <c r="AO410" s="9"/>
      <c r="AP410" s="9"/>
    </row>
    <row r="411" spans="2:42" ht="15" customHeight="1" collapsed="1" x14ac:dyDescent="0.25">
      <c r="B411" s="8">
        <f t="shared" si="140"/>
        <v>32</v>
      </c>
      <c r="C411" s="85">
        <f t="shared" si="127"/>
        <v>3394202.2642172435</v>
      </c>
      <c r="D411" s="85">
        <f t="shared" si="135"/>
        <v>8087.6076524783366</v>
      </c>
      <c r="E411" s="85">
        <f t="shared" si="136"/>
        <v>-989.16322042703791</v>
      </c>
      <c r="F411" s="85">
        <f t="shared" si="137"/>
        <v>-484.17191406120298</v>
      </c>
      <c r="G411" s="85">
        <f t="shared" si="128"/>
        <v>0</v>
      </c>
      <c r="H411" s="85">
        <v>0</v>
      </c>
      <c r="I411" s="85">
        <v>0</v>
      </c>
      <c r="J411" s="85">
        <v>0</v>
      </c>
      <c r="K411" s="85">
        <f t="shared" si="129"/>
        <v>-3.2889420529469077E-50</v>
      </c>
      <c r="L411" s="85">
        <f t="shared" si="130"/>
        <v>1473.3351344882408</v>
      </c>
      <c r="M411" s="85">
        <f t="shared" ref="M411:M474" si="143">-E411-F411-G411-H411-I411-J411-K411</f>
        <v>1473.3351344882408</v>
      </c>
      <c r="N411" s="85">
        <f t="shared" ref="N411:N474" si="144">(D411/Rent_Occupancy)+E411+G411+(H411+I411+J411)+K411</f>
        <v>7435.4280842378967</v>
      </c>
      <c r="O411" s="85">
        <f t="shared" ref="O411:O474" si="145">D411+E411+F411+G411+(H411+I411+J411)</f>
        <v>6614.2725179900954</v>
      </c>
      <c r="P411" s="85">
        <f t="shared" si="131"/>
        <v>2.055588783087212E-52</v>
      </c>
      <c r="Q411" s="85">
        <f t="shared" ref="Q411:Q474" si="146">C411-P411</f>
        <v>3394202.2642172435</v>
      </c>
      <c r="R411" s="85">
        <f t="shared" ref="R411:R474" si="147">IF(Net_Income_Toward_Loan="No",N411+F411,IF((N411+F411)&lt;0,(N411+F411),IF((N411+F411)+PI_Payment&gt;P411,D411+E411-P411,0)))</f>
        <v>6951.2561701766936</v>
      </c>
      <c r="S411" s="85" cm="1">
        <f t="array" ref="S411">Y411*tax_rate</f>
        <v>5811.3909019273797</v>
      </c>
      <c r="T411" s="85">
        <f t="shared" si="132"/>
        <v>1811894.7282215261</v>
      </c>
      <c r="U411" s="85">
        <f t="shared" ref="U411:U474" si="148">Q411+T411</f>
        <v>5206096.9924387699</v>
      </c>
      <c r="V411" s="85">
        <f t="shared" ref="V411" si="149">U411-U399</f>
        <v>372100.8368356023</v>
      </c>
      <c r="W411" s="138">
        <f t="shared" si="133"/>
        <v>0.12360217202760963</v>
      </c>
      <c r="X411" s="138">
        <f t="shared" si="139"/>
        <v>7.6975823905919713E-2</v>
      </c>
      <c r="Y411" s="141">
        <f>(((Sale_Price*0.8)+Improvement_Costs+Closing_Costs_Total)/27.5)+(-E411*12)+-AC411</f>
        <v>26415.413190578998</v>
      </c>
      <c r="Z411" s="139">
        <f t="shared" ref="Z411:Z474" si="150">IF(D411+E411+F411+G411+H411+I411+J411&gt;-K411,D411+E411+F411+G411+H411+I411+J411,-K411)</f>
        <v>6614.2725179900954</v>
      </c>
      <c r="AA411" s="114">
        <v>384</v>
      </c>
      <c r="AB411" s="46">
        <f t="shared" si="134"/>
        <v>0</v>
      </c>
      <c r="AC411" s="46">
        <f>SUM(AB400:AB411)</f>
        <v>0</v>
      </c>
      <c r="AD411" s="47">
        <f t="shared" si="141"/>
        <v>37114.50384606421</v>
      </c>
      <c r="AE411" s="86">
        <f>D411*12</f>
        <v>97051.291829740047</v>
      </c>
      <c r="AF411" s="140"/>
      <c r="AG411" s="140"/>
      <c r="AH411" s="140">
        <f t="shared" ref="AH411:AH474" si="151">U411-(C411*Cost_of_Sale_Percentage)</f>
        <v>5002444.8565857355</v>
      </c>
      <c r="AI411" s="9">
        <f>AI399*(1+Comparison_Rate_of_Return)</f>
        <v>2639222.0931690759</v>
      </c>
      <c r="AN411" s="9"/>
      <c r="AO411" s="9"/>
      <c r="AP411" s="9"/>
    </row>
    <row r="412" spans="2:42" ht="12" hidden="1" customHeight="1" outlineLevel="1" x14ac:dyDescent="0.25">
      <c r="B412" s="8" t="str">
        <f t="shared" si="140"/>
        <v/>
      </c>
      <c r="C412" s="85">
        <f t="shared" ref="C412:C475" si="152">C411*(1+(Annual_Appreciation_Percentage/12))</f>
        <v>3411173.2755383295</v>
      </c>
      <c r="D412" s="85">
        <f t="shared" si="135"/>
        <v>8370.6739203150773</v>
      </c>
      <c r="E412" s="85">
        <f t="shared" si="136"/>
        <v>-1023.7839331419841</v>
      </c>
      <c r="F412" s="85">
        <f t="shared" si="137"/>
        <v>-501.11793105334505</v>
      </c>
      <c r="G412" s="85">
        <f t="shared" ref="G412:G475" si="153">IF(Other_Monthly_Cost_Months&gt;=AA412,-Other_Fixed_Monthly_Cost,0)</f>
        <v>0</v>
      </c>
      <c r="H412" s="85">
        <v>0</v>
      </c>
      <c r="I412" s="85">
        <v>0</v>
      </c>
      <c r="J412" s="85">
        <v>0</v>
      </c>
      <c r="K412" s="85">
        <f t="shared" ref="K412:K475" si="154">IF(P411&gt;PI_Payment,-PI_Payment,-P411)</f>
        <v>-2.055588783087212E-52</v>
      </c>
      <c r="L412" s="85">
        <f t="shared" ref="L412:L475" si="155">-E412-F412-G412</f>
        <v>1524.9018641953292</v>
      </c>
      <c r="M412" s="85">
        <f t="shared" si="143"/>
        <v>1524.9018641953292</v>
      </c>
      <c r="N412" s="85">
        <f t="shared" si="144"/>
        <v>7695.6680671862214</v>
      </c>
      <c r="O412" s="85">
        <f t="shared" si="145"/>
        <v>6845.7720561197484</v>
      </c>
      <c r="P412" s="85">
        <f t="shared" ref="P412:P475" si="156">IF(Net_Income_Toward_Loan="No",-IF(FV(Loan_Rate/12,1,(K412),P411,0)&lt;0,FV(Loan_Rate/12,1,(K412),P411,0),0),-IF(FV(Loan_Rate/12,1,(-Z412),P411,0)&lt;0,FV(Loan_Rate/12,1,(-Z412),P411,0),0))</f>
        <v>1.2847429894266069E-54</v>
      </c>
      <c r="Q412" s="85">
        <f t="shared" si="146"/>
        <v>3411173.2755383295</v>
      </c>
      <c r="R412" s="85">
        <f t="shared" si="147"/>
        <v>7194.5501361328761</v>
      </c>
      <c r="S412" s="85" cm="1">
        <f t="array" ref="S412">Y412*tax_rate</f>
        <v>0</v>
      </c>
      <c r="T412" s="85">
        <f t="shared" ref="T412:T475" si="157">T411*(1+Time_Value_of_Money_Percentage/12)+R412+S412</f>
        <v>1826638.8397252487</v>
      </c>
      <c r="U412" s="85">
        <f t="shared" si="148"/>
        <v>5237812.1152635785</v>
      </c>
      <c r="V412" s="85"/>
      <c r="W412" s="138">
        <f t="shared" ref="W412:W475" si="158">RATE(AA412/12,0,-Total_Initial_Investment,U412,0)</f>
        <v>0.12347476426476106</v>
      </c>
      <c r="X412" s="138" t="str">
        <f t="shared" si="139"/>
        <v/>
      </c>
      <c r="Y412" s="142"/>
      <c r="Z412" s="139">
        <f t="shared" si="150"/>
        <v>6845.7720561197484</v>
      </c>
      <c r="AA412" s="114">
        <v>385</v>
      </c>
      <c r="AB412" s="46">
        <f t="shared" ref="AB412:AB475" si="159">IF(AA412&lt;Loan_Term*12,IPMT(Loan_Rate/12,1,(Loan_Term*12)-AA411,P411,0),0)</f>
        <v>0</v>
      </c>
      <c r="AC412" s="49"/>
      <c r="AD412" s="49">
        <f t="shared" si="141"/>
        <v>31715.122824808583</v>
      </c>
      <c r="AE412" s="50"/>
      <c r="AF412" s="140"/>
      <c r="AG412" s="140"/>
      <c r="AH412" s="140">
        <f t="shared" si="151"/>
        <v>5033141.7187312786</v>
      </c>
      <c r="AI412" s="9"/>
      <c r="AN412" s="9"/>
      <c r="AO412" s="9"/>
      <c r="AP412" s="9"/>
    </row>
    <row r="413" spans="2:42" ht="12" hidden="1" customHeight="1" outlineLevel="1" x14ac:dyDescent="0.25">
      <c r="B413" s="8" t="str">
        <f t="shared" si="140"/>
        <v/>
      </c>
      <c r="C413" s="85">
        <f t="shared" si="152"/>
        <v>3428229.1419160208</v>
      </c>
      <c r="D413" s="85">
        <f t="shared" ref="D413:D476" si="160">IF(MOD(AA413-1,12)&gt;0,D412,D412*(1+Annual_Rent_Increase_Percentage))</f>
        <v>8370.6739203150773</v>
      </c>
      <c r="E413" s="85">
        <f t="shared" ref="E413:E476" si="161">IF(MOD($AA413-1,12)&gt;0,E412,E412*(1+Annual_Inflation_Percentage))</f>
        <v>-1023.7839331419841</v>
      </c>
      <c r="F413" s="85">
        <f t="shared" ref="F413:F476" si="162">IF(MOD($AA413-1,12)&gt;0,F412,F412*(1+Annual_Inflation_Percentage))</f>
        <v>-501.11793105334505</v>
      </c>
      <c r="G413" s="85">
        <f t="shared" si="153"/>
        <v>0</v>
      </c>
      <c r="H413" s="85">
        <v>0</v>
      </c>
      <c r="I413" s="85">
        <v>0</v>
      </c>
      <c r="J413" s="85">
        <v>0</v>
      </c>
      <c r="K413" s="85">
        <f t="shared" si="154"/>
        <v>-1.2847429894266069E-54</v>
      </c>
      <c r="L413" s="85">
        <f t="shared" si="155"/>
        <v>1524.9018641953292</v>
      </c>
      <c r="M413" s="85">
        <f t="shared" si="143"/>
        <v>1524.9018641953292</v>
      </c>
      <c r="N413" s="85">
        <f t="shared" si="144"/>
        <v>7695.6680671862214</v>
      </c>
      <c r="O413" s="85">
        <f t="shared" si="145"/>
        <v>6845.7720561197484</v>
      </c>
      <c r="P413" s="85">
        <f t="shared" si="156"/>
        <v>8.0296436838981527E-57</v>
      </c>
      <c r="Q413" s="85">
        <f t="shared" si="146"/>
        <v>3428229.1419160208</v>
      </c>
      <c r="R413" s="85">
        <f t="shared" si="147"/>
        <v>7194.5501361328761</v>
      </c>
      <c r="S413" s="85" cm="1">
        <f t="array" ref="S413">Y413*tax_rate</f>
        <v>0</v>
      </c>
      <c r="T413" s="85">
        <f t="shared" si="157"/>
        <v>1841444.3850269034</v>
      </c>
      <c r="U413" s="85">
        <f t="shared" si="148"/>
        <v>5269673.5269429237</v>
      </c>
      <c r="V413" s="85"/>
      <c r="W413" s="138">
        <f t="shared" si="158"/>
        <v>0.12334772005700061</v>
      </c>
      <c r="X413" s="138" t="str">
        <f t="shared" si="139"/>
        <v/>
      </c>
      <c r="Y413" s="141"/>
      <c r="Z413" s="139">
        <f t="shared" si="150"/>
        <v>6845.7720561197484</v>
      </c>
      <c r="AA413" s="114">
        <v>386</v>
      </c>
      <c r="AB413" s="46">
        <f t="shared" si="159"/>
        <v>0</v>
      </c>
      <c r="AC413" s="48"/>
      <c r="AD413" s="49">
        <f t="shared" si="141"/>
        <v>31861.411679345183</v>
      </c>
      <c r="AE413" s="50"/>
      <c r="AF413" s="140"/>
      <c r="AG413" s="140"/>
      <c r="AH413" s="140">
        <f t="shared" si="151"/>
        <v>5063979.7784279622</v>
      </c>
      <c r="AI413" s="9"/>
      <c r="AN413" s="9"/>
      <c r="AO413" s="9"/>
      <c r="AP413" s="9"/>
    </row>
    <row r="414" spans="2:42" ht="12" hidden="1" customHeight="1" outlineLevel="1" x14ac:dyDescent="0.25">
      <c r="B414" s="8" t="str">
        <f t="shared" si="140"/>
        <v/>
      </c>
      <c r="C414" s="85">
        <f t="shared" si="152"/>
        <v>3445370.2876256006</v>
      </c>
      <c r="D414" s="85">
        <f t="shared" si="160"/>
        <v>8370.6739203150773</v>
      </c>
      <c r="E414" s="85">
        <f t="shared" si="161"/>
        <v>-1023.7839331419841</v>
      </c>
      <c r="F414" s="85">
        <f t="shared" si="162"/>
        <v>-501.11793105334505</v>
      </c>
      <c r="G414" s="85">
        <f t="shared" si="153"/>
        <v>0</v>
      </c>
      <c r="H414" s="85">
        <v>0</v>
      </c>
      <c r="I414" s="85">
        <v>0</v>
      </c>
      <c r="J414" s="85">
        <v>0</v>
      </c>
      <c r="K414" s="85">
        <f t="shared" si="154"/>
        <v>-8.0296436838981527E-57</v>
      </c>
      <c r="L414" s="85">
        <f t="shared" si="155"/>
        <v>1524.9018641953292</v>
      </c>
      <c r="M414" s="85">
        <f t="shared" si="143"/>
        <v>1524.9018641953292</v>
      </c>
      <c r="N414" s="85">
        <f t="shared" si="144"/>
        <v>7695.6680671862214</v>
      </c>
      <c r="O414" s="85">
        <f t="shared" si="145"/>
        <v>6845.7720561197484</v>
      </c>
      <c r="P414" s="85">
        <f t="shared" si="156"/>
        <v>5.0185273024250032E-59</v>
      </c>
      <c r="Q414" s="85">
        <f t="shared" si="146"/>
        <v>3445370.2876256006</v>
      </c>
      <c r="R414" s="85">
        <f t="shared" si="147"/>
        <v>7194.5501361328761</v>
      </c>
      <c r="S414" s="85" cm="1">
        <f t="array" ref="S414">Y414*tax_rate</f>
        <v>0</v>
      </c>
      <c r="T414" s="85">
        <f t="shared" si="157"/>
        <v>1856311.6201006484</v>
      </c>
      <c r="U414" s="85">
        <f t="shared" si="148"/>
        <v>5301681.9077262487</v>
      </c>
      <c r="V414" s="85"/>
      <c r="W414" s="138">
        <f t="shared" si="158"/>
        <v>0.12322103893957827</v>
      </c>
      <c r="X414" s="138" t="str">
        <f t="shared" si="139"/>
        <v/>
      </c>
      <c r="Y414" s="141"/>
      <c r="Z414" s="139">
        <f t="shared" si="150"/>
        <v>6845.7720561197484</v>
      </c>
      <c r="AA414" s="114">
        <v>387</v>
      </c>
      <c r="AB414" s="46">
        <f t="shared" si="159"/>
        <v>0</v>
      </c>
      <c r="AC414" s="48"/>
      <c r="AD414" s="49">
        <f t="shared" si="141"/>
        <v>32008.380783325061</v>
      </c>
      <c r="AE414" s="50"/>
      <c r="AF414" s="140"/>
      <c r="AG414" s="140"/>
      <c r="AH414" s="140">
        <f t="shared" si="151"/>
        <v>5094959.6904687127</v>
      </c>
      <c r="AI414" s="9"/>
      <c r="AN414" s="9"/>
      <c r="AO414" s="9"/>
      <c r="AP414" s="9"/>
    </row>
    <row r="415" spans="2:42" ht="12" hidden="1" customHeight="1" outlineLevel="1" x14ac:dyDescent="0.25">
      <c r="B415" s="8" t="str">
        <f t="shared" si="140"/>
        <v/>
      </c>
      <c r="C415" s="85">
        <f t="shared" si="152"/>
        <v>3462597.139063728</v>
      </c>
      <c r="D415" s="85">
        <f t="shared" si="160"/>
        <v>8370.6739203150773</v>
      </c>
      <c r="E415" s="85">
        <f t="shared" si="161"/>
        <v>-1023.7839331419841</v>
      </c>
      <c r="F415" s="85">
        <f t="shared" si="162"/>
        <v>-501.11793105334505</v>
      </c>
      <c r="G415" s="85">
        <f t="shared" si="153"/>
        <v>0</v>
      </c>
      <c r="H415" s="85">
        <v>0</v>
      </c>
      <c r="I415" s="85">
        <v>0</v>
      </c>
      <c r="J415" s="85">
        <v>0</v>
      </c>
      <c r="K415" s="85">
        <f t="shared" si="154"/>
        <v>-5.0185273024250032E-59</v>
      </c>
      <c r="L415" s="85">
        <f t="shared" si="155"/>
        <v>1524.9018641953292</v>
      </c>
      <c r="M415" s="85">
        <f t="shared" si="143"/>
        <v>1524.9018641953292</v>
      </c>
      <c r="N415" s="85">
        <f t="shared" si="144"/>
        <v>7695.6680671862214</v>
      </c>
      <c r="O415" s="85">
        <f t="shared" si="145"/>
        <v>6845.7720561197484</v>
      </c>
      <c r="P415" s="85">
        <f t="shared" si="156"/>
        <v>3.1365795640085346E-61</v>
      </c>
      <c r="Q415" s="85">
        <f t="shared" si="146"/>
        <v>3462597.139063728</v>
      </c>
      <c r="R415" s="85">
        <f t="shared" si="147"/>
        <v>7194.5501361328761</v>
      </c>
      <c r="S415" s="85" cm="1">
        <f t="array" ref="S415">Y415*tax_rate</f>
        <v>0</v>
      </c>
      <c r="T415" s="85">
        <f t="shared" si="157"/>
        <v>1871240.8019872005</v>
      </c>
      <c r="U415" s="85">
        <f t="shared" si="148"/>
        <v>5333837.9410509281</v>
      </c>
      <c r="V415" s="85"/>
      <c r="W415" s="138">
        <f t="shared" si="158"/>
        <v>0.12309472042865591</v>
      </c>
      <c r="X415" s="138" t="str">
        <f t="shared" si="139"/>
        <v/>
      </c>
      <c r="Y415" s="142"/>
      <c r="Z415" s="139">
        <f t="shared" si="150"/>
        <v>6845.7720561197484</v>
      </c>
      <c r="AA415" s="114">
        <v>388</v>
      </c>
      <c r="AB415" s="46">
        <f t="shared" si="159"/>
        <v>0</v>
      </c>
      <c r="AC415" s="49"/>
      <c r="AD415" s="49">
        <f t="shared" si="141"/>
        <v>32156.03332467936</v>
      </c>
      <c r="AE415" s="50"/>
      <c r="AF415" s="140"/>
      <c r="AG415" s="140"/>
      <c r="AH415" s="140">
        <f t="shared" si="151"/>
        <v>5126082.1127071045</v>
      </c>
      <c r="AI415" s="9"/>
      <c r="AN415" s="9"/>
      <c r="AO415" s="9"/>
      <c r="AP415" s="9"/>
    </row>
    <row r="416" spans="2:42" ht="12" hidden="1" customHeight="1" outlineLevel="1" x14ac:dyDescent="0.25">
      <c r="B416" s="8" t="str">
        <f t="shared" si="140"/>
        <v/>
      </c>
      <c r="C416" s="85">
        <f t="shared" si="152"/>
        <v>3479910.1247590464</v>
      </c>
      <c r="D416" s="85">
        <f t="shared" si="160"/>
        <v>8370.6739203150773</v>
      </c>
      <c r="E416" s="85">
        <f t="shared" si="161"/>
        <v>-1023.7839331419841</v>
      </c>
      <c r="F416" s="85">
        <f t="shared" si="162"/>
        <v>-501.11793105334505</v>
      </c>
      <c r="G416" s="85">
        <f t="shared" si="153"/>
        <v>0</v>
      </c>
      <c r="H416" s="85">
        <v>0</v>
      </c>
      <c r="I416" s="85">
        <v>0</v>
      </c>
      <c r="J416" s="85">
        <v>0</v>
      </c>
      <c r="K416" s="85">
        <f t="shared" si="154"/>
        <v>-3.1365795640085346E-61</v>
      </c>
      <c r="L416" s="85">
        <f t="shared" si="155"/>
        <v>1524.9018641953292</v>
      </c>
      <c r="M416" s="85">
        <f t="shared" si="143"/>
        <v>1524.9018641953292</v>
      </c>
      <c r="N416" s="85">
        <f t="shared" si="144"/>
        <v>7695.6680671862214</v>
      </c>
      <c r="O416" s="85">
        <f t="shared" si="145"/>
        <v>6845.7720561197484</v>
      </c>
      <c r="P416" s="85">
        <f t="shared" si="156"/>
        <v>1.9603622275008986E-63</v>
      </c>
      <c r="Q416" s="85">
        <f t="shared" si="146"/>
        <v>3479910.1247590464</v>
      </c>
      <c r="R416" s="85">
        <f t="shared" si="147"/>
        <v>7194.5501361328761</v>
      </c>
      <c r="S416" s="85" cm="1">
        <f t="array" ref="S416">Y416*tax_rate</f>
        <v>0</v>
      </c>
      <c r="T416" s="85">
        <f t="shared" si="157"/>
        <v>1886232.18879828</v>
      </c>
      <c r="U416" s="85">
        <f t="shared" si="148"/>
        <v>5366142.3135573268</v>
      </c>
      <c r="V416" s="85"/>
      <c r="W416" s="138">
        <f t="shared" si="158"/>
        <v>0.12296876402186589</v>
      </c>
      <c r="X416" s="138" t="str">
        <f t="shared" si="139"/>
        <v/>
      </c>
      <c r="Y416" s="142"/>
      <c r="Z416" s="139">
        <f t="shared" si="150"/>
        <v>6845.7720561197484</v>
      </c>
      <c r="AA416" s="114">
        <v>389</v>
      </c>
      <c r="AB416" s="46">
        <f t="shared" si="159"/>
        <v>0</v>
      </c>
      <c r="AC416" s="49"/>
      <c r="AD416" s="49">
        <f t="shared" si="141"/>
        <v>32304.372506398708</v>
      </c>
      <c r="AE416" s="50"/>
      <c r="AF416" s="140"/>
      <c r="AG416" s="140"/>
      <c r="AH416" s="140">
        <f t="shared" si="151"/>
        <v>5157347.7060717838</v>
      </c>
      <c r="AI416" s="9"/>
      <c r="AN416" s="9"/>
      <c r="AO416" s="9"/>
      <c r="AP416" s="9"/>
    </row>
    <row r="417" spans="2:42" ht="12" hidden="1" customHeight="1" outlineLevel="1" x14ac:dyDescent="0.25">
      <c r="B417" s="8" t="str">
        <f t="shared" si="140"/>
        <v/>
      </c>
      <c r="C417" s="85">
        <f t="shared" si="152"/>
        <v>3497309.6753828414</v>
      </c>
      <c r="D417" s="85">
        <f t="shared" si="160"/>
        <v>8370.6739203150773</v>
      </c>
      <c r="E417" s="85">
        <f t="shared" si="161"/>
        <v>-1023.7839331419841</v>
      </c>
      <c r="F417" s="85">
        <f t="shared" si="162"/>
        <v>-501.11793105334505</v>
      </c>
      <c r="G417" s="85">
        <f t="shared" si="153"/>
        <v>0</v>
      </c>
      <c r="H417" s="85">
        <v>0</v>
      </c>
      <c r="I417" s="85">
        <v>0</v>
      </c>
      <c r="J417" s="85">
        <v>0</v>
      </c>
      <c r="K417" s="85">
        <f t="shared" si="154"/>
        <v>-1.9603622275008986E-63</v>
      </c>
      <c r="L417" s="85">
        <f t="shared" si="155"/>
        <v>1524.9018641953292</v>
      </c>
      <c r="M417" s="85">
        <f t="shared" si="143"/>
        <v>1524.9018641953292</v>
      </c>
      <c r="N417" s="85">
        <f t="shared" si="144"/>
        <v>7695.6680671862214</v>
      </c>
      <c r="O417" s="85">
        <f t="shared" si="145"/>
        <v>6845.7720561197484</v>
      </c>
      <c r="P417" s="85">
        <f t="shared" si="156"/>
        <v>1.2252263921852926E-65</v>
      </c>
      <c r="Q417" s="85">
        <f t="shared" si="146"/>
        <v>3497309.6753828414</v>
      </c>
      <c r="R417" s="85">
        <f t="shared" si="147"/>
        <v>7194.5501361328761</v>
      </c>
      <c r="S417" s="85" cm="1">
        <f t="array" ref="S417">Y417*tax_rate</f>
        <v>0</v>
      </c>
      <c r="T417" s="85">
        <f t="shared" si="157"/>
        <v>1901286.0397210724</v>
      </c>
      <c r="U417" s="85">
        <f t="shared" si="148"/>
        <v>5398595.715103914</v>
      </c>
      <c r="V417" s="85"/>
      <c r="W417" s="138">
        <f t="shared" si="158"/>
        <v>0.12284316919885523</v>
      </c>
      <c r="X417" s="138" t="str">
        <f t="shared" si="139"/>
        <v/>
      </c>
      <c r="Y417" s="142"/>
      <c r="Z417" s="139">
        <f t="shared" si="150"/>
        <v>6845.7720561197484</v>
      </c>
      <c r="AA417" s="114">
        <v>390</v>
      </c>
      <c r="AB417" s="46">
        <f t="shared" si="159"/>
        <v>0</v>
      </c>
      <c r="AC417" s="49"/>
      <c r="AD417" s="49">
        <f t="shared" si="141"/>
        <v>32453.401546587236</v>
      </c>
      <c r="AE417" s="50"/>
      <c r="AF417" s="140"/>
      <c r="AG417" s="140"/>
      <c r="AH417" s="140">
        <f t="shared" si="151"/>
        <v>5188757.1345809437</v>
      </c>
      <c r="AI417" s="9"/>
      <c r="AN417" s="9"/>
      <c r="AO417" s="9"/>
      <c r="AP417" s="9"/>
    </row>
    <row r="418" spans="2:42" ht="12" hidden="1" customHeight="1" outlineLevel="1" x14ac:dyDescent="0.25">
      <c r="B418" s="8" t="str">
        <f t="shared" si="140"/>
        <v/>
      </c>
      <c r="C418" s="85">
        <f t="shared" si="152"/>
        <v>3514796.223759755</v>
      </c>
      <c r="D418" s="85">
        <f t="shared" si="160"/>
        <v>8370.6739203150773</v>
      </c>
      <c r="E418" s="85">
        <f t="shared" si="161"/>
        <v>-1023.7839331419841</v>
      </c>
      <c r="F418" s="85">
        <f t="shared" si="162"/>
        <v>-501.11793105334505</v>
      </c>
      <c r="G418" s="85">
        <f t="shared" si="153"/>
        <v>0</v>
      </c>
      <c r="H418" s="85">
        <v>0</v>
      </c>
      <c r="I418" s="85">
        <v>0</v>
      </c>
      <c r="J418" s="85">
        <v>0</v>
      </c>
      <c r="K418" s="85">
        <f t="shared" si="154"/>
        <v>-1.2252263921852926E-65</v>
      </c>
      <c r="L418" s="85">
        <f t="shared" si="155"/>
        <v>1524.9018641953292</v>
      </c>
      <c r="M418" s="85">
        <f t="shared" si="143"/>
        <v>1524.9018641953292</v>
      </c>
      <c r="N418" s="85">
        <f t="shared" si="144"/>
        <v>7695.6680671862214</v>
      </c>
      <c r="O418" s="85">
        <f t="shared" si="145"/>
        <v>6845.7720561197484</v>
      </c>
      <c r="P418" s="85">
        <f t="shared" si="156"/>
        <v>7.6576649511406632E-68</v>
      </c>
      <c r="Q418" s="85">
        <f t="shared" si="146"/>
        <v>3514796.223759755</v>
      </c>
      <c r="R418" s="85">
        <f t="shared" si="147"/>
        <v>7194.5501361328761</v>
      </c>
      <c r="S418" s="85" cm="1">
        <f t="array" ref="S418">Y418*tax_rate</f>
        <v>0</v>
      </c>
      <c r="T418" s="85">
        <f t="shared" si="157"/>
        <v>1916402.6150227098</v>
      </c>
      <c r="U418" s="85">
        <f t="shared" si="148"/>
        <v>5431198.8387824651</v>
      </c>
      <c r="V418" s="85"/>
      <c r="W418" s="138">
        <f t="shared" si="158"/>
        <v>0.1227179354218156</v>
      </c>
      <c r="X418" s="138" t="str">
        <f t="shared" si="139"/>
        <v/>
      </c>
      <c r="Y418" s="142"/>
      <c r="Z418" s="139">
        <f t="shared" si="150"/>
        <v>6845.7720561197484</v>
      </c>
      <c r="AA418" s="114">
        <v>391</v>
      </c>
      <c r="AB418" s="46">
        <f t="shared" si="159"/>
        <v>0</v>
      </c>
      <c r="AC418" s="49"/>
      <c r="AD418" s="49">
        <f t="shared" si="141"/>
        <v>32603.123678551055</v>
      </c>
      <c r="AE418" s="50"/>
      <c r="AF418" s="140"/>
      <c r="AG418" s="140"/>
      <c r="AH418" s="140">
        <f t="shared" si="151"/>
        <v>5220311.0653568795</v>
      </c>
      <c r="AI418" s="9"/>
      <c r="AN418" s="9"/>
      <c r="AO418" s="9"/>
      <c r="AP418" s="9"/>
    </row>
    <row r="419" spans="2:42" ht="12" hidden="1" customHeight="1" outlineLevel="1" x14ac:dyDescent="0.25">
      <c r="B419" s="8" t="str">
        <f t="shared" si="140"/>
        <v/>
      </c>
      <c r="C419" s="85">
        <f t="shared" si="152"/>
        <v>3532370.2048785533</v>
      </c>
      <c r="D419" s="85">
        <f t="shared" si="160"/>
        <v>8370.6739203150773</v>
      </c>
      <c r="E419" s="85">
        <f t="shared" si="161"/>
        <v>-1023.7839331419841</v>
      </c>
      <c r="F419" s="85">
        <f t="shared" si="162"/>
        <v>-501.11793105334505</v>
      </c>
      <c r="G419" s="85">
        <f t="shared" si="153"/>
        <v>0</v>
      </c>
      <c r="H419" s="85">
        <v>0</v>
      </c>
      <c r="I419" s="85">
        <v>0</v>
      </c>
      <c r="J419" s="85">
        <v>0</v>
      </c>
      <c r="K419" s="85">
        <f t="shared" si="154"/>
        <v>-7.6576649511406632E-68</v>
      </c>
      <c r="L419" s="85">
        <f t="shared" si="155"/>
        <v>1524.9018641953292</v>
      </c>
      <c r="M419" s="85">
        <f t="shared" si="143"/>
        <v>1524.9018641953292</v>
      </c>
      <c r="N419" s="85">
        <f t="shared" si="144"/>
        <v>7695.6680671862214</v>
      </c>
      <c r="O419" s="85">
        <f t="shared" si="145"/>
        <v>6845.7720561197484</v>
      </c>
      <c r="P419" s="85">
        <f t="shared" si="156"/>
        <v>4.7860405944520429E-70</v>
      </c>
      <c r="Q419" s="85">
        <f t="shared" si="146"/>
        <v>3532370.2048785533</v>
      </c>
      <c r="R419" s="85">
        <f t="shared" si="147"/>
        <v>7194.5501361328761</v>
      </c>
      <c r="S419" s="85" cm="1">
        <f t="array" ref="S419">Y419*tax_rate</f>
        <v>0</v>
      </c>
      <c r="T419" s="85">
        <f t="shared" si="157"/>
        <v>1931582.1760547706</v>
      </c>
      <c r="U419" s="85">
        <f t="shared" si="148"/>
        <v>5463952.3809333239</v>
      </c>
      <c r="V419" s="85"/>
      <c r="W419" s="138">
        <f t="shared" si="158"/>
        <v>0.12259306213600263</v>
      </c>
      <c r="X419" s="138" t="str">
        <f t="shared" si="139"/>
        <v/>
      </c>
      <c r="Y419" s="142"/>
      <c r="Z419" s="139">
        <f t="shared" si="150"/>
        <v>6845.7720561197484</v>
      </c>
      <c r="AA419" s="114">
        <v>392</v>
      </c>
      <c r="AB419" s="46">
        <f t="shared" si="159"/>
        <v>0</v>
      </c>
      <c r="AC419" s="49"/>
      <c r="AD419" s="49">
        <f t="shared" si="141"/>
        <v>32753.54215085879</v>
      </c>
      <c r="AE419" s="50"/>
      <c r="AF419" s="140"/>
      <c r="AG419" s="140"/>
      <c r="AH419" s="140">
        <f t="shared" si="151"/>
        <v>5252010.1686406108</v>
      </c>
      <c r="AI419" s="9"/>
      <c r="AN419" s="9"/>
      <c r="AO419" s="9"/>
      <c r="AP419" s="9"/>
    </row>
    <row r="420" spans="2:42" ht="12" hidden="1" customHeight="1" outlineLevel="1" x14ac:dyDescent="0.25">
      <c r="B420" s="8" t="str">
        <f t="shared" si="140"/>
        <v/>
      </c>
      <c r="C420" s="85">
        <f t="shared" si="152"/>
        <v>3550032.0559029458</v>
      </c>
      <c r="D420" s="85">
        <f t="shared" si="160"/>
        <v>8370.6739203150773</v>
      </c>
      <c r="E420" s="85">
        <f t="shared" si="161"/>
        <v>-1023.7839331419841</v>
      </c>
      <c r="F420" s="85">
        <f t="shared" si="162"/>
        <v>-501.11793105334505</v>
      </c>
      <c r="G420" s="85">
        <f t="shared" si="153"/>
        <v>0</v>
      </c>
      <c r="H420" s="85">
        <v>0</v>
      </c>
      <c r="I420" s="85">
        <v>0</v>
      </c>
      <c r="J420" s="85">
        <v>0</v>
      </c>
      <c r="K420" s="85">
        <f t="shared" si="154"/>
        <v>-4.7860405944520429E-70</v>
      </c>
      <c r="L420" s="85">
        <f t="shared" si="155"/>
        <v>1524.9018641953292</v>
      </c>
      <c r="M420" s="85">
        <f t="shared" si="143"/>
        <v>1524.9018641953292</v>
      </c>
      <c r="N420" s="85">
        <f t="shared" si="144"/>
        <v>7695.6680671862214</v>
      </c>
      <c r="O420" s="85">
        <f t="shared" si="145"/>
        <v>6845.7720561197484</v>
      </c>
      <c r="P420" s="85">
        <f t="shared" si="156"/>
        <v>2.991275371525732E-72</v>
      </c>
      <c r="Q420" s="85">
        <f t="shared" si="146"/>
        <v>3550032.0559029458</v>
      </c>
      <c r="R420" s="85">
        <f t="shared" si="147"/>
        <v>7194.5501361328761</v>
      </c>
      <c r="S420" s="85" cm="1">
        <f t="array" ref="S420">Y420*tax_rate</f>
        <v>0</v>
      </c>
      <c r="T420" s="85">
        <f t="shared" si="157"/>
        <v>1946824.9852577983</v>
      </c>
      <c r="U420" s="85">
        <f t="shared" si="148"/>
        <v>5496857.0411607437</v>
      </c>
      <c r="V420" s="85"/>
      <c r="W420" s="138">
        <f t="shared" si="158"/>
        <v>0.12246854877023979</v>
      </c>
      <c r="X420" s="138" t="str">
        <f t="shared" si="139"/>
        <v/>
      </c>
      <c r="Y420" s="142"/>
      <c r="Z420" s="139">
        <f t="shared" si="150"/>
        <v>6845.7720561197484</v>
      </c>
      <c r="AA420" s="114">
        <v>393</v>
      </c>
      <c r="AB420" s="46">
        <f t="shared" si="159"/>
        <v>0</v>
      </c>
      <c r="AC420" s="49"/>
      <c r="AD420" s="49">
        <f t="shared" si="141"/>
        <v>32904.660227419809</v>
      </c>
      <c r="AE420" s="50"/>
      <c r="AF420" s="140"/>
      <c r="AG420" s="140"/>
      <c r="AH420" s="140">
        <f t="shared" si="151"/>
        <v>5283855.1178065669</v>
      </c>
      <c r="AI420" s="9"/>
      <c r="AN420" s="9"/>
      <c r="AO420" s="9"/>
      <c r="AP420" s="9"/>
    </row>
    <row r="421" spans="2:42" ht="12" hidden="1" customHeight="1" outlineLevel="1" x14ac:dyDescent="0.25">
      <c r="B421" s="8" t="str">
        <f t="shared" si="140"/>
        <v/>
      </c>
      <c r="C421" s="85">
        <f t="shared" si="152"/>
        <v>3567782.2161824601</v>
      </c>
      <c r="D421" s="85">
        <f t="shared" si="160"/>
        <v>8370.6739203150773</v>
      </c>
      <c r="E421" s="85">
        <f t="shared" si="161"/>
        <v>-1023.7839331419841</v>
      </c>
      <c r="F421" s="85">
        <f t="shared" si="162"/>
        <v>-501.11793105334505</v>
      </c>
      <c r="G421" s="85">
        <f t="shared" si="153"/>
        <v>0</v>
      </c>
      <c r="H421" s="85">
        <v>0</v>
      </c>
      <c r="I421" s="85">
        <v>0</v>
      </c>
      <c r="J421" s="85">
        <v>0</v>
      </c>
      <c r="K421" s="85">
        <f t="shared" si="154"/>
        <v>-2.991275371525732E-72</v>
      </c>
      <c r="L421" s="85">
        <f t="shared" si="155"/>
        <v>1524.9018641953292</v>
      </c>
      <c r="M421" s="85">
        <f t="shared" si="143"/>
        <v>1524.9018641953292</v>
      </c>
      <c r="N421" s="85">
        <f t="shared" si="144"/>
        <v>7695.6680671862214</v>
      </c>
      <c r="O421" s="85">
        <f t="shared" si="145"/>
        <v>6845.7720561197484</v>
      </c>
      <c r="P421" s="85">
        <f t="shared" si="156"/>
        <v>1.8695471071993298E-74</v>
      </c>
      <c r="Q421" s="85">
        <f t="shared" si="146"/>
        <v>3567782.2161824601</v>
      </c>
      <c r="R421" s="85">
        <f t="shared" si="147"/>
        <v>7194.5501361328761</v>
      </c>
      <c r="S421" s="85" cm="1">
        <f t="array" ref="S421">Y421*tax_rate</f>
        <v>0</v>
      </c>
      <c r="T421" s="85">
        <f t="shared" si="157"/>
        <v>1962131.3061658386</v>
      </c>
      <c r="U421" s="85">
        <f t="shared" si="148"/>
        <v>5529913.5223482987</v>
      </c>
      <c r="V421" s="85"/>
      <c r="W421" s="138">
        <f t="shared" si="158"/>
        <v>0.12234439473741231</v>
      </c>
      <c r="X421" s="138" t="str">
        <f t="shared" si="139"/>
        <v/>
      </c>
      <c r="Y421" s="142"/>
      <c r="Z421" s="139">
        <f t="shared" si="150"/>
        <v>6845.7720561197484</v>
      </c>
      <c r="AA421" s="114">
        <v>394</v>
      </c>
      <c r="AB421" s="46">
        <f t="shared" si="159"/>
        <v>0</v>
      </c>
      <c r="AC421" s="49"/>
      <c r="AD421" s="49">
        <f t="shared" si="141"/>
        <v>33056.481187555008</v>
      </c>
      <c r="AE421" s="50"/>
      <c r="AF421" s="140"/>
      <c r="AG421" s="140"/>
      <c r="AH421" s="140">
        <f t="shared" si="151"/>
        <v>5315846.5893773511</v>
      </c>
      <c r="AI421" s="9"/>
      <c r="AN421" s="9"/>
      <c r="AO421" s="9"/>
      <c r="AP421" s="9"/>
    </row>
    <row r="422" spans="2:42" ht="12" hidden="1" customHeight="1" outlineLevel="1" x14ac:dyDescent="0.25">
      <c r="B422" s="8" t="str">
        <f t="shared" si="140"/>
        <v/>
      </c>
      <c r="C422" s="85">
        <f t="shared" si="152"/>
        <v>3585621.1272633718</v>
      </c>
      <c r="D422" s="85">
        <f t="shared" si="160"/>
        <v>8370.6739203150773</v>
      </c>
      <c r="E422" s="85">
        <f t="shared" si="161"/>
        <v>-1023.7839331419841</v>
      </c>
      <c r="F422" s="85">
        <f t="shared" si="162"/>
        <v>-501.11793105334505</v>
      </c>
      <c r="G422" s="85">
        <f t="shared" si="153"/>
        <v>0</v>
      </c>
      <c r="H422" s="85">
        <v>0</v>
      </c>
      <c r="I422" s="85">
        <v>0</v>
      </c>
      <c r="J422" s="85">
        <v>0</v>
      </c>
      <c r="K422" s="85">
        <f t="shared" si="154"/>
        <v>-1.8695471071993298E-74</v>
      </c>
      <c r="L422" s="85">
        <f t="shared" si="155"/>
        <v>1524.9018641953292</v>
      </c>
      <c r="M422" s="85">
        <f t="shared" si="143"/>
        <v>1524.9018641953292</v>
      </c>
      <c r="N422" s="85">
        <f t="shared" si="144"/>
        <v>7695.6680671862214</v>
      </c>
      <c r="O422" s="85">
        <f t="shared" si="145"/>
        <v>6845.7720561197484</v>
      </c>
      <c r="P422" s="85">
        <f t="shared" si="156"/>
        <v>1.1684669419969263E-76</v>
      </c>
      <c r="Q422" s="85">
        <f t="shared" si="146"/>
        <v>3585621.1272633718</v>
      </c>
      <c r="R422" s="85">
        <f t="shared" si="147"/>
        <v>7194.5501361328761</v>
      </c>
      <c r="S422" s="85" cm="1">
        <f t="array" ref="S422">Y422*tax_rate</f>
        <v>0</v>
      </c>
      <c r="T422" s="85">
        <f t="shared" si="157"/>
        <v>1977501.4034109958</v>
      </c>
      <c r="U422" s="85">
        <f t="shared" si="148"/>
        <v>5563122.5306743681</v>
      </c>
      <c r="V422" s="85"/>
      <c r="W422" s="138">
        <f t="shared" si="158"/>
        <v>0.12222059943494762</v>
      </c>
      <c r="X422" s="138" t="str">
        <f t="shared" si="139"/>
        <v/>
      </c>
      <c r="Y422" s="142"/>
      <c r="Z422" s="139">
        <f t="shared" si="150"/>
        <v>6845.7720561197484</v>
      </c>
      <c r="AA422" s="114">
        <v>395</v>
      </c>
      <c r="AB422" s="46">
        <f t="shared" si="159"/>
        <v>0</v>
      </c>
      <c r="AC422" s="49"/>
      <c r="AD422" s="49">
        <f t="shared" si="141"/>
        <v>33209.008326069452</v>
      </c>
      <c r="AE422" s="50"/>
      <c r="AF422" s="140"/>
      <c r="AG422" s="140"/>
      <c r="AH422" s="140">
        <f t="shared" si="151"/>
        <v>5347985.2630385654</v>
      </c>
      <c r="AI422" s="9"/>
      <c r="AN422" s="9"/>
      <c r="AO422" s="9"/>
      <c r="AP422" s="9"/>
    </row>
    <row r="423" spans="2:42" ht="15" customHeight="1" collapsed="1" x14ac:dyDescent="0.25">
      <c r="B423" s="8">
        <f t="shared" si="140"/>
        <v>33</v>
      </c>
      <c r="C423" s="85">
        <f t="shared" si="152"/>
        <v>3603549.2328996882</v>
      </c>
      <c r="D423" s="85">
        <f t="shared" si="160"/>
        <v>8370.6739203150773</v>
      </c>
      <c r="E423" s="85">
        <f t="shared" si="161"/>
        <v>-1023.7839331419841</v>
      </c>
      <c r="F423" s="85">
        <f t="shared" si="162"/>
        <v>-501.11793105334505</v>
      </c>
      <c r="G423" s="85">
        <f t="shared" si="153"/>
        <v>0</v>
      </c>
      <c r="H423" s="85">
        <v>0</v>
      </c>
      <c r="I423" s="85">
        <v>0</v>
      </c>
      <c r="J423" s="85">
        <v>0</v>
      </c>
      <c r="K423" s="85">
        <f t="shared" si="154"/>
        <v>-1.1684669419969263E-76</v>
      </c>
      <c r="L423" s="85">
        <f t="shared" si="155"/>
        <v>1524.9018641953292</v>
      </c>
      <c r="M423" s="85">
        <f t="shared" si="143"/>
        <v>1524.9018641953292</v>
      </c>
      <c r="N423" s="85">
        <f t="shared" si="144"/>
        <v>7695.6680671862214</v>
      </c>
      <c r="O423" s="85">
        <f t="shared" si="145"/>
        <v>6845.7720561197484</v>
      </c>
      <c r="P423" s="85">
        <f t="shared" si="156"/>
        <v>7.3029183874642823E-79</v>
      </c>
      <c r="Q423" s="85">
        <f t="shared" si="146"/>
        <v>3603549.2328996882</v>
      </c>
      <c r="R423" s="85">
        <f t="shared" si="147"/>
        <v>7194.5501361328761</v>
      </c>
      <c r="S423" s="85" cm="1">
        <f t="array" ref="S423">Y423*tax_rate</f>
        <v>5902.7895834948386</v>
      </c>
      <c r="T423" s="85">
        <f t="shared" si="157"/>
        <v>1998838.3323115027</v>
      </c>
      <c r="U423" s="85">
        <f t="shared" si="148"/>
        <v>5602387.5652111908</v>
      </c>
      <c r="V423" s="85">
        <f t="shared" ref="V423" si="163">U423-U411</f>
        <v>396290.57277242094</v>
      </c>
      <c r="W423" s="138">
        <f t="shared" si="158"/>
        <v>0.12213300789899834</v>
      </c>
      <c r="X423" s="138">
        <f t="shared" si="139"/>
        <v>7.6120474387623857E-2</v>
      </c>
      <c r="Y423" s="141">
        <f>(((Sale_Price*0.8)+Improvement_Costs+Closing_Costs_Total)/27.5)+(-E423*12)+-AC423</f>
        <v>26830.861743158355</v>
      </c>
      <c r="Z423" s="139">
        <f t="shared" si="150"/>
        <v>6845.7720561197484</v>
      </c>
      <c r="AA423" s="114">
        <v>396</v>
      </c>
      <c r="AB423" s="46">
        <f t="shared" si="159"/>
        <v>0</v>
      </c>
      <c r="AC423" s="48">
        <f>SUM(AB412:AB423)</f>
        <v>0</v>
      </c>
      <c r="AD423" s="49">
        <f t="shared" si="141"/>
        <v>39265.034536822699</v>
      </c>
      <c r="AE423" s="50">
        <f>D423*12</f>
        <v>100448.08704378092</v>
      </c>
      <c r="AF423" s="140"/>
      <c r="AG423" s="140"/>
      <c r="AH423" s="140">
        <f t="shared" si="151"/>
        <v>5386174.6112372093</v>
      </c>
      <c r="AI423" s="9">
        <f>AI411*(1+Comparison_Rate_of_Return)</f>
        <v>2903144.3024859838</v>
      </c>
      <c r="AN423" s="9"/>
      <c r="AO423" s="9"/>
      <c r="AP423" s="9"/>
    </row>
    <row r="424" spans="2:42" ht="12" hidden="1" customHeight="1" outlineLevel="1" x14ac:dyDescent="0.25">
      <c r="B424" s="8" t="str">
        <f t="shared" si="140"/>
        <v/>
      </c>
      <c r="C424" s="85">
        <f t="shared" si="152"/>
        <v>3621566.9790641861</v>
      </c>
      <c r="D424" s="85">
        <f t="shared" si="160"/>
        <v>8663.6475075261042</v>
      </c>
      <c r="E424" s="85">
        <f t="shared" si="161"/>
        <v>-1059.6163708019535</v>
      </c>
      <c r="F424" s="85">
        <f t="shared" si="162"/>
        <v>-518.65705864021209</v>
      </c>
      <c r="G424" s="85">
        <f t="shared" si="153"/>
        <v>0</v>
      </c>
      <c r="H424" s="85">
        <v>0</v>
      </c>
      <c r="I424" s="85">
        <v>0</v>
      </c>
      <c r="J424" s="85">
        <v>0</v>
      </c>
      <c r="K424" s="85">
        <f t="shared" si="154"/>
        <v>-7.3029183874642823E-79</v>
      </c>
      <c r="L424" s="85">
        <f t="shared" si="155"/>
        <v>1578.2734294421657</v>
      </c>
      <c r="M424" s="85">
        <f t="shared" si="143"/>
        <v>1578.2734294421657</v>
      </c>
      <c r="N424" s="85">
        <f t="shared" si="144"/>
        <v>7965.0164495377376</v>
      </c>
      <c r="O424" s="85">
        <f t="shared" si="145"/>
        <v>7085.374078083938</v>
      </c>
      <c r="P424" s="85">
        <f t="shared" si="156"/>
        <v>4.5643239921548213E-81</v>
      </c>
      <c r="Q424" s="85">
        <f t="shared" si="146"/>
        <v>3621566.9790641861</v>
      </c>
      <c r="R424" s="85">
        <f t="shared" si="147"/>
        <v>7446.3593908975254</v>
      </c>
      <c r="S424" s="85" cm="1">
        <f t="array" ref="S424">Y424*tax_rate</f>
        <v>0</v>
      </c>
      <c r="T424" s="85">
        <f t="shared" si="157"/>
        <v>2014613.1847536981</v>
      </c>
      <c r="U424" s="85">
        <f t="shared" si="148"/>
        <v>5636180.1638178844</v>
      </c>
      <c r="V424" s="85"/>
      <c r="W424" s="138">
        <f t="shared" si="158"/>
        <v>0.12201128450220004</v>
      </c>
      <c r="X424" s="138" t="str">
        <f t="shared" ref="X424:X487" si="164">IF(V424=0,"",V424/U412)</f>
        <v/>
      </c>
      <c r="Y424" s="142"/>
      <c r="Z424" s="139">
        <f t="shared" si="150"/>
        <v>7085.374078083938</v>
      </c>
      <c r="AA424" s="114">
        <v>397</v>
      </c>
      <c r="AB424" s="46">
        <f t="shared" si="159"/>
        <v>0</v>
      </c>
      <c r="AC424" s="49"/>
      <c r="AD424" s="49">
        <f t="shared" si="141"/>
        <v>33792.598606693558</v>
      </c>
      <c r="AE424" s="50"/>
      <c r="AF424" s="140"/>
      <c r="AG424" s="140"/>
      <c r="AH424" s="140">
        <f t="shared" si="151"/>
        <v>5418886.1450740332</v>
      </c>
      <c r="AI424" s="9"/>
      <c r="AN424" s="9"/>
      <c r="AO424" s="9"/>
      <c r="AP424" s="9"/>
    </row>
    <row r="425" spans="2:42" ht="12" hidden="1" customHeight="1" outlineLevel="1" x14ac:dyDescent="0.25">
      <c r="B425" s="8" t="str">
        <f t="shared" si="140"/>
        <v/>
      </c>
      <c r="C425" s="85">
        <f t="shared" si="152"/>
        <v>3639674.8139595068</v>
      </c>
      <c r="D425" s="85">
        <f t="shared" si="160"/>
        <v>8663.6475075261042</v>
      </c>
      <c r="E425" s="85">
        <f t="shared" si="161"/>
        <v>-1059.6163708019535</v>
      </c>
      <c r="F425" s="85">
        <f t="shared" si="162"/>
        <v>-518.65705864021209</v>
      </c>
      <c r="G425" s="85">
        <f t="shared" si="153"/>
        <v>0</v>
      </c>
      <c r="H425" s="85">
        <v>0</v>
      </c>
      <c r="I425" s="85">
        <v>0</v>
      </c>
      <c r="J425" s="85">
        <v>0</v>
      </c>
      <c r="K425" s="85">
        <f t="shared" si="154"/>
        <v>-4.5643239921548213E-81</v>
      </c>
      <c r="L425" s="85">
        <f t="shared" si="155"/>
        <v>1578.2734294421657</v>
      </c>
      <c r="M425" s="85">
        <f t="shared" si="143"/>
        <v>1578.2734294421657</v>
      </c>
      <c r="N425" s="85">
        <f t="shared" si="144"/>
        <v>7965.0164495377376</v>
      </c>
      <c r="O425" s="85">
        <f t="shared" si="145"/>
        <v>7085.374078083938</v>
      </c>
      <c r="P425" s="85">
        <f t="shared" si="156"/>
        <v>2.8527024950903401E-83</v>
      </c>
      <c r="Q425" s="85">
        <f t="shared" si="146"/>
        <v>3639674.8139595068</v>
      </c>
      <c r="R425" s="85">
        <f t="shared" si="147"/>
        <v>7446.3593908975254</v>
      </c>
      <c r="S425" s="85" cm="1">
        <f t="array" ref="S425">Y425*tax_rate</f>
        <v>0</v>
      </c>
      <c r="T425" s="85">
        <f t="shared" si="157"/>
        <v>2030453.765747736</v>
      </c>
      <c r="U425" s="85">
        <f t="shared" si="148"/>
        <v>5670128.5797072425</v>
      </c>
      <c r="V425" s="85"/>
      <c r="W425" s="138">
        <f t="shared" si="158"/>
        <v>0.12188989945556389</v>
      </c>
      <c r="X425" s="138" t="str">
        <f t="shared" si="164"/>
        <v/>
      </c>
      <c r="Y425" s="142"/>
      <c r="Z425" s="139">
        <f t="shared" si="150"/>
        <v>7085.374078083938</v>
      </c>
      <c r="AA425" s="114">
        <v>398</v>
      </c>
      <c r="AB425" s="46">
        <f t="shared" si="159"/>
        <v>0</v>
      </c>
      <c r="AC425" s="49"/>
      <c r="AD425" s="49">
        <f t="shared" si="141"/>
        <v>33948.415889358148</v>
      </c>
      <c r="AE425" s="50"/>
      <c r="AF425" s="140"/>
      <c r="AG425" s="140"/>
      <c r="AH425" s="140">
        <f t="shared" si="151"/>
        <v>5451748.0908696726</v>
      </c>
      <c r="AI425" s="9"/>
      <c r="AN425" s="9"/>
      <c r="AO425" s="9"/>
      <c r="AP425" s="9"/>
    </row>
    <row r="426" spans="2:42" ht="12" hidden="1" customHeight="1" outlineLevel="1" x14ac:dyDescent="0.25">
      <c r="B426" s="8" t="str">
        <f t="shared" si="140"/>
        <v/>
      </c>
      <c r="C426" s="85">
        <f t="shared" si="152"/>
        <v>3657873.1880293041</v>
      </c>
      <c r="D426" s="85">
        <f t="shared" si="160"/>
        <v>8663.6475075261042</v>
      </c>
      <c r="E426" s="85">
        <f t="shared" si="161"/>
        <v>-1059.6163708019535</v>
      </c>
      <c r="F426" s="85">
        <f t="shared" si="162"/>
        <v>-518.65705864021209</v>
      </c>
      <c r="G426" s="85">
        <f t="shared" si="153"/>
        <v>0</v>
      </c>
      <c r="H426" s="85">
        <v>0</v>
      </c>
      <c r="I426" s="85">
        <v>0</v>
      </c>
      <c r="J426" s="85">
        <v>0</v>
      </c>
      <c r="K426" s="85">
        <f t="shared" si="154"/>
        <v>-2.8527024950903401E-83</v>
      </c>
      <c r="L426" s="85">
        <f t="shared" si="155"/>
        <v>1578.2734294421657</v>
      </c>
      <c r="M426" s="85">
        <f t="shared" si="143"/>
        <v>1578.2734294421657</v>
      </c>
      <c r="N426" s="85">
        <f t="shared" si="144"/>
        <v>7965.0164495377376</v>
      </c>
      <c r="O426" s="85">
        <f t="shared" si="145"/>
        <v>7085.374078083938</v>
      </c>
      <c r="P426" s="85">
        <f t="shared" si="156"/>
        <v>1.7829390594274173E-85</v>
      </c>
      <c r="Q426" s="85">
        <f t="shared" si="146"/>
        <v>3657873.1880293041</v>
      </c>
      <c r="R426" s="85">
        <f t="shared" si="147"/>
        <v>7446.3593908975254</v>
      </c>
      <c r="S426" s="85" cm="1">
        <f t="array" ref="S426">Y426*tax_rate</f>
        <v>0</v>
      </c>
      <c r="T426" s="85">
        <f t="shared" si="157"/>
        <v>2046360.3491625823</v>
      </c>
      <c r="U426" s="85">
        <f t="shared" si="148"/>
        <v>5704233.5371918865</v>
      </c>
      <c r="V426" s="85"/>
      <c r="W426" s="138">
        <f t="shared" si="158"/>
        <v>0.12176885235133371</v>
      </c>
      <c r="X426" s="138" t="str">
        <f t="shared" si="164"/>
        <v/>
      </c>
      <c r="Y426" s="141"/>
      <c r="Z426" s="139">
        <f t="shared" si="150"/>
        <v>7085.374078083938</v>
      </c>
      <c r="AA426" s="114">
        <v>399</v>
      </c>
      <c r="AB426" s="46">
        <f t="shared" si="159"/>
        <v>0</v>
      </c>
      <c r="AC426" s="48"/>
      <c r="AD426" s="49">
        <f t="shared" si="141"/>
        <v>34104.957484643906</v>
      </c>
      <c r="AE426" s="50"/>
      <c r="AF426" s="140"/>
      <c r="AG426" s="140"/>
      <c r="AH426" s="140">
        <f t="shared" si="151"/>
        <v>5484761.145910128</v>
      </c>
      <c r="AI426" s="9"/>
      <c r="AN426" s="9"/>
      <c r="AO426" s="9"/>
      <c r="AP426" s="9"/>
    </row>
    <row r="427" spans="2:42" ht="12" hidden="1" customHeight="1" outlineLevel="1" x14ac:dyDescent="0.25">
      <c r="B427" s="8" t="str">
        <f t="shared" si="140"/>
        <v/>
      </c>
      <c r="C427" s="85">
        <f t="shared" si="152"/>
        <v>3676162.5539694503</v>
      </c>
      <c r="D427" s="85">
        <f t="shared" si="160"/>
        <v>8663.6475075261042</v>
      </c>
      <c r="E427" s="85">
        <f t="shared" si="161"/>
        <v>-1059.6163708019535</v>
      </c>
      <c r="F427" s="85">
        <f t="shared" si="162"/>
        <v>-518.65705864021209</v>
      </c>
      <c r="G427" s="85">
        <f t="shared" si="153"/>
        <v>0</v>
      </c>
      <c r="H427" s="85">
        <v>0</v>
      </c>
      <c r="I427" s="85">
        <v>0</v>
      </c>
      <c r="J427" s="85">
        <v>0</v>
      </c>
      <c r="K427" s="85">
        <f t="shared" si="154"/>
        <v>-1.7829390594274173E-85</v>
      </c>
      <c r="L427" s="85">
        <f t="shared" si="155"/>
        <v>1578.2734294421657</v>
      </c>
      <c r="M427" s="85">
        <f t="shared" si="143"/>
        <v>1578.2734294421657</v>
      </c>
      <c r="N427" s="85">
        <f t="shared" si="144"/>
        <v>7965.0164495377376</v>
      </c>
      <c r="O427" s="85">
        <f t="shared" si="145"/>
        <v>7085.374078083938</v>
      </c>
      <c r="P427" s="85">
        <f t="shared" si="156"/>
        <v>1.1143369121396041E-87</v>
      </c>
      <c r="Q427" s="85">
        <f t="shared" si="146"/>
        <v>3676162.5539694503</v>
      </c>
      <c r="R427" s="85">
        <f t="shared" si="147"/>
        <v>7446.3593908975254</v>
      </c>
      <c r="S427" s="85" cm="1">
        <f t="array" ref="S427">Y427*tax_rate</f>
        <v>0</v>
      </c>
      <c r="T427" s="85">
        <f t="shared" si="157"/>
        <v>2062333.2100083239</v>
      </c>
      <c r="U427" s="85">
        <f t="shared" si="148"/>
        <v>5738495.7639777744</v>
      </c>
      <c r="V427" s="85"/>
      <c r="W427" s="138">
        <f t="shared" si="158"/>
        <v>0.12164814276459666</v>
      </c>
      <c r="X427" s="138" t="str">
        <f t="shared" si="164"/>
        <v/>
      </c>
      <c r="Y427" s="141"/>
      <c r="Z427" s="139">
        <f t="shared" si="150"/>
        <v>7085.374078083938</v>
      </c>
      <c r="AA427" s="114">
        <v>400</v>
      </c>
      <c r="AB427" s="46">
        <f t="shared" si="159"/>
        <v>0</v>
      </c>
      <c r="AC427" s="48"/>
      <c r="AD427" s="49">
        <f t="shared" si="141"/>
        <v>34262.226785887964</v>
      </c>
      <c r="AE427" s="50"/>
      <c r="AF427" s="140"/>
      <c r="AG427" s="140"/>
      <c r="AH427" s="140">
        <f t="shared" si="151"/>
        <v>5517926.0107396077</v>
      </c>
      <c r="AI427" s="9"/>
      <c r="AN427" s="9"/>
      <c r="AO427" s="9"/>
      <c r="AP427" s="9"/>
    </row>
    <row r="428" spans="2:42" ht="12" hidden="1" customHeight="1" outlineLevel="1" x14ac:dyDescent="0.25">
      <c r="B428" s="8" t="str">
        <f t="shared" si="140"/>
        <v/>
      </c>
      <c r="C428" s="85">
        <f t="shared" si="152"/>
        <v>3694543.3667392973</v>
      </c>
      <c r="D428" s="85">
        <f t="shared" si="160"/>
        <v>8663.6475075261042</v>
      </c>
      <c r="E428" s="85">
        <f t="shared" si="161"/>
        <v>-1059.6163708019535</v>
      </c>
      <c r="F428" s="85">
        <f t="shared" si="162"/>
        <v>-518.65705864021209</v>
      </c>
      <c r="G428" s="85">
        <f t="shared" si="153"/>
        <v>0</v>
      </c>
      <c r="H428" s="85">
        <v>0</v>
      </c>
      <c r="I428" s="85">
        <v>0</v>
      </c>
      <c r="J428" s="85">
        <v>0</v>
      </c>
      <c r="K428" s="85">
        <f t="shared" si="154"/>
        <v>-1.1143369121396041E-87</v>
      </c>
      <c r="L428" s="85">
        <f t="shared" si="155"/>
        <v>1578.2734294421657</v>
      </c>
      <c r="M428" s="85">
        <f t="shared" si="143"/>
        <v>1578.2734294421657</v>
      </c>
      <c r="N428" s="85">
        <f t="shared" si="144"/>
        <v>7965.0164495377376</v>
      </c>
      <c r="O428" s="85">
        <f t="shared" si="145"/>
        <v>7085.374078083938</v>
      </c>
      <c r="P428" s="85">
        <f t="shared" si="156"/>
        <v>6.9646057008567648E-90</v>
      </c>
      <c r="Q428" s="85">
        <f t="shared" si="146"/>
        <v>3694543.3667392973</v>
      </c>
      <c r="R428" s="85">
        <f t="shared" si="147"/>
        <v>7446.3593908975254</v>
      </c>
      <c r="S428" s="85" cm="1">
        <f t="array" ref="S428">Y428*tax_rate</f>
        <v>0</v>
      </c>
      <c r="T428" s="85">
        <f t="shared" si="157"/>
        <v>2078372.6244409226</v>
      </c>
      <c r="U428" s="85">
        <f t="shared" si="148"/>
        <v>5772915.9911802197</v>
      </c>
      <c r="V428" s="85"/>
      <c r="W428" s="138">
        <f t="shared" si="158"/>
        <v>0.12152777025376625</v>
      </c>
      <c r="X428" s="138" t="str">
        <f t="shared" si="164"/>
        <v/>
      </c>
      <c r="Y428" s="142"/>
      <c r="Z428" s="139">
        <f t="shared" si="150"/>
        <v>7085.374078083938</v>
      </c>
      <c r="AA428" s="114">
        <v>401</v>
      </c>
      <c r="AB428" s="46">
        <f t="shared" si="159"/>
        <v>0</v>
      </c>
      <c r="AC428" s="49"/>
      <c r="AD428" s="49">
        <f t="shared" si="141"/>
        <v>34420.227202445269</v>
      </c>
      <c r="AE428" s="50"/>
      <c r="AF428" s="140"/>
      <c r="AG428" s="140"/>
      <c r="AH428" s="140">
        <f t="shared" si="151"/>
        <v>5551243.3891758621</v>
      </c>
      <c r="AI428" s="9"/>
      <c r="AN428" s="9"/>
      <c r="AO428" s="9"/>
      <c r="AP428" s="9"/>
    </row>
    <row r="429" spans="2:42" ht="12" hidden="1" customHeight="1" outlineLevel="1" x14ac:dyDescent="0.25">
      <c r="B429" s="8" t="str">
        <f t="shared" si="140"/>
        <v/>
      </c>
      <c r="C429" s="85">
        <f t="shared" si="152"/>
        <v>3713016.0835729935</v>
      </c>
      <c r="D429" s="85">
        <f t="shared" si="160"/>
        <v>8663.6475075261042</v>
      </c>
      <c r="E429" s="85">
        <f t="shared" si="161"/>
        <v>-1059.6163708019535</v>
      </c>
      <c r="F429" s="85">
        <f t="shared" si="162"/>
        <v>-518.65705864021209</v>
      </c>
      <c r="G429" s="85">
        <f t="shared" si="153"/>
        <v>0</v>
      </c>
      <c r="H429" s="85">
        <v>0</v>
      </c>
      <c r="I429" s="85">
        <v>0</v>
      </c>
      <c r="J429" s="85">
        <v>0</v>
      </c>
      <c r="K429" s="85">
        <f t="shared" si="154"/>
        <v>-6.9646057008567648E-90</v>
      </c>
      <c r="L429" s="85">
        <f t="shared" si="155"/>
        <v>1578.2734294421657</v>
      </c>
      <c r="M429" s="85">
        <f t="shared" si="143"/>
        <v>1578.2734294421657</v>
      </c>
      <c r="N429" s="85">
        <f t="shared" si="144"/>
        <v>7965.0164495377376</v>
      </c>
      <c r="O429" s="85">
        <f t="shared" si="145"/>
        <v>7085.374078083938</v>
      </c>
      <c r="P429" s="85">
        <f t="shared" si="156"/>
        <v>4.3528785630256589E-92</v>
      </c>
      <c r="Q429" s="85">
        <f t="shared" si="146"/>
        <v>3713016.0835729935</v>
      </c>
      <c r="R429" s="85">
        <f t="shared" si="147"/>
        <v>7446.3593908975254</v>
      </c>
      <c r="S429" s="85" cm="1">
        <f t="array" ref="S429">Y429*tax_rate</f>
        <v>0</v>
      </c>
      <c r="T429" s="85">
        <f t="shared" si="157"/>
        <v>2094478.8697669907</v>
      </c>
      <c r="U429" s="85">
        <f t="shared" si="148"/>
        <v>5807494.9533399846</v>
      </c>
      <c r="V429" s="85"/>
      <c r="W429" s="138">
        <f t="shared" si="158"/>
        <v>0.12140773436105849</v>
      </c>
      <c r="X429" s="138" t="str">
        <f t="shared" si="164"/>
        <v/>
      </c>
      <c r="Y429" s="142"/>
      <c r="Z429" s="139">
        <f t="shared" si="150"/>
        <v>7085.374078083938</v>
      </c>
      <c r="AA429" s="114">
        <v>402</v>
      </c>
      <c r="AB429" s="46">
        <f t="shared" si="159"/>
        <v>0</v>
      </c>
      <c r="AC429" s="49"/>
      <c r="AD429" s="49">
        <f t="shared" si="141"/>
        <v>34578.962159764953</v>
      </c>
      <c r="AE429" s="50"/>
      <c r="AF429" s="140"/>
      <c r="AG429" s="140"/>
      <c r="AH429" s="140">
        <f t="shared" si="151"/>
        <v>5584713.9883256052</v>
      </c>
      <c r="AI429" s="9"/>
      <c r="AN429" s="9"/>
      <c r="AO429" s="9"/>
      <c r="AP429" s="9"/>
    </row>
    <row r="430" spans="2:42" ht="12" hidden="1" customHeight="1" outlineLevel="1" x14ac:dyDescent="0.25">
      <c r="B430" s="8" t="str">
        <f t="shared" si="140"/>
        <v/>
      </c>
      <c r="C430" s="85">
        <f t="shared" si="152"/>
        <v>3731581.163990858</v>
      </c>
      <c r="D430" s="85">
        <f t="shared" si="160"/>
        <v>8663.6475075261042</v>
      </c>
      <c r="E430" s="85">
        <f t="shared" si="161"/>
        <v>-1059.6163708019535</v>
      </c>
      <c r="F430" s="85">
        <f t="shared" si="162"/>
        <v>-518.65705864021209</v>
      </c>
      <c r="G430" s="85">
        <f t="shared" si="153"/>
        <v>0</v>
      </c>
      <c r="H430" s="85">
        <v>0</v>
      </c>
      <c r="I430" s="85">
        <v>0</v>
      </c>
      <c r="J430" s="85">
        <v>0</v>
      </c>
      <c r="K430" s="85">
        <f t="shared" si="154"/>
        <v>-4.3528785630256589E-92</v>
      </c>
      <c r="L430" s="85">
        <f t="shared" si="155"/>
        <v>1578.2734294421657</v>
      </c>
      <c r="M430" s="85">
        <f t="shared" si="143"/>
        <v>1578.2734294421657</v>
      </c>
      <c r="N430" s="85">
        <f t="shared" si="144"/>
        <v>7965.0164495377376</v>
      </c>
      <c r="O430" s="85">
        <f t="shared" si="145"/>
        <v>7085.374078083938</v>
      </c>
      <c r="P430" s="85">
        <f t="shared" si="156"/>
        <v>2.7205491018848509E-94</v>
      </c>
      <c r="Q430" s="85">
        <f t="shared" si="146"/>
        <v>3731581.163990858</v>
      </c>
      <c r="R430" s="85">
        <f t="shared" si="147"/>
        <v>7446.3593908975254</v>
      </c>
      <c r="S430" s="85" cm="1">
        <f t="array" ref="S430">Y430*tax_rate</f>
        <v>0</v>
      </c>
      <c r="T430" s="85">
        <f t="shared" si="157"/>
        <v>2110652.224448584</v>
      </c>
      <c r="U430" s="85">
        <f t="shared" si="148"/>
        <v>5842233.388439442</v>
      </c>
      <c r="V430" s="85"/>
      <c r="W430" s="138">
        <f t="shared" si="158"/>
        <v>0.12128803461295473</v>
      </c>
      <c r="X430" s="138" t="str">
        <f t="shared" si="164"/>
        <v/>
      </c>
      <c r="Y430" s="142"/>
      <c r="Z430" s="139">
        <f t="shared" si="150"/>
        <v>7085.374078083938</v>
      </c>
      <c r="AA430" s="114">
        <v>403</v>
      </c>
      <c r="AB430" s="46">
        <f t="shared" si="159"/>
        <v>0</v>
      </c>
      <c r="AC430" s="49"/>
      <c r="AD430" s="49">
        <f t="shared" si="141"/>
        <v>34738.435099457391</v>
      </c>
      <c r="AE430" s="50"/>
      <c r="AF430" s="140"/>
      <c r="AG430" s="140"/>
      <c r="AH430" s="140">
        <f t="shared" si="151"/>
        <v>5618338.5185999908</v>
      </c>
      <c r="AI430" s="9"/>
      <c r="AN430" s="9"/>
      <c r="AO430" s="9"/>
      <c r="AP430" s="9"/>
    </row>
    <row r="431" spans="2:42" ht="12" hidden="1" customHeight="1" outlineLevel="1" x14ac:dyDescent="0.25">
      <c r="B431" s="8" t="str">
        <f t="shared" si="140"/>
        <v/>
      </c>
      <c r="C431" s="85">
        <f t="shared" si="152"/>
        <v>3750239.0698108119</v>
      </c>
      <c r="D431" s="85">
        <f t="shared" si="160"/>
        <v>8663.6475075261042</v>
      </c>
      <c r="E431" s="85">
        <f t="shared" si="161"/>
        <v>-1059.6163708019535</v>
      </c>
      <c r="F431" s="85">
        <f t="shared" si="162"/>
        <v>-518.65705864021209</v>
      </c>
      <c r="G431" s="85">
        <f t="shared" si="153"/>
        <v>0</v>
      </c>
      <c r="H431" s="85">
        <v>0</v>
      </c>
      <c r="I431" s="85">
        <v>0</v>
      </c>
      <c r="J431" s="85">
        <v>0</v>
      </c>
      <c r="K431" s="85">
        <f t="shared" si="154"/>
        <v>-2.7205491018848509E-94</v>
      </c>
      <c r="L431" s="85">
        <f t="shared" si="155"/>
        <v>1578.2734294421657</v>
      </c>
      <c r="M431" s="85">
        <f t="shared" si="143"/>
        <v>1578.2734294421657</v>
      </c>
      <c r="N431" s="85">
        <f t="shared" si="144"/>
        <v>7965.0164495377376</v>
      </c>
      <c r="O431" s="85">
        <f t="shared" si="145"/>
        <v>7085.374078083938</v>
      </c>
      <c r="P431" s="85">
        <f t="shared" si="156"/>
        <v>1.7003431886741783E-96</v>
      </c>
      <c r="Q431" s="85">
        <f t="shared" si="146"/>
        <v>3750239.0698108119</v>
      </c>
      <c r="R431" s="85">
        <f t="shared" si="147"/>
        <v>7446.3593908975254</v>
      </c>
      <c r="S431" s="85" cm="1">
        <f t="array" ref="S431">Y431*tax_rate</f>
        <v>0</v>
      </c>
      <c r="T431" s="85">
        <f t="shared" si="157"/>
        <v>2126892.9681080175</v>
      </c>
      <c r="U431" s="85">
        <f t="shared" si="148"/>
        <v>5877132.0379188294</v>
      </c>
      <c r="V431" s="85"/>
      <c r="W431" s="138">
        <f t="shared" si="158"/>
        <v>0.12116867052065299</v>
      </c>
      <c r="X431" s="138" t="str">
        <f t="shared" si="164"/>
        <v/>
      </c>
      <c r="Y431" s="142"/>
      <c r="Z431" s="139">
        <f t="shared" si="150"/>
        <v>7085.374078083938</v>
      </c>
      <c r="AA431" s="114">
        <v>404</v>
      </c>
      <c r="AB431" s="46">
        <f t="shared" si="159"/>
        <v>0</v>
      </c>
      <c r="AC431" s="49"/>
      <c r="AD431" s="49">
        <f t="shared" si="141"/>
        <v>34898.649479387328</v>
      </c>
      <c r="AE431" s="50"/>
      <c r="AF431" s="140"/>
      <c r="AG431" s="140"/>
      <c r="AH431" s="140">
        <f t="shared" si="151"/>
        <v>5652117.6937301811</v>
      </c>
      <c r="AI431" s="9"/>
      <c r="AN431" s="9"/>
      <c r="AO431" s="9"/>
      <c r="AP431" s="9"/>
    </row>
    <row r="432" spans="2:42" ht="12" hidden="1" customHeight="1" outlineLevel="1" x14ac:dyDescent="0.25">
      <c r="B432" s="8" t="str">
        <f t="shared" si="140"/>
        <v/>
      </c>
      <c r="C432" s="85">
        <f t="shared" si="152"/>
        <v>3768990.2651598654</v>
      </c>
      <c r="D432" s="85">
        <f t="shared" si="160"/>
        <v>8663.6475075261042</v>
      </c>
      <c r="E432" s="85">
        <f t="shared" si="161"/>
        <v>-1059.6163708019535</v>
      </c>
      <c r="F432" s="85">
        <f t="shared" si="162"/>
        <v>-518.65705864021209</v>
      </c>
      <c r="G432" s="85">
        <f t="shared" si="153"/>
        <v>0</v>
      </c>
      <c r="H432" s="85">
        <v>0</v>
      </c>
      <c r="I432" s="85">
        <v>0</v>
      </c>
      <c r="J432" s="85">
        <v>0</v>
      </c>
      <c r="K432" s="85">
        <f t="shared" si="154"/>
        <v>-1.7003431886741783E-96</v>
      </c>
      <c r="L432" s="85">
        <f t="shared" si="155"/>
        <v>1578.2734294421657</v>
      </c>
      <c r="M432" s="85">
        <f t="shared" si="143"/>
        <v>1578.2734294421657</v>
      </c>
      <c r="N432" s="85">
        <f t="shared" si="144"/>
        <v>7965.0164495377376</v>
      </c>
      <c r="O432" s="85">
        <f t="shared" si="145"/>
        <v>7085.374078083938</v>
      </c>
      <c r="P432" s="85">
        <f t="shared" si="156"/>
        <v>1.062714492918958E-98</v>
      </c>
      <c r="Q432" s="85">
        <f t="shared" si="146"/>
        <v>3768990.2651598654</v>
      </c>
      <c r="R432" s="85">
        <f t="shared" si="147"/>
        <v>7446.3593908975254</v>
      </c>
      <c r="S432" s="85" cm="1">
        <f t="array" ref="S432">Y432*tax_rate</f>
        <v>0</v>
      </c>
      <c r="T432" s="85">
        <f t="shared" si="157"/>
        <v>2143201.3815326984</v>
      </c>
      <c r="U432" s="85">
        <f t="shared" si="148"/>
        <v>5912191.6466925638</v>
      </c>
      <c r="V432" s="85"/>
      <c r="W432" s="138">
        <f t="shared" si="158"/>
        <v>0.12104964158050974</v>
      </c>
      <c r="X432" s="138" t="str">
        <f t="shared" si="164"/>
        <v/>
      </c>
      <c r="Y432" s="142"/>
      <c r="Z432" s="139">
        <f t="shared" si="150"/>
        <v>7085.374078083938</v>
      </c>
      <c r="AA432" s="114">
        <v>405</v>
      </c>
      <c r="AB432" s="46">
        <f t="shared" si="159"/>
        <v>0</v>
      </c>
      <c r="AC432" s="49"/>
      <c r="AD432" s="49">
        <f t="shared" si="141"/>
        <v>35059.608773734421</v>
      </c>
      <c r="AE432" s="50"/>
      <c r="AF432" s="140"/>
      <c r="AG432" s="140"/>
      <c r="AH432" s="140">
        <f t="shared" si="151"/>
        <v>5686052.2307829717</v>
      </c>
      <c r="AI432" s="9"/>
      <c r="AN432" s="9"/>
      <c r="AO432" s="9"/>
      <c r="AP432" s="9"/>
    </row>
    <row r="433" spans="2:42" ht="12" hidden="1" customHeight="1" outlineLevel="1" x14ac:dyDescent="0.25">
      <c r="B433" s="8" t="str">
        <f t="shared" si="140"/>
        <v/>
      </c>
      <c r="C433" s="85">
        <f t="shared" si="152"/>
        <v>3787835.2164856642</v>
      </c>
      <c r="D433" s="85">
        <f t="shared" si="160"/>
        <v>8663.6475075261042</v>
      </c>
      <c r="E433" s="85">
        <f t="shared" si="161"/>
        <v>-1059.6163708019535</v>
      </c>
      <c r="F433" s="85">
        <f t="shared" si="162"/>
        <v>-518.65705864021209</v>
      </c>
      <c r="G433" s="85">
        <f t="shared" si="153"/>
        <v>0</v>
      </c>
      <c r="H433" s="85">
        <v>0</v>
      </c>
      <c r="I433" s="85">
        <v>0</v>
      </c>
      <c r="J433" s="85">
        <v>0</v>
      </c>
      <c r="K433" s="85">
        <f t="shared" si="154"/>
        <v>-1.062714492918958E-98</v>
      </c>
      <c r="L433" s="85">
        <f t="shared" si="155"/>
        <v>1578.2734294421657</v>
      </c>
      <c r="M433" s="85">
        <f t="shared" si="143"/>
        <v>1578.2734294421657</v>
      </c>
      <c r="N433" s="85">
        <f t="shared" si="144"/>
        <v>7965.0164495377376</v>
      </c>
      <c r="O433" s="85">
        <f t="shared" si="145"/>
        <v>7085.374078083938</v>
      </c>
      <c r="P433" s="85">
        <f t="shared" si="156"/>
        <v>6.6419655807284794E-101</v>
      </c>
      <c r="Q433" s="85">
        <f t="shared" si="146"/>
        <v>3787835.2164856642</v>
      </c>
      <c r="R433" s="85">
        <f t="shared" si="147"/>
        <v>7446.3593908975254</v>
      </c>
      <c r="S433" s="85" cm="1">
        <f t="array" ref="S433">Y433*tax_rate</f>
        <v>0</v>
      </c>
      <c r="T433" s="85">
        <f t="shared" si="157"/>
        <v>2159577.7466799822</v>
      </c>
      <c r="U433" s="85">
        <f t="shared" si="148"/>
        <v>5947412.9631656464</v>
      </c>
      <c r="V433" s="85"/>
      <c r="W433" s="138">
        <f t="shared" si="158"/>
        <v>0.12093094727447067</v>
      </c>
      <c r="X433" s="138" t="str">
        <f t="shared" si="164"/>
        <v/>
      </c>
      <c r="Y433" s="142"/>
      <c r="Z433" s="139">
        <f t="shared" si="150"/>
        <v>7085.374078083938</v>
      </c>
      <c r="AA433" s="114">
        <v>406</v>
      </c>
      <c r="AB433" s="46">
        <f t="shared" si="159"/>
        <v>0</v>
      </c>
      <c r="AC433" s="49"/>
      <c r="AD433" s="49">
        <f t="shared" si="141"/>
        <v>35221.316473082639</v>
      </c>
      <c r="AE433" s="50"/>
      <c r="AF433" s="140"/>
      <c r="AG433" s="140"/>
      <c r="AH433" s="140">
        <f t="shared" si="151"/>
        <v>5720142.8501765067</v>
      </c>
      <c r="AI433" s="9"/>
      <c r="AN433" s="9"/>
      <c r="AO433" s="9"/>
      <c r="AP433" s="9"/>
    </row>
    <row r="434" spans="2:42" ht="12" hidden="1" customHeight="1" outlineLevel="1" x14ac:dyDescent="0.25">
      <c r="B434" s="8" t="str">
        <f t="shared" si="140"/>
        <v/>
      </c>
      <c r="C434" s="85">
        <f t="shared" si="152"/>
        <v>3806774.3925680923</v>
      </c>
      <c r="D434" s="85">
        <f t="shared" si="160"/>
        <v>8663.6475075261042</v>
      </c>
      <c r="E434" s="85">
        <f t="shared" si="161"/>
        <v>-1059.6163708019535</v>
      </c>
      <c r="F434" s="85">
        <f t="shared" si="162"/>
        <v>-518.65705864021209</v>
      </c>
      <c r="G434" s="85">
        <f t="shared" si="153"/>
        <v>0</v>
      </c>
      <c r="H434" s="85">
        <v>0</v>
      </c>
      <c r="I434" s="85">
        <v>0</v>
      </c>
      <c r="J434" s="85">
        <v>0</v>
      </c>
      <c r="K434" s="85">
        <f t="shared" si="154"/>
        <v>-6.6419655807284794E-101</v>
      </c>
      <c r="L434" s="85">
        <f t="shared" si="155"/>
        <v>1578.2734294421657</v>
      </c>
      <c r="M434" s="85">
        <f t="shared" si="143"/>
        <v>1578.2734294421657</v>
      </c>
      <c r="N434" s="85">
        <f t="shared" si="144"/>
        <v>7965.0164495377376</v>
      </c>
      <c r="O434" s="85">
        <f t="shared" si="145"/>
        <v>7085.374078083938</v>
      </c>
      <c r="P434" s="85">
        <f t="shared" si="156"/>
        <v>4.1512284879459346E-103</v>
      </c>
      <c r="Q434" s="85">
        <f t="shared" si="146"/>
        <v>3806774.3925680923</v>
      </c>
      <c r="R434" s="85">
        <f t="shared" si="147"/>
        <v>7446.3593908975254</v>
      </c>
      <c r="S434" s="85" cm="1">
        <f t="array" ref="S434">Y434*tax_rate</f>
        <v>0</v>
      </c>
      <c r="T434" s="85">
        <f t="shared" si="157"/>
        <v>2176022.3466820465</v>
      </c>
      <c r="U434" s="85">
        <f t="shared" si="148"/>
        <v>5982796.7392501384</v>
      </c>
      <c r="V434" s="85"/>
      <c r="W434" s="138">
        <f t="shared" si="158"/>
        <v>0.12081258707049128</v>
      </c>
      <c r="X434" s="138" t="str">
        <f t="shared" si="164"/>
        <v/>
      </c>
      <c r="Y434" s="142"/>
      <c r="Z434" s="139">
        <f t="shared" si="150"/>
        <v>7085.374078083938</v>
      </c>
      <c r="AA434" s="114">
        <v>407</v>
      </c>
      <c r="AB434" s="46">
        <f t="shared" si="159"/>
        <v>0</v>
      </c>
      <c r="AC434" s="49"/>
      <c r="AD434" s="49">
        <f t="shared" si="141"/>
        <v>35383.776084491983</v>
      </c>
      <c r="AE434" s="50"/>
      <c r="AF434" s="140"/>
      <c r="AG434" s="140"/>
      <c r="AH434" s="140">
        <f t="shared" si="151"/>
        <v>5754390.2756960532</v>
      </c>
      <c r="AI434" s="9"/>
      <c r="AN434" s="9"/>
      <c r="AO434" s="9"/>
      <c r="AP434" s="9"/>
    </row>
    <row r="435" spans="2:42" ht="15" customHeight="1" collapsed="1" x14ac:dyDescent="0.25">
      <c r="B435" s="8">
        <f t="shared" si="140"/>
        <v>34</v>
      </c>
      <c r="C435" s="85">
        <f t="shared" si="152"/>
        <v>3825808.2645309325</v>
      </c>
      <c r="D435" s="85">
        <f t="shared" si="160"/>
        <v>8663.6475075261042</v>
      </c>
      <c r="E435" s="85">
        <f t="shared" si="161"/>
        <v>-1059.6163708019535</v>
      </c>
      <c r="F435" s="85">
        <f t="shared" si="162"/>
        <v>-518.65705864021209</v>
      </c>
      <c r="G435" s="85">
        <f t="shared" si="153"/>
        <v>0</v>
      </c>
      <c r="H435" s="85">
        <v>0</v>
      </c>
      <c r="I435" s="85">
        <v>0</v>
      </c>
      <c r="J435" s="85">
        <v>0</v>
      </c>
      <c r="K435" s="85">
        <f t="shared" si="154"/>
        <v>-4.1512284879459346E-103</v>
      </c>
      <c r="L435" s="85">
        <f t="shared" si="155"/>
        <v>1578.2734294421657</v>
      </c>
      <c r="M435" s="85">
        <f t="shared" si="143"/>
        <v>1578.2734294421657</v>
      </c>
      <c r="N435" s="85">
        <f t="shared" si="144"/>
        <v>7965.0164495377376</v>
      </c>
      <c r="O435" s="85">
        <f t="shared" si="145"/>
        <v>7085.374078083938</v>
      </c>
      <c r="P435" s="85">
        <f t="shared" si="156"/>
        <v>2.5945178049603401E-105</v>
      </c>
      <c r="Q435" s="85">
        <f t="shared" si="146"/>
        <v>3825808.2645309325</v>
      </c>
      <c r="R435" s="85">
        <f t="shared" si="147"/>
        <v>7446.3593908975254</v>
      </c>
      <c r="S435" s="85" cm="1">
        <f t="array" ref="S435">Y435*tax_rate</f>
        <v>5997.387218917157</v>
      </c>
      <c r="T435" s="85">
        <f t="shared" si="157"/>
        <v>2198532.8530697031</v>
      </c>
      <c r="U435" s="85">
        <f t="shared" si="148"/>
        <v>6024341.1176006356</v>
      </c>
      <c r="V435" s="85">
        <f t="shared" ref="V435" si="165">U435-U423</f>
        <v>421953.55238944478</v>
      </c>
      <c r="W435" s="138">
        <f t="shared" si="158"/>
        <v>0.1207273913773847</v>
      </c>
      <c r="X435" s="138">
        <f t="shared" si="164"/>
        <v>7.5316737279945492E-2</v>
      </c>
      <c r="Y435" s="141">
        <f>(((Sale_Price*0.8)+Improvement_Costs+Closing_Costs_Total)/27.5)+(-E435*12)+-AC435</f>
        <v>27260.850995077988</v>
      </c>
      <c r="Z435" s="139">
        <f t="shared" si="150"/>
        <v>7085.374078083938</v>
      </c>
      <c r="AA435" s="114">
        <v>408</v>
      </c>
      <c r="AB435" s="46">
        <f t="shared" si="159"/>
        <v>0</v>
      </c>
      <c r="AC435" s="48">
        <f>SUM(AB424:AB435)</f>
        <v>0</v>
      </c>
      <c r="AD435" s="49">
        <f t="shared" si="141"/>
        <v>41544.378350497223</v>
      </c>
      <c r="AE435" s="50">
        <f>D435*12</f>
        <v>103963.77009031325</v>
      </c>
      <c r="AF435" s="140"/>
      <c r="AG435" s="140"/>
      <c r="AH435" s="140">
        <f t="shared" si="151"/>
        <v>5794792.6217287797</v>
      </c>
      <c r="AI435" s="9">
        <f>AI423*(1+Comparison_Rate_of_Return)</f>
        <v>3193458.7327345824</v>
      </c>
      <c r="AN435" s="9"/>
      <c r="AO435" s="9"/>
      <c r="AP435" s="9"/>
    </row>
    <row r="436" spans="2:42" ht="12" hidden="1" customHeight="1" outlineLevel="1" x14ac:dyDescent="0.25">
      <c r="B436" s="8" t="str">
        <f t="shared" si="140"/>
        <v/>
      </c>
      <c r="C436" s="85">
        <f t="shared" si="152"/>
        <v>3844937.3058535866</v>
      </c>
      <c r="D436" s="85">
        <f t="shared" si="160"/>
        <v>8966.875170289517</v>
      </c>
      <c r="E436" s="85">
        <f t="shared" si="161"/>
        <v>-1096.7029437800218</v>
      </c>
      <c r="F436" s="85">
        <f t="shared" si="162"/>
        <v>-536.81005569261947</v>
      </c>
      <c r="G436" s="85">
        <f t="shared" si="153"/>
        <v>0</v>
      </c>
      <c r="H436" s="85">
        <v>0</v>
      </c>
      <c r="I436" s="85">
        <v>0</v>
      </c>
      <c r="J436" s="85">
        <v>0</v>
      </c>
      <c r="K436" s="85">
        <f t="shared" si="154"/>
        <v>-2.5945178049603401E-105</v>
      </c>
      <c r="L436" s="85">
        <f t="shared" si="155"/>
        <v>1633.5129994726412</v>
      </c>
      <c r="M436" s="85">
        <f t="shared" si="143"/>
        <v>1633.5129994726412</v>
      </c>
      <c r="N436" s="85">
        <f t="shared" si="144"/>
        <v>8243.7920252715594</v>
      </c>
      <c r="O436" s="85">
        <f t="shared" si="145"/>
        <v>7333.3621708168757</v>
      </c>
      <c r="P436" s="85">
        <f t="shared" si="156"/>
        <v>1.6215736280965646E-107</v>
      </c>
      <c r="Q436" s="85">
        <f t="shared" si="146"/>
        <v>3844937.3058535866</v>
      </c>
      <c r="R436" s="85">
        <f t="shared" si="147"/>
        <v>7706.9819695789402</v>
      </c>
      <c r="S436" s="85" cm="1">
        <f t="array" ref="S436">Y436*tax_rate</f>
        <v>0</v>
      </c>
      <c r="T436" s="85">
        <f t="shared" si="157"/>
        <v>2215400.3885937394</v>
      </c>
      <c r="U436" s="85">
        <f t="shared" si="148"/>
        <v>6060337.6944473255</v>
      </c>
      <c r="V436" s="85"/>
      <c r="W436" s="138">
        <f t="shared" si="158"/>
        <v>0.12061097047951572</v>
      </c>
      <c r="X436" s="138" t="str">
        <f t="shared" si="164"/>
        <v/>
      </c>
      <c r="Y436" s="142"/>
      <c r="Z436" s="139">
        <f t="shared" si="150"/>
        <v>7333.3621708168757</v>
      </c>
      <c r="AA436" s="114">
        <v>409</v>
      </c>
      <c r="AB436" s="46">
        <f t="shared" si="159"/>
        <v>0</v>
      </c>
      <c r="AC436" s="49"/>
      <c r="AD436" s="49">
        <f t="shared" si="141"/>
        <v>35996.576846689917</v>
      </c>
      <c r="AE436" s="50"/>
      <c r="AF436" s="140"/>
      <c r="AG436" s="140"/>
      <c r="AH436" s="140">
        <f t="shared" si="151"/>
        <v>5829641.4560961099</v>
      </c>
      <c r="AI436" s="9"/>
      <c r="AN436" s="9"/>
      <c r="AO436" s="9"/>
      <c r="AP436" s="9"/>
    </row>
    <row r="437" spans="2:42" ht="12" hidden="1" customHeight="1" outlineLevel="1" x14ac:dyDescent="0.25">
      <c r="B437" s="8" t="str">
        <f t="shared" si="140"/>
        <v/>
      </c>
      <c r="C437" s="85">
        <f t="shared" si="152"/>
        <v>3864161.9923828542</v>
      </c>
      <c r="D437" s="85">
        <f t="shared" si="160"/>
        <v>8966.875170289517</v>
      </c>
      <c r="E437" s="85">
        <f t="shared" si="161"/>
        <v>-1096.7029437800218</v>
      </c>
      <c r="F437" s="85">
        <f t="shared" si="162"/>
        <v>-536.81005569261947</v>
      </c>
      <c r="G437" s="85">
        <f t="shared" si="153"/>
        <v>0</v>
      </c>
      <c r="H437" s="85">
        <v>0</v>
      </c>
      <c r="I437" s="85">
        <v>0</v>
      </c>
      <c r="J437" s="85">
        <v>0</v>
      </c>
      <c r="K437" s="85">
        <f t="shared" si="154"/>
        <v>-1.6215736280965646E-107</v>
      </c>
      <c r="L437" s="85">
        <f t="shared" si="155"/>
        <v>1633.5129994726412</v>
      </c>
      <c r="M437" s="85">
        <f t="shared" si="143"/>
        <v>1633.5129994726412</v>
      </c>
      <c r="N437" s="85">
        <f t="shared" si="144"/>
        <v>8243.7920252715594</v>
      </c>
      <c r="O437" s="85">
        <f t="shared" si="145"/>
        <v>7333.3621708168757</v>
      </c>
      <c r="P437" s="85">
        <f t="shared" si="156"/>
        <v>1.0134835175580717E-109</v>
      </c>
      <c r="Q437" s="85">
        <f t="shared" si="146"/>
        <v>3864161.9923828542</v>
      </c>
      <c r="R437" s="85">
        <f t="shared" si="147"/>
        <v>7706.9819695789402</v>
      </c>
      <c r="S437" s="85" cm="1">
        <f t="array" ref="S437">Y437*tax_rate</f>
        <v>0</v>
      </c>
      <c r="T437" s="85">
        <f t="shared" si="157"/>
        <v>2232338.2055157926</v>
      </c>
      <c r="U437" s="85">
        <f t="shared" si="148"/>
        <v>6096500.1978986468</v>
      </c>
      <c r="V437" s="85"/>
      <c r="W437" s="138">
        <f t="shared" si="158"/>
        <v>0.12049486504936126</v>
      </c>
      <c r="X437" s="138" t="str">
        <f t="shared" si="164"/>
        <v/>
      </c>
      <c r="Y437" s="142"/>
      <c r="Z437" s="139">
        <f t="shared" si="150"/>
        <v>7333.3621708168757</v>
      </c>
      <c r="AA437" s="114">
        <v>410</v>
      </c>
      <c r="AB437" s="46">
        <f t="shared" si="159"/>
        <v>0</v>
      </c>
      <c r="AC437" s="49"/>
      <c r="AD437" s="49">
        <f t="shared" si="141"/>
        <v>36162.503451321274</v>
      </c>
      <c r="AE437" s="50"/>
      <c r="AF437" s="140"/>
      <c r="AG437" s="140"/>
      <c r="AH437" s="140">
        <f t="shared" si="151"/>
        <v>5864650.4783556759</v>
      </c>
      <c r="AI437" s="9"/>
      <c r="AN437" s="9"/>
      <c r="AO437" s="9"/>
      <c r="AP437" s="9"/>
    </row>
    <row r="438" spans="2:42" ht="12" hidden="1" customHeight="1" outlineLevel="1" x14ac:dyDescent="0.25">
      <c r="B438" s="8" t="str">
        <f t="shared" si="140"/>
        <v/>
      </c>
      <c r="C438" s="85">
        <f t="shared" si="152"/>
        <v>3883482.8023447683</v>
      </c>
      <c r="D438" s="85">
        <f t="shared" si="160"/>
        <v>8966.875170289517</v>
      </c>
      <c r="E438" s="85">
        <f t="shared" si="161"/>
        <v>-1096.7029437800218</v>
      </c>
      <c r="F438" s="85">
        <f t="shared" si="162"/>
        <v>-536.81005569261947</v>
      </c>
      <c r="G438" s="85">
        <f t="shared" si="153"/>
        <v>0</v>
      </c>
      <c r="H438" s="85">
        <v>0</v>
      </c>
      <c r="I438" s="85">
        <v>0</v>
      </c>
      <c r="J438" s="85">
        <v>0</v>
      </c>
      <c r="K438" s="85">
        <f t="shared" si="154"/>
        <v>-1.0134835175580717E-109</v>
      </c>
      <c r="L438" s="85">
        <f t="shared" si="155"/>
        <v>1633.5129994726412</v>
      </c>
      <c r="M438" s="85">
        <f t="shared" si="143"/>
        <v>1633.5129994726412</v>
      </c>
      <c r="N438" s="85">
        <f t="shared" si="144"/>
        <v>8243.7920252715594</v>
      </c>
      <c r="O438" s="85">
        <f t="shared" si="145"/>
        <v>7333.3621708168757</v>
      </c>
      <c r="P438" s="85">
        <f t="shared" si="156"/>
        <v>6.334271984723648E-112</v>
      </c>
      <c r="Q438" s="85">
        <f t="shared" si="146"/>
        <v>3883482.8023447683</v>
      </c>
      <c r="R438" s="85">
        <f t="shared" si="147"/>
        <v>7706.9819695789402</v>
      </c>
      <c r="S438" s="85" cm="1">
        <f t="array" ref="S438">Y438*tax_rate</f>
        <v>0</v>
      </c>
      <c r="T438" s="85">
        <f t="shared" si="157"/>
        <v>2249346.5966750206</v>
      </c>
      <c r="U438" s="85">
        <f t="shared" si="148"/>
        <v>6132829.399019789</v>
      </c>
      <c r="V438" s="85"/>
      <c r="W438" s="138">
        <f t="shared" si="158"/>
        <v>0.12037907472887507</v>
      </c>
      <c r="X438" s="138" t="str">
        <f t="shared" si="164"/>
        <v/>
      </c>
      <c r="Y438" s="142"/>
      <c r="Z438" s="139">
        <f t="shared" si="150"/>
        <v>7333.3621708168757</v>
      </c>
      <c r="AA438" s="114">
        <v>411</v>
      </c>
      <c r="AB438" s="46">
        <f t="shared" si="159"/>
        <v>0</v>
      </c>
      <c r="AC438" s="49"/>
      <c r="AD438" s="49">
        <f t="shared" si="141"/>
        <v>36329.201121142134</v>
      </c>
      <c r="AE438" s="50"/>
      <c r="AF438" s="140"/>
      <c r="AG438" s="140"/>
      <c r="AH438" s="140">
        <f t="shared" si="151"/>
        <v>5899820.430879103</v>
      </c>
      <c r="AI438" s="9"/>
      <c r="AN438" s="9"/>
      <c r="AO438" s="9"/>
      <c r="AP438" s="9"/>
    </row>
    <row r="439" spans="2:42" ht="12" hidden="1" customHeight="1" outlineLevel="1" x14ac:dyDescent="0.25">
      <c r="B439" s="8" t="str">
        <f t="shared" si="140"/>
        <v/>
      </c>
      <c r="C439" s="85">
        <f t="shared" si="152"/>
        <v>3902900.2163564917</v>
      </c>
      <c r="D439" s="85">
        <f t="shared" si="160"/>
        <v>8966.875170289517</v>
      </c>
      <c r="E439" s="85">
        <f t="shared" si="161"/>
        <v>-1096.7029437800218</v>
      </c>
      <c r="F439" s="85">
        <f t="shared" si="162"/>
        <v>-536.81005569261947</v>
      </c>
      <c r="G439" s="85">
        <f t="shared" si="153"/>
        <v>0</v>
      </c>
      <c r="H439" s="85">
        <v>0</v>
      </c>
      <c r="I439" s="85">
        <v>0</v>
      </c>
      <c r="J439" s="85">
        <v>0</v>
      </c>
      <c r="K439" s="85">
        <f t="shared" si="154"/>
        <v>-6.334271984723648E-112</v>
      </c>
      <c r="L439" s="85">
        <f t="shared" si="155"/>
        <v>1633.5129994726412</v>
      </c>
      <c r="M439" s="85">
        <f t="shared" si="143"/>
        <v>1633.5129994726412</v>
      </c>
      <c r="N439" s="85">
        <f t="shared" si="144"/>
        <v>8243.7920252715594</v>
      </c>
      <c r="O439" s="85">
        <f t="shared" si="145"/>
        <v>7333.3621708168757</v>
      </c>
      <c r="P439" s="85">
        <f t="shared" si="156"/>
        <v>3.9589199904433794E-114</v>
      </c>
      <c r="Q439" s="85">
        <f t="shared" si="146"/>
        <v>3902900.2163564917</v>
      </c>
      <c r="R439" s="85">
        <f t="shared" si="147"/>
        <v>7706.9819695789402</v>
      </c>
      <c r="S439" s="85" cm="1">
        <f t="array" ref="S439">Y439*tax_rate</f>
        <v>0</v>
      </c>
      <c r="T439" s="85">
        <f t="shared" si="157"/>
        <v>2266425.8561307457</v>
      </c>
      <c r="U439" s="85">
        <f t="shared" si="148"/>
        <v>6169326.0724872369</v>
      </c>
      <c r="V439" s="85"/>
      <c r="W439" s="138">
        <f t="shared" si="158"/>
        <v>0.12026359914453458</v>
      </c>
      <c r="X439" s="138" t="str">
        <f t="shared" si="164"/>
        <v/>
      </c>
      <c r="Y439" s="141"/>
      <c r="Z439" s="139">
        <f t="shared" si="150"/>
        <v>7333.3621708168757</v>
      </c>
      <c r="AA439" s="114">
        <v>412</v>
      </c>
      <c r="AB439" s="46">
        <f t="shared" si="159"/>
        <v>0</v>
      </c>
      <c r="AC439" s="48"/>
      <c r="AD439" s="49">
        <f t="shared" si="141"/>
        <v>36496.673467447981</v>
      </c>
      <c r="AE439" s="50"/>
      <c r="AF439" s="140"/>
      <c r="AG439" s="140"/>
      <c r="AH439" s="140">
        <f t="shared" si="151"/>
        <v>5935152.0595058473</v>
      </c>
      <c r="AI439" s="9"/>
      <c r="AN439" s="9"/>
      <c r="AO439" s="9"/>
      <c r="AP439" s="9"/>
    </row>
    <row r="440" spans="2:42" ht="12" hidden="1" customHeight="1" outlineLevel="1" x14ac:dyDescent="0.25">
      <c r="B440" s="8" t="str">
        <f t="shared" si="140"/>
        <v/>
      </c>
      <c r="C440" s="85">
        <f t="shared" si="152"/>
        <v>3922414.7174382736</v>
      </c>
      <c r="D440" s="85">
        <f t="shared" si="160"/>
        <v>8966.875170289517</v>
      </c>
      <c r="E440" s="85">
        <f t="shared" si="161"/>
        <v>-1096.7029437800218</v>
      </c>
      <c r="F440" s="85">
        <f t="shared" si="162"/>
        <v>-536.81005569261947</v>
      </c>
      <c r="G440" s="85">
        <f t="shared" si="153"/>
        <v>0</v>
      </c>
      <c r="H440" s="85">
        <v>0</v>
      </c>
      <c r="I440" s="85">
        <v>0</v>
      </c>
      <c r="J440" s="85">
        <v>0</v>
      </c>
      <c r="K440" s="85">
        <f t="shared" si="154"/>
        <v>-3.9589199904433794E-114</v>
      </c>
      <c r="L440" s="85">
        <f t="shared" si="155"/>
        <v>1633.5129994726412</v>
      </c>
      <c r="M440" s="85">
        <f t="shared" si="143"/>
        <v>1633.5129994726412</v>
      </c>
      <c r="N440" s="85">
        <f t="shared" si="144"/>
        <v>8243.7920252715594</v>
      </c>
      <c r="O440" s="85">
        <f t="shared" si="145"/>
        <v>7333.3621708168757</v>
      </c>
      <c r="P440" s="85">
        <f t="shared" si="156"/>
        <v>2.4743249940215435E-116</v>
      </c>
      <c r="Q440" s="85">
        <f t="shared" si="146"/>
        <v>3922414.7174382736</v>
      </c>
      <c r="R440" s="85">
        <f t="shared" si="147"/>
        <v>7706.9819695789402</v>
      </c>
      <c r="S440" s="85" cm="1">
        <f t="array" ref="S440">Y440*tax_rate</f>
        <v>0</v>
      </c>
      <c r="T440" s="85">
        <f t="shared" si="157"/>
        <v>2283576.2791675362</v>
      </c>
      <c r="U440" s="85">
        <f t="shared" si="148"/>
        <v>6205990.9966058098</v>
      </c>
      <c r="V440" s="85"/>
      <c r="W440" s="138">
        <f t="shared" si="158"/>
        <v>0.12014843790776454</v>
      </c>
      <c r="X440" s="138" t="str">
        <f t="shared" si="164"/>
        <v/>
      </c>
      <c r="Y440" s="141"/>
      <c r="Z440" s="139">
        <f t="shared" si="150"/>
        <v>7333.3621708168757</v>
      </c>
      <c r="AA440" s="114">
        <v>413</v>
      </c>
      <c r="AB440" s="46">
        <f t="shared" si="159"/>
        <v>0</v>
      </c>
      <c r="AC440" s="48"/>
      <c r="AD440" s="49">
        <f t="shared" si="141"/>
        <v>36664.924118572846</v>
      </c>
      <c r="AE440" s="50"/>
      <c r="AF440" s="140"/>
      <c r="AG440" s="140"/>
      <c r="AH440" s="140">
        <f t="shared" si="151"/>
        <v>5970646.1135595134</v>
      </c>
      <c r="AI440" s="9"/>
      <c r="AN440" s="9"/>
      <c r="AO440" s="9"/>
      <c r="AP440" s="9"/>
    </row>
    <row r="441" spans="2:42" ht="12" hidden="1" customHeight="1" outlineLevel="1" x14ac:dyDescent="0.25">
      <c r="B441" s="8" t="str">
        <f t="shared" si="140"/>
        <v/>
      </c>
      <c r="C441" s="85">
        <f t="shared" si="152"/>
        <v>3942026.7910254644</v>
      </c>
      <c r="D441" s="85">
        <f t="shared" si="160"/>
        <v>8966.875170289517</v>
      </c>
      <c r="E441" s="85">
        <f t="shared" si="161"/>
        <v>-1096.7029437800218</v>
      </c>
      <c r="F441" s="85">
        <f t="shared" si="162"/>
        <v>-536.81005569261947</v>
      </c>
      <c r="G441" s="85">
        <f t="shared" si="153"/>
        <v>0</v>
      </c>
      <c r="H441" s="85">
        <v>0</v>
      </c>
      <c r="I441" s="85">
        <v>0</v>
      </c>
      <c r="J441" s="85">
        <v>0</v>
      </c>
      <c r="K441" s="85">
        <f t="shared" si="154"/>
        <v>-2.4743249940215435E-116</v>
      </c>
      <c r="L441" s="85">
        <f t="shared" si="155"/>
        <v>1633.5129994726412</v>
      </c>
      <c r="M441" s="85">
        <f t="shared" si="143"/>
        <v>1633.5129994726412</v>
      </c>
      <c r="N441" s="85">
        <f t="shared" si="144"/>
        <v>8243.7920252715594</v>
      </c>
      <c r="O441" s="85">
        <f t="shared" si="145"/>
        <v>7333.3621708168757</v>
      </c>
      <c r="P441" s="85">
        <f t="shared" si="156"/>
        <v>1.5464531212599538E-118</v>
      </c>
      <c r="Q441" s="85">
        <f t="shared" si="146"/>
        <v>3942026.7910254644</v>
      </c>
      <c r="R441" s="85">
        <f t="shared" si="147"/>
        <v>7706.9819695789402</v>
      </c>
      <c r="S441" s="85" cm="1">
        <f t="array" ref="S441">Y441*tax_rate</f>
        <v>0</v>
      </c>
      <c r="T441" s="85">
        <f t="shared" si="157"/>
        <v>2300798.1623003134</v>
      </c>
      <c r="U441" s="85">
        <f t="shared" si="148"/>
        <v>6242824.9533257782</v>
      </c>
      <c r="V441" s="85"/>
      <c r="W441" s="138">
        <f t="shared" si="158"/>
        <v>0.12003359061535254</v>
      </c>
      <c r="X441" s="138" t="str">
        <f t="shared" si="164"/>
        <v/>
      </c>
      <c r="Y441" s="142"/>
      <c r="Z441" s="139">
        <f t="shared" si="150"/>
        <v>7333.3621708168757</v>
      </c>
      <c r="AA441" s="114">
        <v>414</v>
      </c>
      <c r="AB441" s="46">
        <f t="shared" si="159"/>
        <v>0</v>
      </c>
      <c r="AC441" s="49"/>
      <c r="AD441" s="49">
        <f t="shared" si="141"/>
        <v>36833.956719968468</v>
      </c>
      <c r="AE441" s="50"/>
      <c r="AF441" s="140"/>
      <c r="AG441" s="140"/>
      <c r="AH441" s="140">
        <f t="shared" si="151"/>
        <v>6006303.3458642503</v>
      </c>
      <c r="AI441" s="9"/>
      <c r="AN441" s="9"/>
      <c r="AO441" s="9"/>
      <c r="AP441" s="9"/>
    </row>
    <row r="442" spans="2:42" ht="12" hidden="1" customHeight="1" outlineLevel="1" x14ac:dyDescent="0.25">
      <c r="B442" s="8" t="str">
        <f t="shared" si="140"/>
        <v/>
      </c>
      <c r="C442" s="85">
        <f t="shared" si="152"/>
        <v>3961736.9249805915</v>
      </c>
      <c r="D442" s="85">
        <f t="shared" si="160"/>
        <v>8966.875170289517</v>
      </c>
      <c r="E442" s="85">
        <f t="shared" si="161"/>
        <v>-1096.7029437800218</v>
      </c>
      <c r="F442" s="85">
        <f t="shared" si="162"/>
        <v>-536.81005569261947</v>
      </c>
      <c r="G442" s="85">
        <f t="shared" si="153"/>
        <v>0</v>
      </c>
      <c r="H442" s="85">
        <v>0</v>
      </c>
      <c r="I442" s="85">
        <v>0</v>
      </c>
      <c r="J442" s="85">
        <v>0</v>
      </c>
      <c r="K442" s="85">
        <f t="shared" si="154"/>
        <v>-1.5464531212599538E-118</v>
      </c>
      <c r="L442" s="85">
        <f t="shared" si="155"/>
        <v>1633.5129994726412</v>
      </c>
      <c r="M442" s="85">
        <f t="shared" si="143"/>
        <v>1633.5129994726412</v>
      </c>
      <c r="N442" s="85">
        <f t="shared" si="144"/>
        <v>8243.7920252715594</v>
      </c>
      <c r="O442" s="85">
        <f t="shared" si="145"/>
        <v>7333.3621708168757</v>
      </c>
      <c r="P442" s="85">
        <f t="shared" si="156"/>
        <v>9.6653320078528745E-121</v>
      </c>
      <c r="Q442" s="85">
        <f t="shared" si="146"/>
        <v>3961736.9249805915</v>
      </c>
      <c r="R442" s="85">
        <f t="shared" si="147"/>
        <v>7706.9819695789402</v>
      </c>
      <c r="S442" s="85" cm="1">
        <f t="array" ref="S442">Y442*tax_rate</f>
        <v>0</v>
      </c>
      <c r="T442" s="85">
        <f t="shared" si="157"/>
        <v>2318091.8032794772</v>
      </c>
      <c r="U442" s="85">
        <f t="shared" si="148"/>
        <v>6279828.7282600682</v>
      </c>
      <c r="V442" s="85"/>
      <c r="W442" s="138">
        <f t="shared" si="158"/>
        <v>0.11991905684985522</v>
      </c>
      <c r="X442" s="138" t="str">
        <f t="shared" si="164"/>
        <v/>
      </c>
      <c r="Y442" s="142"/>
      <c r="Z442" s="139">
        <f t="shared" si="150"/>
        <v>7333.3621708168757</v>
      </c>
      <c r="AA442" s="114">
        <v>415</v>
      </c>
      <c r="AB442" s="46">
        <f t="shared" si="159"/>
        <v>0</v>
      </c>
      <c r="AC442" s="47"/>
      <c r="AD442" s="47">
        <f t="shared" si="141"/>
        <v>37003.774934289977</v>
      </c>
      <c r="AE442" s="86"/>
      <c r="AF442" s="140"/>
      <c r="AG442" s="140"/>
      <c r="AH442" s="140">
        <f t="shared" si="151"/>
        <v>6042124.5127612324</v>
      </c>
      <c r="AI442" s="9"/>
      <c r="AN442" s="9"/>
      <c r="AO442" s="9"/>
      <c r="AP442" s="9"/>
    </row>
    <row r="443" spans="2:42" ht="12" hidden="1" customHeight="1" outlineLevel="1" x14ac:dyDescent="0.25">
      <c r="B443" s="8" t="str">
        <f t="shared" si="140"/>
        <v/>
      </c>
      <c r="C443" s="85">
        <f t="shared" si="152"/>
        <v>3981545.609605494</v>
      </c>
      <c r="D443" s="85">
        <f t="shared" si="160"/>
        <v>8966.875170289517</v>
      </c>
      <c r="E443" s="85">
        <f t="shared" si="161"/>
        <v>-1096.7029437800218</v>
      </c>
      <c r="F443" s="85">
        <f t="shared" si="162"/>
        <v>-536.81005569261947</v>
      </c>
      <c r="G443" s="85">
        <f t="shared" si="153"/>
        <v>0</v>
      </c>
      <c r="H443" s="85">
        <v>0</v>
      </c>
      <c r="I443" s="85">
        <v>0</v>
      </c>
      <c r="J443" s="85">
        <v>0</v>
      </c>
      <c r="K443" s="85">
        <f t="shared" si="154"/>
        <v>-9.6653320078528745E-121</v>
      </c>
      <c r="L443" s="85">
        <f t="shared" si="155"/>
        <v>1633.5129994726412</v>
      </c>
      <c r="M443" s="85">
        <f t="shared" si="143"/>
        <v>1633.5129994726412</v>
      </c>
      <c r="N443" s="85">
        <f t="shared" si="144"/>
        <v>8243.7920252715594</v>
      </c>
      <c r="O443" s="85">
        <f t="shared" si="145"/>
        <v>7333.3621708168757</v>
      </c>
      <c r="P443" s="85">
        <f t="shared" si="156"/>
        <v>6.0408325048943915E-123</v>
      </c>
      <c r="Q443" s="85">
        <f t="shared" si="146"/>
        <v>3981545.609605494</v>
      </c>
      <c r="R443" s="85">
        <f t="shared" si="147"/>
        <v>7706.9819695789402</v>
      </c>
      <c r="S443" s="85" cm="1">
        <f t="array" ref="S443">Y443*tax_rate</f>
        <v>0</v>
      </c>
      <c r="T443" s="85">
        <f t="shared" si="157"/>
        <v>2335457.501096054</v>
      </c>
      <c r="U443" s="85">
        <f t="shared" si="148"/>
        <v>6317003.1107015479</v>
      </c>
      <c r="V443" s="85"/>
      <c r="W443" s="138">
        <f t="shared" si="158"/>
        <v>0.11980483617999345</v>
      </c>
      <c r="X443" s="138" t="str">
        <f t="shared" si="164"/>
        <v/>
      </c>
      <c r="Y443" s="142"/>
      <c r="Z443" s="139">
        <f t="shared" si="150"/>
        <v>7333.3621708168757</v>
      </c>
      <c r="AA443" s="114">
        <v>416</v>
      </c>
      <c r="AB443" s="46">
        <f t="shared" si="159"/>
        <v>0</v>
      </c>
      <c r="AC443" s="47"/>
      <c r="AD443" s="47">
        <f t="shared" si="141"/>
        <v>37174.382441479713</v>
      </c>
      <c r="AE443" s="86"/>
      <c r="AF443" s="140"/>
      <c r="AG443" s="140"/>
      <c r="AH443" s="140">
        <f t="shared" si="151"/>
        <v>6078110.374125218</v>
      </c>
      <c r="AI443" s="9"/>
      <c r="AN443" s="9"/>
      <c r="AO443" s="9"/>
      <c r="AP443" s="9"/>
    </row>
    <row r="444" spans="2:42" ht="12" hidden="1" customHeight="1" outlineLevel="1" x14ac:dyDescent="0.25">
      <c r="B444" s="8" t="str">
        <f t="shared" si="140"/>
        <v/>
      </c>
      <c r="C444" s="85">
        <f t="shared" si="152"/>
        <v>4001453.337653521</v>
      </c>
      <c r="D444" s="85">
        <f t="shared" si="160"/>
        <v>8966.875170289517</v>
      </c>
      <c r="E444" s="85">
        <f t="shared" si="161"/>
        <v>-1096.7029437800218</v>
      </c>
      <c r="F444" s="85">
        <f t="shared" si="162"/>
        <v>-536.81005569261947</v>
      </c>
      <c r="G444" s="85">
        <f t="shared" si="153"/>
        <v>0</v>
      </c>
      <c r="H444" s="85">
        <v>0</v>
      </c>
      <c r="I444" s="85">
        <v>0</v>
      </c>
      <c r="J444" s="85">
        <v>0</v>
      </c>
      <c r="K444" s="85">
        <f t="shared" si="154"/>
        <v>-6.0408325048943915E-123</v>
      </c>
      <c r="L444" s="85">
        <f t="shared" si="155"/>
        <v>1633.5129994726412</v>
      </c>
      <c r="M444" s="85">
        <f t="shared" si="143"/>
        <v>1633.5129994726412</v>
      </c>
      <c r="N444" s="85">
        <f t="shared" si="144"/>
        <v>8243.7920252715594</v>
      </c>
      <c r="O444" s="85">
        <f t="shared" si="145"/>
        <v>7333.3621708168757</v>
      </c>
      <c r="P444" s="85">
        <f t="shared" si="156"/>
        <v>3.7755203155504496E-125</v>
      </c>
      <c r="Q444" s="85">
        <f t="shared" si="146"/>
        <v>4001453.337653521</v>
      </c>
      <c r="R444" s="85">
        <f t="shared" si="147"/>
        <v>7706.9819695789402</v>
      </c>
      <c r="S444" s="85" cm="1">
        <f t="array" ref="S444">Y444*tax_rate</f>
        <v>0</v>
      </c>
      <c r="T444" s="85">
        <f t="shared" si="157"/>
        <v>2352895.5559868668</v>
      </c>
      <c r="U444" s="85">
        <f t="shared" si="148"/>
        <v>6354348.8936403878</v>
      </c>
      <c r="V444" s="85"/>
      <c r="W444" s="138">
        <f t="shared" si="158"/>
        <v>0.11969092816103986</v>
      </c>
      <c r="X444" s="138" t="str">
        <f t="shared" si="164"/>
        <v/>
      </c>
      <c r="Y444" s="142"/>
      <c r="Z444" s="139">
        <f t="shared" si="150"/>
        <v>7333.3621708168757</v>
      </c>
      <c r="AA444" s="114">
        <v>417</v>
      </c>
      <c r="AB444" s="46">
        <f t="shared" si="159"/>
        <v>0</v>
      </c>
      <c r="AC444" s="47"/>
      <c r="AD444" s="47">
        <f t="shared" si="141"/>
        <v>37345.782938839868</v>
      </c>
      <c r="AE444" s="86"/>
      <c r="AF444" s="140"/>
      <c r="AG444" s="140"/>
      <c r="AH444" s="140">
        <f t="shared" si="151"/>
        <v>6114261.6933811763</v>
      </c>
      <c r="AI444" s="9"/>
      <c r="AN444" s="9"/>
      <c r="AO444" s="9"/>
      <c r="AP444" s="9"/>
    </row>
    <row r="445" spans="2:42" ht="12" hidden="1" customHeight="1" outlineLevel="1" x14ac:dyDescent="0.25">
      <c r="B445" s="8" t="str">
        <f t="shared" si="140"/>
        <v/>
      </c>
      <c r="C445" s="85">
        <f t="shared" si="152"/>
        <v>4021460.6043417882</v>
      </c>
      <c r="D445" s="85">
        <f t="shared" si="160"/>
        <v>8966.875170289517</v>
      </c>
      <c r="E445" s="85">
        <f t="shared" si="161"/>
        <v>-1096.7029437800218</v>
      </c>
      <c r="F445" s="85">
        <f t="shared" si="162"/>
        <v>-536.81005569261947</v>
      </c>
      <c r="G445" s="85">
        <f t="shared" si="153"/>
        <v>0</v>
      </c>
      <c r="H445" s="85">
        <v>0</v>
      </c>
      <c r="I445" s="85">
        <v>0</v>
      </c>
      <c r="J445" s="85">
        <v>0</v>
      </c>
      <c r="K445" s="85">
        <f t="shared" si="154"/>
        <v>-3.7755203155504496E-125</v>
      </c>
      <c r="L445" s="85">
        <f t="shared" si="155"/>
        <v>1633.5129994726412</v>
      </c>
      <c r="M445" s="85">
        <f t="shared" si="143"/>
        <v>1633.5129994726412</v>
      </c>
      <c r="N445" s="85">
        <f t="shared" si="144"/>
        <v>8243.7920252715594</v>
      </c>
      <c r="O445" s="85">
        <f t="shared" si="145"/>
        <v>7333.3621708168757</v>
      </c>
      <c r="P445" s="85">
        <f t="shared" si="156"/>
        <v>2.3597001972136882E-127</v>
      </c>
      <c r="Q445" s="85">
        <f t="shared" si="146"/>
        <v>4021460.6043417882</v>
      </c>
      <c r="R445" s="85">
        <f t="shared" si="147"/>
        <v>7706.9819695789402</v>
      </c>
      <c r="S445" s="85" cm="1">
        <f t="array" ref="S445">Y445*tax_rate</f>
        <v>0</v>
      </c>
      <c r="T445" s="85">
        <f t="shared" si="157"/>
        <v>2370406.2694397247</v>
      </c>
      <c r="U445" s="85">
        <f t="shared" si="148"/>
        <v>6391866.8737815134</v>
      </c>
      <c r="V445" s="85"/>
      <c r="W445" s="138">
        <f t="shared" si="158"/>
        <v>0.11957733233519786</v>
      </c>
      <c r="X445" s="138" t="str">
        <f t="shared" si="164"/>
        <v/>
      </c>
      <c r="Y445" s="142"/>
      <c r="Z445" s="139">
        <f t="shared" si="150"/>
        <v>7333.3621708168757</v>
      </c>
      <c r="AA445" s="114">
        <v>418</v>
      </c>
      <c r="AB445" s="46">
        <f t="shared" si="159"/>
        <v>0</v>
      </c>
      <c r="AC445" s="47"/>
      <c r="AD445" s="47">
        <f t="shared" si="141"/>
        <v>37517.980141125619</v>
      </c>
      <c r="AE445" s="86"/>
      <c r="AF445" s="140"/>
      <c r="AG445" s="140"/>
      <c r="AH445" s="140">
        <f t="shared" si="151"/>
        <v>6150579.2375210058</v>
      </c>
      <c r="AI445" s="9"/>
      <c r="AN445" s="9"/>
      <c r="AO445" s="9"/>
      <c r="AP445" s="9"/>
    </row>
    <row r="446" spans="2:42" ht="12" hidden="1" customHeight="1" outlineLevel="1" x14ac:dyDescent="0.25">
      <c r="B446" s="8" t="str">
        <f t="shared" si="140"/>
        <v/>
      </c>
      <c r="C446" s="85">
        <f t="shared" si="152"/>
        <v>4041567.9073634967</v>
      </c>
      <c r="D446" s="85">
        <f t="shared" si="160"/>
        <v>8966.875170289517</v>
      </c>
      <c r="E446" s="85">
        <f t="shared" si="161"/>
        <v>-1096.7029437800218</v>
      </c>
      <c r="F446" s="85">
        <f t="shared" si="162"/>
        <v>-536.81005569261947</v>
      </c>
      <c r="G446" s="85">
        <f t="shared" si="153"/>
        <v>0</v>
      </c>
      <c r="H446" s="85">
        <v>0</v>
      </c>
      <c r="I446" s="85">
        <v>0</v>
      </c>
      <c r="J446" s="85">
        <v>0</v>
      </c>
      <c r="K446" s="85">
        <f t="shared" si="154"/>
        <v>-2.3597001972136882E-127</v>
      </c>
      <c r="L446" s="85">
        <f t="shared" si="155"/>
        <v>1633.5129994726412</v>
      </c>
      <c r="M446" s="85">
        <f t="shared" si="143"/>
        <v>1633.5129994726412</v>
      </c>
      <c r="N446" s="85">
        <f t="shared" si="144"/>
        <v>8243.7920252715594</v>
      </c>
      <c r="O446" s="85">
        <f t="shared" si="145"/>
        <v>7333.3621708168757</v>
      </c>
      <c r="P446" s="85">
        <f t="shared" si="156"/>
        <v>1.4748126232552339E-129</v>
      </c>
      <c r="Q446" s="85">
        <f t="shared" si="146"/>
        <v>4041567.9073634967</v>
      </c>
      <c r="R446" s="85">
        <f t="shared" si="147"/>
        <v>7706.9819695789402</v>
      </c>
      <c r="S446" s="85" cm="1">
        <f t="array" ref="S446">Y446*tax_rate</f>
        <v>0</v>
      </c>
      <c r="T446" s="85">
        <f t="shared" si="157"/>
        <v>2387989.9441986359</v>
      </c>
      <c r="U446" s="85">
        <f t="shared" si="148"/>
        <v>6429557.8515621331</v>
      </c>
      <c r="V446" s="85"/>
      <c r="W446" s="138">
        <f t="shared" si="158"/>
        <v>0.11946404823196942</v>
      </c>
      <c r="X446" s="138" t="str">
        <f t="shared" si="164"/>
        <v/>
      </c>
      <c r="Y446" s="142"/>
      <c r="Z446" s="139">
        <f t="shared" si="150"/>
        <v>7333.3621708168757</v>
      </c>
      <c r="AA446" s="114">
        <v>419</v>
      </c>
      <c r="AB446" s="46">
        <f t="shared" si="159"/>
        <v>0</v>
      </c>
      <c r="AC446" s="47"/>
      <c r="AD446" s="47">
        <f t="shared" si="141"/>
        <v>37690.977780619636</v>
      </c>
      <c r="AE446" s="86"/>
      <c r="AF446" s="140"/>
      <c r="AG446" s="140"/>
      <c r="AH446" s="140">
        <f t="shared" si="151"/>
        <v>6187063.7771203229</v>
      </c>
      <c r="AI446" s="9"/>
      <c r="AN446" s="9"/>
      <c r="AO446" s="9"/>
      <c r="AP446" s="9"/>
    </row>
    <row r="447" spans="2:42" ht="15" customHeight="1" collapsed="1" x14ac:dyDescent="0.25">
      <c r="B447" s="8">
        <f t="shared" si="140"/>
        <v>35</v>
      </c>
      <c r="C447" s="85">
        <f t="shared" si="152"/>
        <v>4061775.746900314</v>
      </c>
      <c r="D447" s="85">
        <f t="shared" si="160"/>
        <v>8966.875170289517</v>
      </c>
      <c r="E447" s="85">
        <f t="shared" si="161"/>
        <v>-1096.7029437800218</v>
      </c>
      <c r="F447" s="85">
        <f t="shared" si="162"/>
        <v>-536.81005569261947</v>
      </c>
      <c r="G447" s="85">
        <f t="shared" si="153"/>
        <v>0</v>
      </c>
      <c r="H447" s="85">
        <v>0</v>
      </c>
      <c r="I447" s="85">
        <v>0</v>
      </c>
      <c r="J447" s="85">
        <v>0</v>
      </c>
      <c r="K447" s="85">
        <f t="shared" si="154"/>
        <v>-1.4748126232552339E-129</v>
      </c>
      <c r="L447" s="85">
        <f t="shared" si="155"/>
        <v>1633.5129994726412</v>
      </c>
      <c r="M447" s="85">
        <f t="shared" si="143"/>
        <v>1633.5129994726412</v>
      </c>
      <c r="N447" s="85">
        <f t="shared" si="144"/>
        <v>8243.7920252715594</v>
      </c>
      <c r="O447" s="85">
        <f t="shared" si="145"/>
        <v>7333.3621708168757</v>
      </c>
      <c r="P447" s="85">
        <f t="shared" si="156"/>
        <v>9.2175788953246464E-132</v>
      </c>
      <c r="Q447" s="85">
        <f t="shared" si="146"/>
        <v>4061775.746900314</v>
      </c>
      <c r="R447" s="85">
        <f t="shared" si="147"/>
        <v>7706.9819695789402</v>
      </c>
      <c r="S447" s="85" cm="1">
        <f t="array" ref="S447">Y447*tax_rate</f>
        <v>6095.2957715792572</v>
      </c>
      <c r="T447" s="85">
        <f t="shared" si="157"/>
        <v>2411742.1800406217</v>
      </c>
      <c r="U447" s="85">
        <f t="shared" si="148"/>
        <v>6473517.9269409357</v>
      </c>
      <c r="V447" s="85">
        <f t="shared" ref="V447:V495" si="166">U447-U435</f>
        <v>449176.80934030004</v>
      </c>
      <c r="W447" s="138">
        <f t="shared" si="158"/>
        <v>0.11938120286821732</v>
      </c>
      <c r="X447" s="138">
        <f t="shared" si="164"/>
        <v>7.4560321298538526E-2</v>
      </c>
      <c r="Y447" s="141">
        <f>(((Sale_Price*0.8)+Improvement_Costs+Closing_Costs_Total)/27.5)+(-E447*12)+-AC447</f>
        <v>27705.889870814804</v>
      </c>
      <c r="Z447" s="139">
        <f t="shared" si="150"/>
        <v>7333.3621708168757</v>
      </c>
      <c r="AA447" s="114">
        <v>420</v>
      </c>
      <c r="AB447" s="46">
        <f t="shared" si="159"/>
        <v>0</v>
      </c>
      <c r="AC447" s="46">
        <f>SUM(AB436:AB447)</f>
        <v>0</v>
      </c>
      <c r="AD447" s="47">
        <f t="shared" si="141"/>
        <v>43960.075378802605</v>
      </c>
      <c r="AE447" s="86">
        <f>D447*12</f>
        <v>107602.5020434742</v>
      </c>
      <c r="AF447" s="140"/>
      <c r="AG447" s="140"/>
      <c r="AH447" s="140">
        <f t="shared" si="151"/>
        <v>6229811.3821269171</v>
      </c>
      <c r="AI447" s="9">
        <f>AI435*(1+Comparison_Rate_of_Return)</f>
        <v>3512804.6060080407</v>
      </c>
      <c r="AN447" s="9"/>
      <c r="AO447" s="9"/>
      <c r="AP447" s="9"/>
    </row>
    <row r="448" spans="2:42" ht="12" hidden="1" customHeight="1" outlineLevel="1" x14ac:dyDescent="0.25">
      <c r="B448" s="8" t="str">
        <f t="shared" ref="B448:B507" si="167">IF(MOD(AA448,12)=0,AA448/12,"")</f>
        <v/>
      </c>
      <c r="C448" s="85">
        <f t="shared" si="152"/>
        <v>4082084.6256348151</v>
      </c>
      <c r="D448" s="85">
        <f t="shared" si="160"/>
        <v>9280.7158012496493</v>
      </c>
      <c r="E448" s="85">
        <f t="shared" si="161"/>
        <v>-1135.0875468123224</v>
      </c>
      <c r="F448" s="85">
        <f t="shared" si="162"/>
        <v>-555.59840764186106</v>
      </c>
      <c r="G448" s="85">
        <f t="shared" si="153"/>
        <v>0</v>
      </c>
      <c r="H448" s="85">
        <v>0</v>
      </c>
      <c r="I448" s="85">
        <v>0</v>
      </c>
      <c r="J448" s="85">
        <v>0</v>
      </c>
      <c r="K448" s="85">
        <f t="shared" si="154"/>
        <v>-9.2175788953246464E-132</v>
      </c>
      <c r="L448" s="85">
        <f t="shared" si="155"/>
        <v>1690.6859544541835</v>
      </c>
      <c r="M448" s="85">
        <f t="shared" si="143"/>
        <v>1690.6859544541835</v>
      </c>
      <c r="N448" s="85">
        <f t="shared" si="144"/>
        <v>8532.3247461560622</v>
      </c>
      <c r="O448" s="85">
        <f t="shared" si="145"/>
        <v>7590.0298467954663</v>
      </c>
      <c r="P448" s="85">
        <f t="shared" si="156"/>
        <v>5.7609868095647904E-134</v>
      </c>
      <c r="Q448" s="85">
        <f t="shared" si="146"/>
        <v>4082084.6256348151</v>
      </c>
      <c r="R448" s="85">
        <f t="shared" si="147"/>
        <v>7976.7263385142014</v>
      </c>
      <c r="S448" s="85" cm="1">
        <f t="array" ref="S448">Y448*tax_rate</f>
        <v>0</v>
      </c>
      <c r="T448" s="85">
        <f t="shared" si="157"/>
        <v>2429767.8321293052</v>
      </c>
      <c r="U448" s="85">
        <f t="shared" si="148"/>
        <v>6511852.4577641208</v>
      </c>
      <c r="V448" s="85"/>
      <c r="W448" s="138">
        <f t="shared" si="158"/>
        <v>0.1192697365161051</v>
      </c>
      <c r="X448" s="138" t="str">
        <f t="shared" si="164"/>
        <v/>
      </c>
      <c r="Y448" s="142"/>
      <c r="Z448" s="139">
        <f t="shared" si="150"/>
        <v>7590.0298467954663</v>
      </c>
      <c r="AA448" s="114">
        <v>421</v>
      </c>
      <c r="AB448" s="46">
        <f t="shared" si="159"/>
        <v>0</v>
      </c>
      <c r="AC448" s="46"/>
      <c r="AD448" s="47">
        <f t="shared" ref="AD448:AD507" si="168">U448-U447</f>
        <v>38334.530823185109</v>
      </c>
      <c r="AE448" s="86"/>
      <c r="AF448" s="140"/>
      <c r="AG448" s="140"/>
      <c r="AH448" s="140">
        <f t="shared" si="151"/>
        <v>6266927.3802260319</v>
      </c>
      <c r="AI448" s="9"/>
      <c r="AN448" s="9"/>
      <c r="AO448" s="9"/>
      <c r="AP448" s="9"/>
    </row>
    <row r="449" spans="2:42" ht="12" hidden="1" customHeight="1" outlineLevel="1" x14ac:dyDescent="0.25">
      <c r="B449" s="8" t="str">
        <f t="shared" si="167"/>
        <v/>
      </c>
      <c r="C449" s="85">
        <f t="shared" si="152"/>
        <v>4102495.0487629888</v>
      </c>
      <c r="D449" s="85">
        <f t="shared" si="160"/>
        <v>9280.7158012496493</v>
      </c>
      <c r="E449" s="85">
        <f t="shared" si="161"/>
        <v>-1135.0875468123224</v>
      </c>
      <c r="F449" s="85">
        <f t="shared" si="162"/>
        <v>-555.59840764186106</v>
      </c>
      <c r="G449" s="85">
        <f t="shared" si="153"/>
        <v>0</v>
      </c>
      <c r="H449" s="85">
        <v>0</v>
      </c>
      <c r="I449" s="85">
        <v>0</v>
      </c>
      <c r="J449" s="85">
        <v>0</v>
      </c>
      <c r="K449" s="85">
        <f t="shared" si="154"/>
        <v>-5.7609868095647904E-134</v>
      </c>
      <c r="L449" s="85">
        <f t="shared" si="155"/>
        <v>1690.6859544541835</v>
      </c>
      <c r="M449" s="85">
        <f t="shared" si="143"/>
        <v>1690.6859544541835</v>
      </c>
      <c r="N449" s="85">
        <f t="shared" si="144"/>
        <v>8532.3247461560622</v>
      </c>
      <c r="O449" s="85">
        <f t="shared" si="145"/>
        <v>7590.0298467954663</v>
      </c>
      <c r="P449" s="85">
        <f t="shared" si="156"/>
        <v>3.6006167559698801E-136</v>
      </c>
      <c r="Q449" s="85">
        <f t="shared" si="146"/>
        <v>4102495.0487629888</v>
      </c>
      <c r="R449" s="85">
        <f t="shared" si="147"/>
        <v>7976.7263385142014</v>
      </c>
      <c r="S449" s="85" cm="1">
        <f t="array" ref="S449">Y449*tax_rate</f>
        <v>0</v>
      </c>
      <c r="T449" s="85">
        <f t="shared" si="157"/>
        <v>2447868.5911016916</v>
      </c>
      <c r="U449" s="85">
        <f t="shared" si="148"/>
        <v>6550363.6398646804</v>
      </c>
      <c r="V449" s="85"/>
      <c r="W449" s="138">
        <f t="shared" si="158"/>
        <v>0.11915856481133237</v>
      </c>
      <c r="X449" s="138" t="str">
        <f t="shared" si="164"/>
        <v/>
      </c>
      <c r="Y449" s="142"/>
      <c r="Z449" s="139">
        <f t="shared" si="150"/>
        <v>7590.0298467954663</v>
      </c>
      <c r="AA449" s="114">
        <v>422</v>
      </c>
      <c r="AB449" s="46">
        <f t="shared" si="159"/>
        <v>0</v>
      </c>
      <c r="AC449" s="47"/>
      <c r="AD449" s="47">
        <f t="shared" si="168"/>
        <v>38511.182100559585</v>
      </c>
      <c r="AE449" s="86"/>
      <c r="AF449" s="140"/>
      <c r="AG449" s="140"/>
      <c r="AH449" s="140">
        <f t="shared" si="151"/>
        <v>6304213.9369389014</v>
      </c>
      <c r="AI449" s="9"/>
      <c r="AN449" s="9"/>
      <c r="AO449" s="9"/>
      <c r="AP449" s="9"/>
    </row>
    <row r="450" spans="2:42" ht="12" hidden="1" customHeight="1" outlineLevel="1" x14ac:dyDescent="0.25">
      <c r="B450" s="8" t="str">
        <f t="shared" si="167"/>
        <v/>
      </c>
      <c r="C450" s="85">
        <f t="shared" si="152"/>
        <v>4123007.5240068031</v>
      </c>
      <c r="D450" s="85">
        <f t="shared" si="160"/>
        <v>9280.7158012496493</v>
      </c>
      <c r="E450" s="85">
        <f t="shared" si="161"/>
        <v>-1135.0875468123224</v>
      </c>
      <c r="F450" s="85">
        <f t="shared" si="162"/>
        <v>-555.59840764186106</v>
      </c>
      <c r="G450" s="85">
        <f t="shared" si="153"/>
        <v>0</v>
      </c>
      <c r="H450" s="85">
        <v>0</v>
      </c>
      <c r="I450" s="85">
        <v>0</v>
      </c>
      <c r="J450" s="85">
        <v>0</v>
      </c>
      <c r="K450" s="85">
        <f t="shared" si="154"/>
        <v>-3.6006167559698801E-136</v>
      </c>
      <c r="L450" s="85">
        <f t="shared" si="155"/>
        <v>1690.6859544541835</v>
      </c>
      <c r="M450" s="85">
        <f t="shared" si="143"/>
        <v>1690.6859544541835</v>
      </c>
      <c r="N450" s="85">
        <f t="shared" si="144"/>
        <v>8532.3247461560622</v>
      </c>
      <c r="O450" s="85">
        <f t="shared" si="145"/>
        <v>7590.0298467954663</v>
      </c>
      <c r="P450" s="85">
        <f t="shared" si="156"/>
        <v>2.2503854724761191E-138</v>
      </c>
      <c r="Q450" s="85">
        <f t="shared" si="146"/>
        <v>4123007.5240068031</v>
      </c>
      <c r="R450" s="85">
        <f t="shared" si="147"/>
        <v>7976.7263385142014</v>
      </c>
      <c r="S450" s="85" cm="1">
        <f t="array" ref="S450">Y450*tax_rate</f>
        <v>0</v>
      </c>
      <c r="T450" s="85">
        <f t="shared" si="157"/>
        <v>2466044.7699031294</v>
      </c>
      <c r="U450" s="85">
        <f t="shared" si="148"/>
        <v>6589052.2939099325</v>
      </c>
      <c r="V450" s="85"/>
      <c r="W450" s="138">
        <f t="shared" si="158"/>
        <v>0.11904768743925476</v>
      </c>
      <c r="X450" s="138" t="str">
        <f t="shared" si="164"/>
        <v/>
      </c>
      <c r="Y450" s="142"/>
      <c r="Z450" s="139">
        <f t="shared" si="150"/>
        <v>7590.0298467954663</v>
      </c>
      <c r="AA450" s="114">
        <v>423</v>
      </c>
      <c r="AB450" s="46">
        <f t="shared" si="159"/>
        <v>0</v>
      </c>
      <c r="AC450" s="47"/>
      <c r="AD450" s="47">
        <f t="shared" si="168"/>
        <v>38688.654045252129</v>
      </c>
      <c r="AE450" s="86"/>
      <c r="AF450" s="140"/>
      <c r="AG450" s="140"/>
      <c r="AH450" s="140">
        <f t="shared" si="151"/>
        <v>6341671.8424695246</v>
      </c>
      <c r="AI450" s="9"/>
      <c r="AN450" s="9"/>
      <c r="AO450" s="9"/>
      <c r="AP450" s="9"/>
    </row>
    <row r="451" spans="2:42" ht="12" hidden="1" customHeight="1" outlineLevel="1" x14ac:dyDescent="0.25">
      <c r="B451" s="8" t="str">
        <f t="shared" si="167"/>
        <v/>
      </c>
      <c r="C451" s="85">
        <f t="shared" si="152"/>
        <v>4143622.5616268367</v>
      </c>
      <c r="D451" s="85">
        <f t="shared" si="160"/>
        <v>9280.7158012496493</v>
      </c>
      <c r="E451" s="85">
        <f t="shared" si="161"/>
        <v>-1135.0875468123224</v>
      </c>
      <c r="F451" s="85">
        <f t="shared" si="162"/>
        <v>-555.59840764186106</v>
      </c>
      <c r="G451" s="85">
        <f t="shared" si="153"/>
        <v>0</v>
      </c>
      <c r="H451" s="85">
        <v>0</v>
      </c>
      <c r="I451" s="85">
        <v>0</v>
      </c>
      <c r="J451" s="85">
        <v>0</v>
      </c>
      <c r="K451" s="85">
        <f t="shared" si="154"/>
        <v>-2.2503854724761191E-138</v>
      </c>
      <c r="L451" s="85">
        <f t="shared" si="155"/>
        <v>1690.6859544541835</v>
      </c>
      <c r="M451" s="85">
        <f t="shared" si="143"/>
        <v>1690.6859544541835</v>
      </c>
      <c r="N451" s="85">
        <f t="shared" si="144"/>
        <v>8532.3247461560622</v>
      </c>
      <c r="O451" s="85">
        <f t="shared" si="145"/>
        <v>7590.0298467954663</v>
      </c>
      <c r="P451" s="85">
        <f t="shared" si="156"/>
        <v>1.4064909202944061E-140</v>
      </c>
      <c r="Q451" s="85">
        <f t="shared" si="146"/>
        <v>4143622.5616268367</v>
      </c>
      <c r="R451" s="85">
        <f t="shared" si="147"/>
        <v>7976.7263385142014</v>
      </c>
      <c r="S451" s="85" cm="1">
        <f t="array" ref="S451">Y451*tax_rate</f>
        <v>0</v>
      </c>
      <c r="T451" s="85">
        <f t="shared" si="157"/>
        <v>2484296.6827829066</v>
      </c>
      <c r="U451" s="85">
        <f t="shared" si="148"/>
        <v>6627919.2444097437</v>
      </c>
      <c r="V451" s="85"/>
      <c r="W451" s="138">
        <f t="shared" si="158"/>
        <v>0.1189371040712229</v>
      </c>
      <c r="X451" s="138" t="str">
        <f t="shared" si="164"/>
        <v/>
      </c>
      <c r="Y451" s="142"/>
      <c r="Z451" s="139">
        <f t="shared" si="150"/>
        <v>7590.0298467954663</v>
      </c>
      <c r="AA451" s="114">
        <v>424</v>
      </c>
      <c r="AB451" s="46">
        <f t="shared" si="159"/>
        <v>0</v>
      </c>
      <c r="AC451" s="47"/>
      <c r="AD451" s="47">
        <f t="shared" si="168"/>
        <v>38866.95049981121</v>
      </c>
      <c r="AE451" s="86"/>
      <c r="AF451" s="140"/>
      <c r="AG451" s="140"/>
      <c r="AH451" s="140">
        <f t="shared" si="151"/>
        <v>6379301.8907121336</v>
      </c>
      <c r="AI451" s="9"/>
      <c r="AN451" s="9"/>
      <c r="AO451" s="9"/>
      <c r="AP451" s="9"/>
    </row>
    <row r="452" spans="2:42" ht="12" hidden="1" customHeight="1" outlineLevel="1" x14ac:dyDescent="0.25">
      <c r="B452" s="8" t="str">
        <f t="shared" si="167"/>
        <v/>
      </c>
      <c r="C452" s="85">
        <f t="shared" si="152"/>
        <v>4164340.6744349706</v>
      </c>
      <c r="D452" s="85">
        <f t="shared" si="160"/>
        <v>9280.7158012496493</v>
      </c>
      <c r="E452" s="85">
        <f t="shared" si="161"/>
        <v>-1135.0875468123224</v>
      </c>
      <c r="F452" s="85">
        <f t="shared" si="162"/>
        <v>-555.59840764186106</v>
      </c>
      <c r="G452" s="85">
        <f t="shared" si="153"/>
        <v>0</v>
      </c>
      <c r="H452" s="85">
        <v>0</v>
      </c>
      <c r="I452" s="85">
        <v>0</v>
      </c>
      <c r="J452" s="85">
        <v>0</v>
      </c>
      <c r="K452" s="85">
        <f t="shared" si="154"/>
        <v>-1.4064909202944061E-140</v>
      </c>
      <c r="L452" s="85">
        <f t="shared" si="155"/>
        <v>1690.6859544541835</v>
      </c>
      <c r="M452" s="85">
        <f t="shared" si="143"/>
        <v>1690.6859544541835</v>
      </c>
      <c r="N452" s="85">
        <f t="shared" si="144"/>
        <v>8532.3247461560622</v>
      </c>
      <c r="O452" s="85">
        <f t="shared" si="145"/>
        <v>7590.0298467954663</v>
      </c>
      <c r="P452" s="85">
        <f t="shared" si="156"/>
        <v>8.7905682518201806E-143</v>
      </c>
      <c r="Q452" s="85">
        <f t="shared" si="146"/>
        <v>4164340.6744349706</v>
      </c>
      <c r="R452" s="85">
        <f t="shared" si="147"/>
        <v>7976.7263385142014</v>
      </c>
      <c r="S452" s="85" cm="1">
        <f t="array" ref="S452">Y452*tax_rate</f>
        <v>0</v>
      </c>
      <c r="T452" s="85">
        <f t="shared" si="157"/>
        <v>2502624.6452996829</v>
      </c>
      <c r="U452" s="85">
        <f t="shared" si="148"/>
        <v>6666965.3197346535</v>
      </c>
      <c r="V452" s="85"/>
      <c r="W452" s="138">
        <f t="shared" si="158"/>
        <v>0.11882681436495499</v>
      </c>
      <c r="X452" s="138" t="str">
        <f t="shared" si="164"/>
        <v/>
      </c>
      <c r="Y452" s="141"/>
      <c r="Z452" s="139">
        <f t="shared" si="150"/>
        <v>7590.0298467954663</v>
      </c>
      <c r="AA452" s="114">
        <v>425</v>
      </c>
      <c r="AB452" s="46">
        <f t="shared" si="159"/>
        <v>0</v>
      </c>
      <c r="AC452" s="46"/>
      <c r="AD452" s="49">
        <f t="shared" si="168"/>
        <v>39046.075324909762</v>
      </c>
      <c r="AE452" s="50"/>
      <c r="AF452" s="140"/>
      <c r="AG452" s="140"/>
      <c r="AH452" s="140">
        <f t="shared" si="151"/>
        <v>6417104.879268555</v>
      </c>
      <c r="AI452" s="9"/>
      <c r="AN452" s="9"/>
      <c r="AO452" s="9"/>
      <c r="AP452" s="9"/>
    </row>
    <row r="453" spans="2:42" ht="12" hidden="1" customHeight="1" outlineLevel="1" x14ac:dyDescent="0.25">
      <c r="B453" s="8" t="str">
        <f t="shared" si="167"/>
        <v/>
      </c>
      <c r="C453" s="85">
        <f t="shared" si="152"/>
        <v>4185162.377807145</v>
      </c>
      <c r="D453" s="85">
        <f t="shared" si="160"/>
        <v>9280.7158012496493</v>
      </c>
      <c r="E453" s="85">
        <f t="shared" si="161"/>
        <v>-1135.0875468123224</v>
      </c>
      <c r="F453" s="85">
        <f t="shared" si="162"/>
        <v>-555.59840764186106</v>
      </c>
      <c r="G453" s="85">
        <f t="shared" si="153"/>
        <v>0</v>
      </c>
      <c r="H453" s="85">
        <v>0</v>
      </c>
      <c r="I453" s="85">
        <v>0</v>
      </c>
      <c r="J453" s="85">
        <v>0</v>
      </c>
      <c r="K453" s="85">
        <f t="shared" si="154"/>
        <v>-8.7905682518201806E-143</v>
      </c>
      <c r="L453" s="85">
        <f t="shared" si="155"/>
        <v>1690.6859544541835</v>
      </c>
      <c r="M453" s="85">
        <f t="shared" si="143"/>
        <v>1690.6859544541835</v>
      </c>
      <c r="N453" s="85">
        <f t="shared" si="144"/>
        <v>8532.3247461560622</v>
      </c>
      <c r="O453" s="85">
        <f t="shared" si="145"/>
        <v>7590.0298467954663</v>
      </c>
      <c r="P453" s="85">
        <f t="shared" si="156"/>
        <v>5.4941051573750852E-145</v>
      </c>
      <c r="Q453" s="85">
        <f t="shared" si="146"/>
        <v>4185162.377807145</v>
      </c>
      <c r="R453" s="85">
        <f t="shared" si="147"/>
        <v>7976.7263385142014</v>
      </c>
      <c r="S453" s="85" cm="1">
        <f t="array" ref="S453">Y453*tax_rate</f>
        <v>0</v>
      </c>
      <c r="T453" s="85">
        <f t="shared" si="157"/>
        <v>2521028.9743269458</v>
      </c>
      <c r="U453" s="85">
        <f t="shared" si="148"/>
        <v>6706191.3521340908</v>
      </c>
      <c r="V453" s="85"/>
      <c r="W453" s="138">
        <f t="shared" si="158"/>
        <v>0.11871681796490213</v>
      </c>
      <c r="X453" s="138" t="str">
        <f t="shared" si="164"/>
        <v/>
      </c>
      <c r="Y453" s="141"/>
      <c r="Z453" s="139">
        <f t="shared" si="150"/>
        <v>7590.0298467954663</v>
      </c>
      <c r="AA453" s="114">
        <v>426</v>
      </c>
      <c r="AB453" s="46">
        <f t="shared" si="159"/>
        <v>0</v>
      </c>
      <c r="AC453" s="46"/>
      <c r="AD453" s="49">
        <f t="shared" si="168"/>
        <v>39226.03239943739</v>
      </c>
      <c r="AE453" s="50"/>
      <c r="AF453" s="140"/>
      <c r="AG453" s="140"/>
      <c r="AH453" s="140">
        <f t="shared" si="151"/>
        <v>6455081.6094656624</v>
      </c>
      <c r="AI453" s="9"/>
      <c r="AN453" s="9"/>
      <c r="AO453" s="9"/>
      <c r="AP453" s="9"/>
    </row>
    <row r="454" spans="2:42" ht="12" hidden="1" customHeight="1" outlineLevel="1" x14ac:dyDescent="0.25">
      <c r="B454" s="8" t="str">
        <f t="shared" si="167"/>
        <v/>
      </c>
      <c r="C454" s="85">
        <f t="shared" si="152"/>
        <v>4206088.1896961806</v>
      </c>
      <c r="D454" s="85">
        <f t="shared" si="160"/>
        <v>9280.7158012496493</v>
      </c>
      <c r="E454" s="85">
        <f t="shared" si="161"/>
        <v>-1135.0875468123224</v>
      </c>
      <c r="F454" s="85">
        <f t="shared" si="162"/>
        <v>-555.59840764186106</v>
      </c>
      <c r="G454" s="85">
        <f t="shared" si="153"/>
        <v>0</v>
      </c>
      <c r="H454" s="85">
        <v>0</v>
      </c>
      <c r="I454" s="85">
        <v>0</v>
      </c>
      <c r="J454" s="85">
        <v>0</v>
      </c>
      <c r="K454" s="85">
        <f t="shared" si="154"/>
        <v>-5.4941051573750852E-145</v>
      </c>
      <c r="L454" s="85">
        <f t="shared" si="155"/>
        <v>1690.6859544541835</v>
      </c>
      <c r="M454" s="85">
        <f t="shared" si="143"/>
        <v>1690.6859544541835</v>
      </c>
      <c r="N454" s="85">
        <f t="shared" si="144"/>
        <v>8532.3247461560622</v>
      </c>
      <c r="O454" s="85">
        <f t="shared" si="145"/>
        <v>7590.0298467954663</v>
      </c>
      <c r="P454" s="85">
        <f t="shared" si="156"/>
        <v>3.4338157233516184E-147</v>
      </c>
      <c r="Q454" s="85">
        <f t="shared" si="146"/>
        <v>4206088.1896961806</v>
      </c>
      <c r="R454" s="85">
        <f t="shared" si="147"/>
        <v>7976.7263385142014</v>
      </c>
      <c r="S454" s="85" cm="1">
        <f t="array" ref="S454">Y454*tax_rate</f>
        <v>0</v>
      </c>
      <c r="T454" s="85">
        <f t="shared" si="157"/>
        <v>2539509.9880584888</v>
      </c>
      <c r="U454" s="85">
        <f t="shared" si="148"/>
        <v>6745598.1777546695</v>
      </c>
      <c r="V454" s="85"/>
      <c r="W454" s="138">
        <f t="shared" si="158"/>
        <v>0.11860711450260454</v>
      </c>
      <c r="X454" s="138" t="str">
        <f t="shared" si="164"/>
        <v/>
      </c>
      <c r="Y454" s="142"/>
      <c r="Z454" s="139">
        <f t="shared" si="150"/>
        <v>7590.0298467954663</v>
      </c>
      <c r="AA454" s="114">
        <v>427</v>
      </c>
      <c r="AB454" s="46">
        <f t="shared" si="159"/>
        <v>0</v>
      </c>
      <c r="AC454" s="47"/>
      <c r="AD454" s="49">
        <f t="shared" si="168"/>
        <v>39406.825620578602</v>
      </c>
      <c r="AE454" s="50"/>
      <c r="AF454" s="140"/>
      <c r="AG454" s="140"/>
      <c r="AH454" s="140">
        <f t="shared" si="151"/>
        <v>6493232.8863728987</v>
      </c>
      <c r="AI454" s="9"/>
      <c r="AN454" s="9"/>
      <c r="AO454" s="9"/>
      <c r="AP454" s="9"/>
    </row>
    <row r="455" spans="2:42" ht="12" hidden="1" customHeight="1" outlineLevel="1" x14ac:dyDescent="0.25">
      <c r="B455" s="8" t="str">
        <f t="shared" si="167"/>
        <v/>
      </c>
      <c r="C455" s="85">
        <f t="shared" si="152"/>
        <v>4227118.6306446614</v>
      </c>
      <c r="D455" s="85">
        <f t="shared" si="160"/>
        <v>9280.7158012496493</v>
      </c>
      <c r="E455" s="85">
        <f t="shared" si="161"/>
        <v>-1135.0875468123224</v>
      </c>
      <c r="F455" s="85">
        <f t="shared" si="162"/>
        <v>-555.59840764186106</v>
      </c>
      <c r="G455" s="85">
        <f t="shared" si="153"/>
        <v>0</v>
      </c>
      <c r="H455" s="85">
        <v>0</v>
      </c>
      <c r="I455" s="85">
        <v>0</v>
      </c>
      <c r="J455" s="85">
        <v>0</v>
      </c>
      <c r="K455" s="85">
        <f t="shared" si="154"/>
        <v>-3.4338157233516184E-147</v>
      </c>
      <c r="L455" s="85">
        <f t="shared" si="155"/>
        <v>1690.6859544541835</v>
      </c>
      <c r="M455" s="85">
        <f t="shared" si="143"/>
        <v>1690.6859544541835</v>
      </c>
      <c r="N455" s="85">
        <f t="shared" si="144"/>
        <v>8532.3247461560622</v>
      </c>
      <c r="O455" s="85">
        <f t="shared" si="145"/>
        <v>7590.0298467954663</v>
      </c>
      <c r="P455" s="85">
        <f t="shared" si="156"/>
        <v>2.1461348270898825E-149</v>
      </c>
      <c r="Q455" s="85">
        <f t="shared" si="146"/>
        <v>4227118.6306446614</v>
      </c>
      <c r="R455" s="85">
        <f t="shared" si="147"/>
        <v>7976.7263385142014</v>
      </c>
      <c r="S455" s="85" cm="1">
        <f t="array" ref="S455">Y455*tax_rate</f>
        <v>0</v>
      </c>
      <c r="T455" s="85">
        <f t="shared" si="157"/>
        <v>2558068.0060139131</v>
      </c>
      <c r="U455" s="85">
        <f t="shared" si="148"/>
        <v>6785186.6366585745</v>
      </c>
      <c r="V455" s="85"/>
      <c r="W455" s="138">
        <f t="shared" si="158"/>
        <v>0.11849770359704072</v>
      </c>
      <c r="X455" s="138" t="str">
        <f t="shared" si="164"/>
        <v/>
      </c>
      <c r="Y455" s="142"/>
      <c r="Z455" s="139">
        <f t="shared" si="150"/>
        <v>7590.0298467954663</v>
      </c>
      <c r="AA455" s="114">
        <v>428</v>
      </c>
      <c r="AB455" s="46">
        <f t="shared" si="159"/>
        <v>0</v>
      </c>
      <c r="AC455" s="47"/>
      <c r="AD455" s="49">
        <f t="shared" si="168"/>
        <v>39588.458903905004</v>
      </c>
      <c r="AE455" s="50"/>
      <c r="AF455" s="140"/>
      <c r="AG455" s="140"/>
      <c r="AH455" s="140">
        <f t="shared" si="151"/>
        <v>6531559.5188198946</v>
      </c>
      <c r="AI455" s="9"/>
      <c r="AN455" s="9"/>
      <c r="AO455" s="9"/>
      <c r="AP455" s="9"/>
    </row>
    <row r="456" spans="2:42" ht="12" hidden="1" customHeight="1" outlineLevel="1" x14ac:dyDescent="0.25">
      <c r="B456" s="8" t="str">
        <f t="shared" si="167"/>
        <v/>
      </c>
      <c r="C456" s="85">
        <f t="shared" si="152"/>
        <v>4248254.2237978838</v>
      </c>
      <c r="D456" s="85">
        <f t="shared" si="160"/>
        <v>9280.7158012496493</v>
      </c>
      <c r="E456" s="85">
        <f t="shared" si="161"/>
        <v>-1135.0875468123224</v>
      </c>
      <c r="F456" s="85">
        <f t="shared" si="162"/>
        <v>-555.59840764186106</v>
      </c>
      <c r="G456" s="85">
        <f t="shared" si="153"/>
        <v>0</v>
      </c>
      <c r="H456" s="85">
        <v>0</v>
      </c>
      <c r="I456" s="85">
        <v>0</v>
      </c>
      <c r="J456" s="85">
        <v>0</v>
      </c>
      <c r="K456" s="85">
        <f t="shared" si="154"/>
        <v>-2.1461348270898825E-149</v>
      </c>
      <c r="L456" s="85">
        <f t="shared" si="155"/>
        <v>1690.6859544541835</v>
      </c>
      <c r="M456" s="85">
        <f t="shared" si="143"/>
        <v>1690.6859544541835</v>
      </c>
      <c r="N456" s="85">
        <f t="shared" si="144"/>
        <v>8532.3247461560622</v>
      </c>
      <c r="O456" s="85">
        <f t="shared" si="145"/>
        <v>7590.0298467954663</v>
      </c>
      <c r="P456" s="85">
        <f t="shared" si="156"/>
        <v>1.341334266928155E-151</v>
      </c>
      <c r="Q456" s="85">
        <f t="shared" si="146"/>
        <v>4248254.2237978838</v>
      </c>
      <c r="R456" s="85">
        <f t="shared" si="147"/>
        <v>7976.7263385142014</v>
      </c>
      <c r="S456" s="85" cm="1">
        <f t="array" ref="S456">Y456*tax_rate</f>
        <v>0</v>
      </c>
      <c r="T456" s="85">
        <f t="shared" si="157"/>
        <v>2576703.3490441516</v>
      </c>
      <c r="U456" s="85">
        <f t="shared" si="148"/>
        <v>6824957.5728420354</v>
      </c>
      <c r="V456" s="85"/>
      <c r="W456" s="138">
        <f t="shared" si="158"/>
        <v>0.11838858485496739</v>
      </c>
      <c r="X456" s="138" t="str">
        <f t="shared" si="164"/>
        <v/>
      </c>
      <c r="Y456" s="142"/>
      <c r="Z456" s="139">
        <f t="shared" si="150"/>
        <v>7590.0298467954663</v>
      </c>
      <c r="AA456" s="114">
        <v>429</v>
      </c>
      <c r="AB456" s="46">
        <f t="shared" si="159"/>
        <v>0</v>
      </c>
      <c r="AC456" s="47"/>
      <c r="AD456" s="49">
        <f t="shared" si="168"/>
        <v>39770.936183460988</v>
      </c>
      <c r="AE456" s="50"/>
      <c r="AF456" s="140"/>
      <c r="AG456" s="140"/>
      <c r="AH456" s="140">
        <f t="shared" si="151"/>
        <v>6570062.3194141621</v>
      </c>
      <c r="AI456" s="9"/>
      <c r="AN456" s="9"/>
      <c r="AO456" s="9"/>
      <c r="AP456" s="9"/>
    </row>
    <row r="457" spans="2:42" ht="12" hidden="1" customHeight="1" outlineLevel="1" x14ac:dyDescent="0.25">
      <c r="B457" s="8" t="str">
        <f t="shared" si="167"/>
        <v/>
      </c>
      <c r="C457" s="85">
        <f t="shared" si="152"/>
        <v>4269495.4949168731</v>
      </c>
      <c r="D457" s="85">
        <f t="shared" si="160"/>
        <v>9280.7158012496493</v>
      </c>
      <c r="E457" s="85">
        <f t="shared" si="161"/>
        <v>-1135.0875468123224</v>
      </c>
      <c r="F457" s="85">
        <f t="shared" si="162"/>
        <v>-555.59840764186106</v>
      </c>
      <c r="G457" s="85">
        <f t="shared" si="153"/>
        <v>0</v>
      </c>
      <c r="H457" s="85">
        <v>0</v>
      </c>
      <c r="I457" s="85">
        <v>0</v>
      </c>
      <c r="J457" s="85">
        <v>0</v>
      </c>
      <c r="K457" s="85">
        <f t="shared" si="154"/>
        <v>-1.341334266928155E-151</v>
      </c>
      <c r="L457" s="85">
        <f t="shared" si="155"/>
        <v>1690.6859544541835</v>
      </c>
      <c r="M457" s="85">
        <f t="shared" si="143"/>
        <v>1690.6859544541835</v>
      </c>
      <c r="N457" s="85">
        <f t="shared" si="144"/>
        <v>8532.3247461560622</v>
      </c>
      <c r="O457" s="85">
        <f t="shared" si="145"/>
        <v>7590.0298467954663</v>
      </c>
      <c r="P457" s="85">
        <f t="shared" si="156"/>
        <v>8.3833391682821112E-154</v>
      </c>
      <c r="Q457" s="85">
        <f t="shared" si="146"/>
        <v>4269495.4949168731</v>
      </c>
      <c r="R457" s="85">
        <f t="shared" si="147"/>
        <v>7976.7263385142014</v>
      </c>
      <c r="S457" s="85" cm="1">
        <f t="array" ref="S457">Y457*tax_rate</f>
        <v>0</v>
      </c>
      <c r="T457" s="85">
        <f t="shared" si="157"/>
        <v>2595416.3393370165</v>
      </c>
      <c r="U457" s="85">
        <f t="shared" si="148"/>
        <v>6864911.8342538895</v>
      </c>
      <c r="V457" s="85"/>
      <c r="W457" s="138">
        <f t="shared" si="158"/>
        <v>0.11827975787125371</v>
      </c>
      <c r="X457" s="138" t="str">
        <f t="shared" si="164"/>
        <v/>
      </c>
      <c r="Y457" s="142"/>
      <c r="Z457" s="139">
        <f t="shared" si="150"/>
        <v>7590.0298467954663</v>
      </c>
      <c r="AA457" s="114">
        <v>430</v>
      </c>
      <c r="AB457" s="46">
        <f t="shared" si="159"/>
        <v>0</v>
      </c>
      <c r="AC457" s="47"/>
      <c r="AD457" s="49">
        <f t="shared" si="168"/>
        <v>39954.261411854066</v>
      </c>
      <c r="AE457" s="50"/>
      <c r="AF457" s="140"/>
      <c r="AG457" s="140"/>
      <c r="AH457" s="140">
        <f t="shared" si="151"/>
        <v>6608742.1045588767</v>
      </c>
      <c r="AI457" s="9"/>
      <c r="AN457" s="9"/>
      <c r="AO457" s="9"/>
      <c r="AP457" s="9"/>
    </row>
    <row r="458" spans="2:42" ht="12" hidden="1" customHeight="1" outlineLevel="1" x14ac:dyDescent="0.25">
      <c r="B458" s="8" t="str">
        <f t="shared" si="167"/>
        <v/>
      </c>
      <c r="C458" s="85">
        <f t="shared" si="152"/>
        <v>4290842.9723914573</v>
      </c>
      <c r="D458" s="85">
        <f t="shared" si="160"/>
        <v>9280.7158012496493</v>
      </c>
      <c r="E458" s="85">
        <f t="shared" si="161"/>
        <v>-1135.0875468123224</v>
      </c>
      <c r="F458" s="85">
        <f t="shared" si="162"/>
        <v>-555.59840764186106</v>
      </c>
      <c r="G458" s="85">
        <f t="shared" si="153"/>
        <v>0</v>
      </c>
      <c r="H458" s="85">
        <v>0</v>
      </c>
      <c r="I458" s="85">
        <v>0</v>
      </c>
      <c r="J458" s="85">
        <v>0</v>
      </c>
      <c r="K458" s="85">
        <f t="shared" si="154"/>
        <v>-8.3833391682821112E-154</v>
      </c>
      <c r="L458" s="85">
        <f t="shared" si="155"/>
        <v>1690.6859544541835</v>
      </c>
      <c r="M458" s="85">
        <f t="shared" si="143"/>
        <v>1690.6859544541835</v>
      </c>
      <c r="N458" s="85">
        <f t="shared" si="144"/>
        <v>8532.3247461560622</v>
      </c>
      <c r="O458" s="85">
        <f t="shared" si="145"/>
        <v>7590.0298467954663</v>
      </c>
      <c r="P458" s="85">
        <f t="shared" si="156"/>
        <v>5.2395869801645017E-156</v>
      </c>
      <c r="Q458" s="85">
        <f t="shared" si="146"/>
        <v>4290842.9723914573</v>
      </c>
      <c r="R458" s="85">
        <f t="shared" si="147"/>
        <v>7976.7263385142014</v>
      </c>
      <c r="S458" s="85" cm="1">
        <f t="array" ref="S458">Y458*tax_rate</f>
        <v>0</v>
      </c>
      <c r="T458" s="85">
        <f t="shared" si="157"/>
        <v>2614207.3004227681</v>
      </c>
      <c r="U458" s="85">
        <f t="shared" si="148"/>
        <v>6905050.2728142254</v>
      </c>
      <c r="V458" s="85"/>
      <c r="W458" s="138">
        <f t="shared" si="158"/>
        <v>0.11817122222920654</v>
      </c>
      <c r="X458" s="138" t="str">
        <f t="shared" si="164"/>
        <v/>
      </c>
      <c r="Y458" s="142"/>
      <c r="Z458" s="139">
        <f t="shared" si="150"/>
        <v>7590.0298467954663</v>
      </c>
      <c r="AA458" s="114">
        <v>431</v>
      </c>
      <c r="AB458" s="46">
        <f t="shared" si="159"/>
        <v>0</v>
      </c>
      <c r="AC458" s="47"/>
      <c r="AD458" s="49">
        <f t="shared" si="168"/>
        <v>40138.438560335897</v>
      </c>
      <c r="AE458" s="50"/>
      <c r="AF458" s="140"/>
      <c r="AG458" s="140"/>
      <c r="AH458" s="140">
        <f t="shared" si="151"/>
        <v>6647599.6944707381</v>
      </c>
      <c r="AI458" s="9"/>
      <c r="AN458" s="9"/>
      <c r="AO458" s="9"/>
      <c r="AP458" s="9"/>
    </row>
    <row r="459" spans="2:42" ht="15" customHeight="1" collapsed="1" x14ac:dyDescent="0.25">
      <c r="B459" s="143">
        <f t="shared" si="167"/>
        <v>36</v>
      </c>
      <c r="C459" s="16">
        <f t="shared" si="152"/>
        <v>4312297.1872534137</v>
      </c>
      <c r="D459" s="16">
        <f t="shared" si="160"/>
        <v>9280.7158012496493</v>
      </c>
      <c r="E459" s="16">
        <f t="shared" si="161"/>
        <v>-1135.0875468123224</v>
      </c>
      <c r="F459" s="16">
        <f t="shared" si="162"/>
        <v>-555.59840764186106</v>
      </c>
      <c r="G459" s="16">
        <f t="shared" si="153"/>
        <v>0</v>
      </c>
      <c r="H459" s="16">
        <v>0</v>
      </c>
      <c r="I459" s="16">
        <v>0</v>
      </c>
      <c r="J459" s="16">
        <v>0</v>
      </c>
      <c r="K459" s="16">
        <f t="shared" si="154"/>
        <v>-5.2395869801645017E-156</v>
      </c>
      <c r="L459" s="16">
        <f t="shared" si="155"/>
        <v>1690.6859544541835</v>
      </c>
      <c r="M459" s="16">
        <f t="shared" si="143"/>
        <v>1690.6859544541835</v>
      </c>
      <c r="N459" s="16">
        <f t="shared" si="144"/>
        <v>8532.3247461560622</v>
      </c>
      <c r="O459" s="16">
        <f t="shared" si="145"/>
        <v>7590.0298467954663</v>
      </c>
      <c r="P459" s="16">
        <f t="shared" si="156"/>
        <v>3.2747418625953612E-158</v>
      </c>
      <c r="Q459" s="16">
        <f t="shared" si="146"/>
        <v>4312297.1872534137</v>
      </c>
      <c r="R459" s="16">
        <f t="shared" si="147"/>
        <v>7976.7263385142014</v>
      </c>
      <c r="S459" s="16" cm="1">
        <f t="array" ref="S459">Y459*tax_rate</f>
        <v>6196.6311235845315</v>
      </c>
      <c r="T459" s="16">
        <f t="shared" si="157"/>
        <v>2639273.1883032951</v>
      </c>
      <c r="U459" s="16">
        <f t="shared" si="148"/>
        <v>6951570.3755567092</v>
      </c>
      <c r="V459" s="16">
        <f t="shared" si="166"/>
        <v>478052.44861577358</v>
      </c>
      <c r="W459" s="144">
        <f t="shared" si="158"/>
        <v>0.11809067467764443</v>
      </c>
      <c r="X459" s="144">
        <f t="shared" si="164"/>
        <v>7.3847397042998156E-2</v>
      </c>
      <c r="Y459" s="145">
        <f>(((Sale_Price*0.8)+Improvement_Costs+Closing_Costs_Total)/27.5)+(-E459*12)+-AC459</f>
        <v>28166.505107202414</v>
      </c>
      <c r="Z459" s="139">
        <f t="shared" si="150"/>
        <v>7590.0298467954663</v>
      </c>
      <c r="AA459" s="114">
        <v>432</v>
      </c>
      <c r="AB459" s="46">
        <f t="shared" si="159"/>
        <v>0</v>
      </c>
      <c r="AC459" s="46">
        <f t="shared" ref="AC459" si="169">SUM(AB448:AB459)</f>
        <v>0</v>
      </c>
      <c r="AD459" s="49">
        <f t="shared" si="168"/>
        <v>46520.102742483839</v>
      </c>
      <c r="AE459" s="50">
        <f>D459*12</f>
        <v>111368.58961499578</v>
      </c>
      <c r="AF459" s="140"/>
      <c r="AG459" s="140"/>
      <c r="AH459" s="140">
        <f t="shared" si="151"/>
        <v>6692832.5443215044</v>
      </c>
      <c r="AI459" s="15">
        <f>AI447*(1+Comparison_Rate_of_Return)</f>
        <v>3864085.0666088453</v>
      </c>
      <c r="AN459" s="9"/>
      <c r="AO459" s="9"/>
      <c r="AP459" s="9"/>
    </row>
    <row r="460" spans="2:42" ht="12" hidden="1" customHeight="1" outlineLevel="1" x14ac:dyDescent="0.25">
      <c r="B460" s="143" t="str">
        <f t="shared" si="167"/>
        <v/>
      </c>
      <c r="C460" s="16">
        <f t="shared" si="152"/>
        <v>4333858.6731896801</v>
      </c>
      <c r="D460" s="16">
        <f t="shared" si="160"/>
        <v>9605.5408542933856</v>
      </c>
      <c r="E460" s="16">
        <f t="shared" si="161"/>
        <v>-1174.8156109507536</v>
      </c>
      <c r="F460" s="16">
        <f t="shared" si="162"/>
        <v>-575.04435190932611</v>
      </c>
      <c r="G460" s="16">
        <f t="shared" si="153"/>
        <v>0</v>
      </c>
      <c r="H460" s="16">
        <v>0</v>
      </c>
      <c r="I460" s="16">
        <v>0</v>
      </c>
      <c r="J460" s="16">
        <v>0</v>
      </c>
      <c r="K460" s="16">
        <f t="shared" si="154"/>
        <v>-3.2747418625953612E-158</v>
      </c>
      <c r="L460" s="16">
        <f t="shared" si="155"/>
        <v>1749.8599628600796</v>
      </c>
      <c r="M460" s="16">
        <f t="shared" si="143"/>
        <v>1749.8599628600796</v>
      </c>
      <c r="N460" s="16">
        <f t="shared" si="144"/>
        <v>8830.956112271524</v>
      </c>
      <c r="O460" s="16">
        <f t="shared" si="145"/>
        <v>7855.6808914333069</v>
      </c>
      <c r="P460" s="16">
        <f t="shared" si="156"/>
        <v>2.0467136641174996E-160</v>
      </c>
      <c r="Q460" s="16">
        <f t="shared" si="146"/>
        <v>4333858.6731896801</v>
      </c>
      <c r="R460" s="16">
        <f t="shared" si="147"/>
        <v>8255.911760362198</v>
      </c>
      <c r="S460" s="16" cm="1">
        <f t="array" ref="S460">Y460*tax_rate</f>
        <v>0</v>
      </c>
      <c r="T460" s="16">
        <f t="shared" si="157"/>
        <v>2658526.071681588</v>
      </c>
      <c r="U460" s="16">
        <f t="shared" si="148"/>
        <v>6992384.744871268</v>
      </c>
      <c r="V460" s="16"/>
      <c r="W460" s="144">
        <f t="shared" si="158"/>
        <v>0.11798384514624585</v>
      </c>
      <c r="X460" s="144" t="str">
        <f t="shared" si="164"/>
        <v/>
      </c>
      <c r="Y460" s="146"/>
      <c r="Z460" s="139">
        <f t="shared" si="150"/>
        <v>7855.6808914333069</v>
      </c>
      <c r="AA460" s="114">
        <v>433</v>
      </c>
      <c r="AB460" s="46">
        <f t="shared" si="159"/>
        <v>0</v>
      </c>
      <c r="AC460" s="46"/>
      <c r="AD460" s="49">
        <f t="shared" si="168"/>
        <v>40814.369314558804</v>
      </c>
      <c r="AE460" s="50"/>
      <c r="AF460" s="140"/>
      <c r="AG460" s="140"/>
      <c r="AH460" s="140">
        <f t="shared" si="151"/>
        <v>6732353.2244798876</v>
      </c>
      <c r="AI460" s="15"/>
      <c r="AN460" s="9"/>
      <c r="AO460" s="9"/>
      <c r="AP460" s="9"/>
    </row>
    <row r="461" spans="2:42" ht="12" hidden="1" customHeight="1" outlineLevel="1" x14ac:dyDescent="0.25">
      <c r="B461" s="143" t="str">
        <f t="shared" si="167"/>
        <v/>
      </c>
      <c r="C461" s="16">
        <f t="shared" si="152"/>
        <v>4355527.966555628</v>
      </c>
      <c r="D461" s="16">
        <f t="shared" si="160"/>
        <v>9605.5408542933856</v>
      </c>
      <c r="E461" s="16">
        <f t="shared" si="161"/>
        <v>-1174.8156109507536</v>
      </c>
      <c r="F461" s="16">
        <f t="shared" si="162"/>
        <v>-575.04435190932611</v>
      </c>
      <c r="G461" s="16">
        <f t="shared" si="153"/>
        <v>0</v>
      </c>
      <c r="H461" s="16">
        <v>0</v>
      </c>
      <c r="I461" s="16">
        <v>0</v>
      </c>
      <c r="J461" s="16">
        <v>0</v>
      </c>
      <c r="K461" s="16">
        <f t="shared" si="154"/>
        <v>-2.0467136641174996E-160</v>
      </c>
      <c r="L461" s="16">
        <f t="shared" si="155"/>
        <v>1749.8599628600796</v>
      </c>
      <c r="M461" s="16">
        <f t="shared" si="143"/>
        <v>1749.8599628600796</v>
      </c>
      <c r="N461" s="16">
        <f t="shared" si="144"/>
        <v>8830.956112271524</v>
      </c>
      <c r="O461" s="16">
        <f t="shared" si="145"/>
        <v>7855.6808914333069</v>
      </c>
      <c r="P461" s="16">
        <f t="shared" si="156"/>
        <v>1.2791960400705438E-162</v>
      </c>
      <c r="Q461" s="16">
        <f t="shared" si="146"/>
        <v>4355527.966555628</v>
      </c>
      <c r="R461" s="16">
        <f t="shared" si="147"/>
        <v>8255.911760362198</v>
      </c>
      <c r="S461" s="16" cm="1">
        <f t="array" ref="S461">Y461*tax_rate</f>
        <v>0</v>
      </c>
      <c r="T461" s="16">
        <f t="shared" si="157"/>
        <v>2677859.17540729</v>
      </c>
      <c r="U461" s="16">
        <f t="shared" si="148"/>
        <v>7033387.1419629175</v>
      </c>
      <c r="V461" s="16"/>
      <c r="W461" s="144">
        <f t="shared" si="158"/>
        <v>0.11787729127730269</v>
      </c>
      <c r="X461" s="144" t="str">
        <f t="shared" si="164"/>
        <v/>
      </c>
      <c r="Y461" s="146"/>
      <c r="Z461" s="139">
        <f t="shared" si="150"/>
        <v>7855.6808914333069</v>
      </c>
      <c r="AA461" s="114">
        <v>434</v>
      </c>
      <c r="AB461" s="46">
        <f t="shared" si="159"/>
        <v>0</v>
      </c>
      <c r="AC461" s="46"/>
      <c r="AD461" s="49">
        <f t="shared" si="168"/>
        <v>41002.397091649473</v>
      </c>
      <c r="AE461" s="50"/>
      <c r="AF461" s="140"/>
      <c r="AG461" s="140"/>
      <c r="AH461" s="140">
        <f t="shared" si="151"/>
        <v>6772055.4639695799</v>
      </c>
      <c r="AI461" s="15"/>
      <c r="AN461" s="9"/>
      <c r="AO461" s="9"/>
      <c r="AP461" s="9"/>
    </row>
    <row r="462" spans="2:42" ht="12" hidden="1" customHeight="1" outlineLevel="1" x14ac:dyDescent="0.25">
      <c r="B462" s="143" t="str">
        <f t="shared" si="167"/>
        <v/>
      </c>
      <c r="C462" s="16">
        <f t="shared" si="152"/>
        <v>4377305.6063884059</v>
      </c>
      <c r="D462" s="16">
        <f t="shared" si="160"/>
        <v>9605.5408542933856</v>
      </c>
      <c r="E462" s="16">
        <f t="shared" si="161"/>
        <v>-1174.8156109507536</v>
      </c>
      <c r="F462" s="16">
        <f t="shared" si="162"/>
        <v>-575.04435190932611</v>
      </c>
      <c r="G462" s="16">
        <f t="shared" si="153"/>
        <v>0</v>
      </c>
      <c r="H462" s="16">
        <v>0</v>
      </c>
      <c r="I462" s="16">
        <v>0</v>
      </c>
      <c r="J462" s="16">
        <v>0</v>
      </c>
      <c r="K462" s="16">
        <f t="shared" si="154"/>
        <v>-1.2791960400705438E-162</v>
      </c>
      <c r="L462" s="16">
        <f t="shared" si="155"/>
        <v>1749.8599628600796</v>
      </c>
      <c r="M462" s="16">
        <f t="shared" si="143"/>
        <v>1749.8599628600796</v>
      </c>
      <c r="N462" s="16">
        <f t="shared" si="144"/>
        <v>8830.956112271524</v>
      </c>
      <c r="O462" s="16">
        <f t="shared" si="145"/>
        <v>7855.6808914333069</v>
      </c>
      <c r="P462" s="16">
        <f t="shared" si="156"/>
        <v>7.9949752504227364E-165</v>
      </c>
      <c r="Q462" s="16">
        <f t="shared" si="146"/>
        <v>4377305.6063884059</v>
      </c>
      <c r="R462" s="16">
        <f t="shared" si="147"/>
        <v>8255.911760362198</v>
      </c>
      <c r="S462" s="16" cm="1">
        <f t="array" ref="S462">Y462*tax_rate</f>
        <v>0</v>
      </c>
      <c r="T462" s="16">
        <f t="shared" si="157"/>
        <v>2697272.8337318492</v>
      </c>
      <c r="U462" s="16">
        <f t="shared" si="148"/>
        <v>7074578.4401202556</v>
      </c>
      <c r="V462" s="16"/>
      <c r="W462" s="144">
        <f t="shared" si="158"/>
        <v>0.11777101279410715</v>
      </c>
      <c r="X462" s="144" t="str">
        <f t="shared" si="164"/>
        <v/>
      </c>
      <c r="Y462" s="146"/>
      <c r="Z462" s="139">
        <f t="shared" si="150"/>
        <v>7855.6808914333069</v>
      </c>
      <c r="AA462" s="114">
        <v>435</v>
      </c>
      <c r="AB462" s="46">
        <f t="shared" si="159"/>
        <v>0</v>
      </c>
      <c r="AC462" s="47"/>
      <c r="AD462" s="49">
        <f t="shared" si="168"/>
        <v>41191.298157338053</v>
      </c>
      <c r="AE462" s="50"/>
      <c r="AF462" s="140"/>
      <c r="AG462" s="140"/>
      <c r="AH462" s="140">
        <f t="shared" si="151"/>
        <v>6811940.103736951</v>
      </c>
      <c r="AI462" s="15"/>
      <c r="AN462" s="9"/>
      <c r="AO462" s="9"/>
      <c r="AP462" s="9"/>
    </row>
    <row r="463" spans="2:42" ht="12" hidden="1" customHeight="1" outlineLevel="1" x14ac:dyDescent="0.25">
      <c r="B463" s="143" t="str">
        <f t="shared" si="167"/>
        <v/>
      </c>
      <c r="C463" s="16">
        <f t="shared" si="152"/>
        <v>4399192.1344203474</v>
      </c>
      <c r="D463" s="16">
        <f t="shared" si="160"/>
        <v>9605.5408542933856</v>
      </c>
      <c r="E463" s="16">
        <f t="shared" si="161"/>
        <v>-1174.8156109507536</v>
      </c>
      <c r="F463" s="16">
        <f t="shared" si="162"/>
        <v>-575.04435190932611</v>
      </c>
      <c r="G463" s="16">
        <f t="shared" si="153"/>
        <v>0</v>
      </c>
      <c r="H463" s="16">
        <v>0</v>
      </c>
      <c r="I463" s="16">
        <v>0</v>
      </c>
      <c r="J463" s="16">
        <v>0</v>
      </c>
      <c r="K463" s="16">
        <f t="shared" si="154"/>
        <v>-7.9949752504227364E-165</v>
      </c>
      <c r="L463" s="16">
        <f t="shared" si="155"/>
        <v>1749.8599628600796</v>
      </c>
      <c r="M463" s="16">
        <f t="shared" si="143"/>
        <v>1749.8599628600796</v>
      </c>
      <c r="N463" s="16">
        <f t="shared" si="144"/>
        <v>8830.956112271524</v>
      </c>
      <c r="O463" s="16">
        <f t="shared" si="145"/>
        <v>7855.6808914333069</v>
      </c>
      <c r="P463" s="16">
        <f t="shared" si="156"/>
        <v>4.9968595315029318E-167</v>
      </c>
      <c r="Q463" s="16">
        <f t="shared" si="146"/>
        <v>4399192.1344203474</v>
      </c>
      <c r="R463" s="16">
        <f t="shared" si="147"/>
        <v>8255.911760362198</v>
      </c>
      <c r="S463" s="16" cm="1">
        <f t="array" ref="S463">Y463*tax_rate</f>
        <v>0</v>
      </c>
      <c r="T463" s="16">
        <f t="shared" si="157"/>
        <v>2716767.3822994274</v>
      </c>
      <c r="U463" s="16">
        <f t="shared" si="148"/>
        <v>7115959.5167197753</v>
      </c>
      <c r="V463" s="16"/>
      <c r="W463" s="144">
        <f t="shared" si="158"/>
        <v>0.1176650094072404</v>
      </c>
      <c r="X463" s="144" t="str">
        <f t="shared" si="164"/>
        <v/>
      </c>
      <c r="Y463" s="146"/>
      <c r="Z463" s="139">
        <f t="shared" si="150"/>
        <v>7855.6808914333069</v>
      </c>
      <c r="AA463" s="114">
        <v>436</v>
      </c>
      <c r="AB463" s="46">
        <f t="shared" si="159"/>
        <v>0</v>
      </c>
      <c r="AC463" s="47"/>
      <c r="AD463" s="49">
        <f t="shared" si="168"/>
        <v>41381.0765995197</v>
      </c>
      <c r="AE463" s="50"/>
      <c r="AF463" s="140"/>
      <c r="AG463" s="140"/>
      <c r="AH463" s="140">
        <f t="shared" si="151"/>
        <v>6852007.9886545548</v>
      </c>
      <c r="AI463" s="15"/>
      <c r="AN463" s="9"/>
      <c r="AO463" s="9"/>
      <c r="AP463" s="9"/>
    </row>
    <row r="464" spans="2:42" ht="12" hidden="1" customHeight="1" outlineLevel="1" x14ac:dyDescent="0.25">
      <c r="B464" s="143" t="str">
        <f t="shared" si="167"/>
        <v/>
      </c>
      <c r="C464" s="16">
        <f t="shared" si="152"/>
        <v>4421188.0950924484</v>
      </c>
      <c r="D464" s="16">
        <f t="shared" si="160"/>
        <v>9605.5408542933856</v>
      </c>
      <c r="E464" s="16">
        <f t="shared" si="161"/>
        <v>-1174.8156109507536</v>
      </c>
      <c r="F464" s="16">
        <f t="shared" si="162"/>
        <v>-575.04435190932611</v>
      </c>
      <c r="G464" s="16">
        <f t="shared" si="153"/>
        <v>0</v>
      </c>
      <c r="H464" s="16">
        <v>0</v>
      </c>
      <c r="I464" s="16">
        <v>0</v>
      </c>
      <c r="J464" s="16">
        <v>0</v>
      </c>
      <c r="K464" s="16">
        <f t="shared" si="154"/>
        <v>-4.9968595315029318E-167</v>
      </c>
      <c r="L464" s="16">
        <f t="shared" si="155"/>
        <v>1749.8599628600796</v>
      </c>
      <c r="M464" s="16">
        <f t="shared" si="143"/>
        <v>1749.8599628600796</v>
      </c>
      <c r="N464" s="16">
        <f t="shared" si="144"/>
        <v>8830.956112271524</v>
      </c>
      <c r="O464" s="16">
        <f t="shared" si="145"/>
        <v>7855.6808914333069</v>
      </c>
      <c r="P464" s="16">
        <f t="shared" si="156"/>
        <v>3.1230372071822834E-169</v>
      </c>
      <c r="Q464" s="16">
        <f t="shared" si="146"/>
        <v>4421188.0950924484</v>
      </c>
      <c r="R464" s="16">
        <f t="shared" si="147"/>
        <v>8255.911760362198</v>
      </c>
      <c r="S464" s="16" cm="1">
        <f t="array" ref="S464">Y464*tax_rate</f>
        <v>0</v>
      </c>
      <c r="T464" s="16">
        <f t="shared" si="157"/>
        <v>2736343.1581527041</v>
      </c>
      <c r="U464" s="16">
        <f t="shared" si="148"/>
        <v>7157531.2532451525</v>
      </c>
      <c r="V464" s="16"/>
      <c r="W464" s="144">
        <f t="shared" si="158"/>
        <v>0.11755928081490183</v>
      </c>
      <c r="X464" s="144" t="str">
        <f t="shared" si="164"/>
        <v/>
      </c>
      <c r="Y464" s="146"/>
      <c r="Z464" s="139">
        <f t="shared" si="150"/>
        <v>7855.6808914333069</v>
      </c>
      <c r="AA464" s="114">
        <v>437</v>
      </c>
      <c r="AB464" s="46">
        <f t="shared" si="159"/>
        <v>0</v>
      </c>
      <c r="AC464" s="47"/>
      <c r="AD464" s="49">
        <f t="shared" si="168"/>
        <v>41571.736525377259</v>
      </c>
      <c r="AE464" s="50"/>
      <c r="AF464" s="140"/>
      <c r="AG464" s="140"/>
      <c r="AH464" s="140">
        <f t="shared" si="151"/>
        <v>6892259.9675396057</v>
      </c>
      <c r="AI464" s="15"/>
      <c r="AN464" s="9"/>
      <c r="AO464" s="9"/>
      <c r="AP464" s="9"/>
    </row>
    <row r="465" spans="2:42" ht="12" hidden="1" customHeight="1" outlineLevel="1" x14ac:dyDescent="0.25">
      <c r="B465" s="143" t="str">
        <f t="shared" si="167"/>
        <v/>
      </c>
      <c r="C465" s="16">
        <f t="shared" si="152"/>
        <v>4443294.0355679104</v>
      </c>
      <c r="D465" s="16">
        <f t="shared" si="160"/>
        <v>9605.5408542933856</v>
      </c>
      <c r="E465" s="16">
        <f t="shared" si="161"/>
        <v>-1174.8156109507536</v>
      </c>
      <c r="F465" s="16">
        <f t="shared" si="162"/>
        <v>-575.04435190932611</v>
      </c>
      <c r="G465" s="16">
        <f t="shared" si="153"/>
        <v>0</v>
      </c>
      <c r="H465" s="16">
        <v>0</v>
      </c>
      <c r="I465" s="16">
        <v>0</v>
      </c>
      <c r="J465" s="16">
        <v>0</v>
      </c>
      <c r="K465" s="16">
        <f t="shared" si="154"/>
        <v>-3.1230372071822834E-169</v>
      </c>
      <c r="L465" s="16">
        <f t="shared" si="155"/>
        <v>1749.8599628600796</v>
      </c>
      <c r="M465" s="16">
        <f t="shared" si="143"/>
        <v>1749.8599628600796</v>
      </c>
      <c r="N465" s="16">
        <f t="shared" si="144"/>
        <v>8830.956112271524</v>
      </c>
      <c r="O465" s="16">
        <f t="shared" si="145"/>
        <v>7855.6808914333069</v>
      </c>
      <c r="P465" s="16">
        <f t="shared" si="156"/>
        <v>1.9518982544845379E-171</v>
      </c>
      <c r="Q465" s="16">
        <f t="shared" si="146"/>
        <v>4443294.0355679104</v>
      </c>
      <c r="R465" s="16">
        <f t="shared" si="147"/>
        <v>8255.911760362198</v>
      </c>
      <c r="S465" s="16" cm="1">
        <f t="array" ref="S465">Y465*tax_rate</f>
        <v>0</v>
      </c>
      <c r="T465" s="16">
        <f t="shared" si="157"/>
        <v>2756000.4997387026</v>
      </c>
      <c r="U465" s="16">
        <f t="shared" si="148"/>
        <v>7199294.535306613</v>
      </c>
      <c r="V465" s="16"/>
      <c r="W465" s="144">
        <f t="shared" si="158"/>
        <v>0.11745382670323053</v>
      </c>
      <c r="X465" s="144" t="str">
        <f t="shared" si="164"/>
        <v/>
      </c>
      <c r="Y465" s="145"/>
      <c r="Z465" s="139">
        <f t="shared" si="150"/>
        <v>7855.6808914333069</v>
      </c>
      <c r="AA465" s="114">
        <v>438</v>
      </c>
      <c r="AB465" s="46">
        <f t="shared" si="159"/>
        <v>0</v>
      </c>
      <c r="AC465" s="46"/>
      <c r="AD465" s="49">
        <f t="shared" si="168"/>
        <v>41763.282061460428</v>
      </c>
      <c r="AE465" s="50"/>
      <c r="AF465" s="140"/>
      <c r="AG465" s="140"/>
      <c r="AH465" s="140">
        <f t="shared" si="151"/>
        <v>6932696.8931725379</v>
      </c>
      <c r="AI465" s="15"/>
      <c r="AN465" s="9"/>
      <c r="AO465" s="9"/>
      <c r="AP465" s="9"/>
    </row>
    <row r="466" spans="2:42" ht="12" hidden="1" customHeight="1" outlineLevel="1" x14ac:dyDescent="0.25">
      <c r="B466" s="143" t="str">
        <f t="shared" si="167"/>
        <v/>
      </c>
      <c r="C466" s="16">
        <f t="shared" si="152"/>
        <v>4465510.5057457499</v>
      </c>
      <c r="D466" s="16">
        <f t="shared" si="160"/>
        <v>9605.5408542933856</v>
      </c>
      <c r="E466" s="16">
        <f t="shared" si="161"/>
        <v>-1174.8156109507536</v>
      </c>
      <c r="F466" s="16">
        <f t="shared" si="162"/>
        <v>-575.04435190932611</v>
      </c>
      <c r="G466" s="16">
        <f t="shared" si="153"/>
        <v>0</v>
      </c>
      <c r="H466" s="16">
        <v>0</v>
      </c>
      <c r="I466" s="16">
        <v>0</v>
      </c>
      <c r="J466" s="16">
        <v>0</v>
      </c>
      <c r="K466" s="16">
        <f t="shared" si="154"/>
        <v>-1.9518982544845379E-171</v>
      </c>
      <c r="L466" s="16">
        <f t="shared" si="155"/>
        <v>1749.8599628600796</v>
      </c>
      <c r="M466" s="16">
        <f t="shared" si="143"/>
        <v>1749.8599628600796</v>
      </c>
      <c r="N466" s="16">
        <f t="shared" si="144"/>
        <v>8830.956112271524</v>
      </c>
      <c r="O466" s="16">
        <f t="shared" si="145"/>
        <v>7855.6808914333069</v>
      </c>
      <c r="P466" s="16">
        <f t="shared" si="156"/>
        <v>1.2199364090500829E-173</v>
      </c>
      <c r="Q466" s="16">
        <f t="shared" si="146"/>
        <v>4465510.5057457499</v>
      </c>
      <c r="R466" s="16">
        <f t="shared" si="147"/>
        <v>8255.911760362198</v>
      </c>
      <c r="S466" s="16" cm="1">
        <f t="array" ref="S466">Y466*tax_rate</f>
        <v>0</v>
      </c>
      <c r="T466" s="16">
        <f t="shared" si="157"/>
        <v>2775739.7469146429</v>
      </c>
      <c r="U466" s="16">
        <f t="shared" si="148"/>
        <v>7241250.2526603928</v>
      </c>
      <c r="V466" s="16"/>
      <c r="W466" s="144">
        <f t="shared" si="158"/>
        <v>0.11734864674662024</v>
      </c>
      <c r="X466" s="144" t="str">
        <f t="shared" si="164"/>
        <v/>
      </c>
      <c r="Y466" s="145"/>
      <c r="Z466" s="139">
        <f t="shared" si="150"/>
        <v>7855.6808914333069</v>
      </c>
      <c r="AA466" s="114">
        <v>439</v>
      </c>
      <c r="AB466" s="46">
        <f t="shared" si="159"/>
        <v>0</v>
      </c>
      <c r="AC466" s="46"/>
      <c r="AD466" s="49">
        <f t="shared" si="168"/>
        <v>41955.717353779823</v>
      </c>
      <c r="AE466" s="50"/>
      <c r="AF466" s="140"/>
      <c r="AG466" s="140"/>
      <c r="AH466" s="140">
        <f t="shared" si="151"/>
        <v>6973319.622315648</v>
      </c>
      <c r="AI466" s="15"/>
      <c r="AN466" s="9"/>
      <c r="AO466" s="9"/>
      <c r="AP466" s="9"/>
    </row>
    <row r="467" spans="2:42" ht="12" hidden="1" customHeight="1" outlineLevel="1" x14ac:dyDescent="0.25">
      <c r="B467" s="143" t="str">
        <f t="shared" si="167"/>
        <v/>
      </c>
      <c r="C467" s="16">
        <f t="shared" si="152"/>
        <v>4487838.0582744787</v>
      </c>
      <c r="D467" s="16">
        <f t="shared" si="160"/>
        <v>9605.5408542933856</v>
      </c>
      <c r="E467" s="16">
        <f t="shared" si="161"/>
        <v>-1174.8156109507536</v>
      </c>
      <c r="F467" s="16">
        <f t="shared" si="162"/>
        <v>-575.04435190932611</v>
      </c>
      <c r="G467" s="16">
        <f t="shared" si="153"/>
        <v>0</v>
      </c>
      <c r="H467" s="16">
        <v>0</v>
      </c>
      <c r="I467" s="16">
        <v>0</v>
      </c>
      <c r="J467" s="16">
        <v>0</v>
      </c>
      <c r="K467" s="16">
        <f t="shared" si="154"/>
        <v>-1.2199364090500829E-173</v>
      </c>
      <c r="L467" s="16">
        <f t="shared" si="155"/>
        <v>1749.8599628600796</v>
      </c>
      <c r="M467" s="16">
        <f t="shared" si="143"/>
        <v>1749.8599628600796</v>
      </c>
      <c r="N467" s="16">
        <f t="shared" si="144"/>
        <v>8830.956112271524</v>
      </c>
      <c r="O467" s="16">
        <f t="shared" si="145"/>
        <v>7855.6808914333069</v>
      </c>
      <c r="P467" s="16">
        <f t="shared" si="156"/>
        <v>7.6246025565456731E-176</v>
      </c>
      <c r="Q467" s="16">
        <f t="shared" si="146"/>
        <v>4487838.0582744787</v>
      </c>
      <c r="R467" s="16">
        <f t="shared" si="147"/>
        <v>8255.911760362198</v>
      </c>
      <c r="S467" s="16" cm="1">
        <f t="array" ref="S467">Y467*tax_rate</f>
        <v>0</v>
      </c>
      <c r="T467" s="16">
        <f t="shared" si="157"/>
        <v>2795561.2409538161</v>
      </c>
      <c r="U467" s="16">
        <f t="shared" si="148"/>
        <v>7283399.2992282948</v>
      </c>
      <c r="V467" s="16"/>
      <c r="W467" s="144">
        <f t="shared" si="158"/>
        <v>0.11724374060802781</v>
      </c>
      <c r="X467" s="144" t="str">
        <f t="shared" si="164"/>
        <v/>
      </c>
      <c r="Y467" s="146"/>
      <c r="Z467" s="139">
        <f t="shared" si="150"/>
        <v>7855.6808914333069</v>
      </c>
      <c r="AA467" s="114">
        <v>440</v>
      </c>
      <c r="AB467" s="46">
        <f t="shared" si="159"/>
        <v>0</v>
      </c>
      <c r="AC467" s="47"/>
      <c r="AD467" s="49">
        <f t="shared" si="168"/>
        <v>42149.046567901969</v>
      </c>
      <c r="AE467" s="50"/>
      <c r="AF467" s="140"/>
      <c r="AG467" s="140"/>
      <c r="AH467" s="140">
        <f t="shared" si="151"/>
        <v>7014129.0157318264</v>
      </c>
      <c r="AI467" s="15"/>
      <c r="AN467" s="9"/>
      <c r="AO467" s="9"/>
      <c r="AP467" s="9"/>
    </row>
    <row r="468" spans="2:42" ht="12" hidden="1" customHeight="1" outlineLevel="1" x14ac:dyDescent="0.25">
      <c r="B468" s="143" t="str">
        <f t="shared" si="167"/>
        <v/>
      </c>
      <c r="C468" s="16">
        <f t="shared" si="152"/>
        <v>4510277.2485658508</v>
      </c>
      <c r="D468" s="16">
        <f t="shared" si="160"/>
        <v>9605.5408542933856</v>
      </c>
      <c r="E468" s="16">
        <f t="shared" si="161"/>
        <v>-1174.8156109507536</v>
      </c>
      <c r="F468" s="16">
        <f t="shared" si="162"/>
        <v>-575.04435190932611</v>
      </c>
      <c r="G468" s="16">
        <f t="shared" si="153"/>
        <v>0</v>
      </c>
      <c r="H468" s="16">
        <v>0</v>
      </c>
      <c r="I468" s="16">
        <v>0</v>
      </c>
      <c r="J468" s="16">
        <v>0</v>
      </c>
      <c r="K468" s="16">
        <f t="shared" si="154"/>
        <v>-7.6246025565456731E-176</v>
      </c>
      <c r="L468" s="16">
        <f t="shared" si="155"/>
        <v>1749.8599628600796</v>
      </c>
      <c r="M468" s="16">
        <f t="shared" si="143"/>
        <v>1749.8599628600796</v>
      </c>
      <c r="N468" s="16">
        <f t="shared" si="144"/>
        <v>8830.956112271524</v>
      </c>
      <c r="O468" s="16">
        <f t="shared" si="145"/>
        <v>7855.6808914333069</v>
      </c>
      <c r="P468" s="16">
        <f t="shared" si="156"/>
        <v>4.7653765978303286E-178</v>
      </c>
      <c r="Q468" s="16">
        <f t="shared" si="146"/>
        <v>4510277.2485658508</v>
      </c>
      <c r="R468" s="16">
        <f t="shared" si="147"/>
        <v>8255.911760362198</v>
      </c>
      <c r="S468" s="16" cm="1">
        <f t="array" ref="S468">Y468*tax_rate</f>
        <v>0</v>
      </c>
      <c r="T468" s="16">
        <f t="shared" si="157"/>
        <v>2815465.3245514859</v>
      </c>
      <c r="U468" s="16">
        <f t="shared" si="148"/>
        <v>7325742.5731173363</v>
      </c>
      <c r="V468" s="16"/>
      <c r="W468" s="144">
        <f t="shared" si="158"/>
        <v>0.11713910793927354</v>
      </c>
      <c r="X468" s="144" t="str">
        <f t="shared" si="164"/>
        <v/>
      </c>
      <c r="Y468" s="146"/>
      <c r="Z468" s="139">
        <f t="shared" si="150"/>
        <v>7855.6808914333069</v>
      </c>
      <c r="AA468" s="114">
        <v>441</v>
      </c>
      <c r="AB468" s="46">
        <f t="shared" si="159"/>
        <v>0</v>
      </c>
      <c r="AC468" s="47"/>
      <c r="AD468" s="49">
        <f t="shared" si="168"/>
        <v>42343.273889041506</v>
      </c>
      <c r="AE468" s="50"/>
      <c r="AF468" s="140"/>
      <c r="AG468" s="140"/>
      <c r="AH468" s="140">
        <f t="shared" si="151"/>
        <v>7055125.9382033851</v>
      </c>
      <c r="AI468" s="15"/>
      <c r="AN468" s="9"/>
      <c r="AO468" s="9"/>
      <c r="AP468" s="9"/>
    </row>
    <row r="469" spans="2:42" ht="12" hidden="1" customHeight="1" outlineLevel="1" x14ac:dyDescent="0.25">
      <c r="B469" s="143" t="str">
        <f t="shared" si="167"/>
        <v/>
      </c>
      <c r="C469" s="16">
        <f t="shared" si="152"/>
        <v>4532828.6348086791</v>
      </c>
      <c r="D469" s="16">
        <f t="shared" si="160"/>
        <v>9605.5408542933856</v>
      </c>
      <c r="E469" s="16">
        <f t="shared" si="161"/>
        <v>-1174.8156109507536</v>
      </c>
      <c r="F469" s="16">
        <f t="shared" si="162"/>
        <v>-575.04435190932611</v>
      </c>
      <c r="G469" s="16">
        <f t="shared" si="153"/>
        <v>0</v>
      </c>
      <c r="H469" s="16">
        <v>0</v>
      </c>
      <c r="I469" s="16">
        <v>0</v>
      </c>
      <c r="J469" s="16">
        <v>0</v>
      </c>
      <c r="K469" s="16">
        <f t="shared" si="154"/>
        <v>-4.7653765978303286E-178</v>
      </c>
      <c r="L469" s="16">
        <f t="shared" si="155"/>
        <v>1749.8599628600796</v>
      </c>
      <c r="M469" s="16">
        <f t="shared" si="143"/>
        <v>1749.8599628600796</v>
      </c>
      <c r="N469" s="16">
        <f t="shared" si="144"/>
        <v>8830.956112271524</v>
      </c>
      <c r="O469" s="16">
        <f t="shared" si="145"/>
        <v>7855.6808914333069</v>
      </c>
      <c r="P469" s="16">
        <f t="shared" si="156"/>
        <v>2.9783603736371937E-180</v>
      </c>
      <c r="Q469" s="16">
        <f t="shared" si="146"/>
        <v>4532828.6348086791</v>
      </c>
      <c r="R469" s="16">
        <f t="shared" si="147"/>
        <v>8255.911760362198</v>
      </c>
      <c r="S469" s="16" cm="1">
        <f t="array" ref="S469">Y469*tax_rate</f>
        <v>0</v>
      </c>
      <c r="T469" s="16">
        <f t="shared" si="157"/>
        <v>2835452.3418308129</v>
      </c>
      <c r="U469" s="16">
        <f t="shared" si="148"/>
        <v>7368280.9766394924</v>
      </c>
      <c r="V469" s="16"/>
      <c r="W469" s="144">
        <f t="shared" si="158"/>
        <v>0.11703474838133586</v>
      </c>
      <c r="X469" s="144" t="str">
        <f t="shared" si="164"/>
        <v/>
      </c>
      <c r="Y469" s="146"/>
      <c r="Z469" s="139">
        <f t="shared" si="150"/>
        <v>7855.6808914333069</v>
      </c>
      <c r="AA469" s="114">
        <v>442</v>
      </c>
      <c r="AB469" s="46">
        <f t="shared" si="159"/>
        <v>0</v>
      </c>
      <c r="AC469" s="47"/>
      <c r="AD469" s="49">
        <f t="shared" si="168"/>
        <v>42538.403522156179</v>
      </c>
      <c r="AE469" s="50"/>
      <c r="AF469" s="140"/>
      <c r="AG469" s="140"/>
      <c r="AH469" s="140">
        <f t="shared" si="151"/>
        <v>7096311.2585509717</v>
      </c>
      <c r="AI469" s="15"/>
      <c r="AN469" s="9"/>
      <c r="AO469" s="9"/>
      <c r="AP469" s="9"/>
    </row>
    <row r="470" spans="2:42" ht="12" hidden="1" customHeight="1" outlineLevel="1" x14ac:dyDescent="0.25">
      <c r="B470" s="143" t="str">
        <f t="shared" si="167"/>
        <v/>
      </c>
      <c r="C470" s="16">
        <f t="shared" si="152"/>
        <v>4555492.777982722</v>
      </c>
      <c r="D470" s="16">
        <f t="shared" si="160"/>
        <v>9605.5408542933856</v>
      </c>
      <c r="E470" s="16">
        <f t="shared" si="161"/>
        <v>-1174.8156109507536</v>
      </c>
      <c r="F470" s="16">
        <f t="shared" si="162"/>
        <v>-575.04435190932611</v>
      </c>
      <c r="G470" s="16">
        <f t="shared" si="153"/>
        <v>0</v>
      </c>
      <c r="H470" s="16">
        <v>0</v>
      </c>
      <c r="I470" s="16">
        <v>0</v>
      </c>
      <c r="J470" s="16">
        <v>0</v>
      </c>
      <c r="K470" s="16">
        <f t="shared" si="154"/>
        <v>-2.9783603736371937E-180</v>
      </c>
      <c r="L470" s="16">
        <f t="shared" si="155"/>
        <v>1749.8599628600796</v>
      </c>
      <c r="M470" s="16">
        <f t="shared" si="143"/>
        <v>1749.8599628600796</v>
      </c>
      <c r="N470" s="16">
        <f t="shared" si="144"/>
        <v>8830.956112271524</v>
      </c>
      <c r="O470" s="16">
        <f t="shared" si="145"/>
        <v>7855.6808914333069</v>
      </c>
      <c r="P470" s="16">
        <f t="shared" si="156"/>
        <v>1.8614752335190508E-182</v>
      </c>
      <c r="Q470" s="16">
        <f t="shared" si="146"/>
        <v>4555492.777982722</v>
      </c>
      <c r="R470" s="16">
        <f t="shared" si="147"/>
        <v>8255.911760362198</v>
      </c>
      <c r="S470" s="16" cm="1">
        <f t="array" ref="S470">Y470*tax_rate</f>
        <v>0</v>
      </c>
      <c r="T470" s="16">
        <f t="shared" si="157"/>
        <v>2855522.6383488034</v>
      </c>
      <c r="U470" s="16">
        <f t="shared" si="148"/>
        <v>7411015.4163315259</v>
      </c>
      <c r="V470" s="16"/>
      <c r="W470" s="144">
        <f t="shared" si="158"/>
        <v>0.11693066156464034</v>
      </c>
      <c r="X470" s="144" t="str">
        <f t="shared" si="164"/>
        <v/>
      </c>
      <c r="Y470" s="146"/>
      <c r="Z470" s="139">
        <f t="shared" si="150"/>
        <v>7855.6808914333069</v>
      </c>
      <c r="AA470" s="114">
        <v>443</v>
      </c>
      <c r="AB470" s="46">
        <f t="shared" si="159"/>
        <v>0</v>
      </c>
      <c r="AC470" s="47"/>
      <c r="AD470" s="49">
        <f t="shared" si="168"/>
        <v>42734.439692033455</v>
      </c>
      <c r="AE470" s="50"/>
      <c r="AF470" s="140"/>
      <c r="AG470" s="140"/>
      <c r="AH470" s="140">
        <f t="shared" si="151"/>
        <v>7137685.8496525623</v>
      </c>
      <c r="AI470" s="15"/>
      <c r="AN470" s="9"/>
      <c r="AO470" s="9"/>
      <c r="AP470" s="9"/>
    </row>
    <row r="471" spans="2:42" ht="15" customHeight="1" collapsed="1" x14ac:dyDescent="0.25">
      <c r="B471" s="143">
        <f t="shared" si="167"/>
        <v>37</v>
      </c>
      <c r="C471" s="16">
        <f t="shared" si="152"/>
        <v>4578270.2418726347</v>
      </c>
      <c r="D471" s="16">
        <f t="shared" si="160"/>
        <v>9605.5408542933856</v>
      </c>
      <c r="E471" s="16">
        <f t="shared" si="161"/>
        <v>-1174.8156109507536</v>
      </c>
      <c r="F471" s="16">
        <f t="shared" si="162"/>
        <v>-575.04435190932611</v>
      </c>
      <c r="G471" s="16">
        <f t="shared" si="153"/>
        <v>0</v>
      </c>
      <c r="H471" s="16">
        <v>0</v>
      </c>
      <c r="I471" s="16">
        <v>0</v>
      </c>
      <c r="J471" s="16">
        <v>0</v>
      </c>
      <c r="K471" s="16">
        <f t="shared" si="154"/>
        <v>-1.8614752335190508E-182</v>
      </c>
      <c r="L471" s="16">
        <f t="shared" si="155"/>
        <v>1749.8599628600796</v>
      </c>
      <c r="M471" s="16">
        <f t="shared" si="143"/>
        <v>1749.8599628600796</v>
      </c>
      <c r="N471" s="16">
        <f t="shared" si="144"/>
        <v>8830.956112271524</v>
      </c>
      <c r="O471" s="16">
        <f t="shared" si="145"/>
        <v>7855.6808914333069</v>
      </c>
      <c r="P471" s="16">
        <f t="shared" si="156"/>
        <v>1.1634220209467847E-184</v>
      </c>
      <c r="Q471" s="16">
        <f t="shared" si="146"/>
        <v>4578270.2418726347</v>
      </c>
      <c r="R471" s="16">
        <f t="shared" si="147"/>
        <v>8255.911760362198</v>
      </c>
      <c r="S471" s="16" cm="1">
        <f t="array" ref="S471">Y471*tax_rate</f>
        <v>6301.5132129099902</v>
      </c>
      <c r="T471" s="16">
        <f t="shared" si="157"/>
        <v>2881978.0743151954</v>
      </c>
      <c r="U471" s="16">
        <f t="shared" si="148"/>
        <v>7460248.3161878306</v>
      </c>
      <c r="V471" s="16">
        <f t="shared" si="166"/>
        <v>508677.9406311214</v>
      </c>
      <c r="W471" s="144">
        <f t="shared" si="158"/>
        <v>0.11685235438835433</v>
      </c>
      <c r="X471" s="144">
        <f t="shared" si="164"/>
        <v>7.3174536565111664E-2</v>
      </c>
      <c r="Y471" s="145">
        <f>(((Sale_Price*0.8)+Improvement_Costs+Closing_Costs_Total)/27.5)+(-E471*12)+-AC471</f>
        <v>28643.241876863591</v>
      </c>
      <c r="Z471" s="139">
        <f t="shared" si="150"/>
        <v>7855.6808914333069</v>
      </c>
      <c r="AA471" s="114">
        <v>444</v>
      </c>
      <c r="AB471" s="46">
        <f t="shared" si="159"/>
        <v>0</v>
      </c>
      <c r="AC471" s="46">
        <f t="shared" ref="AC471" si="170">SUM(AB460:AB471)</f>
        <v>0</v>
      </c>
      <c r="AD471" s="49">
        <f t="shared" si="168"/>
        <v>49232.89985630475</v>
      </c>
      <c r="AE471" s="50">
        <f>D471*12</f>
        <v>115266.49025152062</v>
      </c>
      <c r="AF471" s="140"/>
      <c r="AG471" s="140"/>
      <c r="AH471" s="140">
        <f t="shared" si="151"/>
        <v>7185552.1016754722</v>
      </c>
      <c r="AI471" s="15">
        <f>AI459*(1+Comparison_Rate_of_Return)</f>
        <v>4250493.5732697304</v>
      </c>
      <c r="AN471" s="9"/>
      <c r="AO471" s="9"/>
      <c r="AP471" s="9"/>
    </row>
    <row r="472" spans="2:42" ht="12" hidden="1" customHeight="1" outlineLevel="1" x14ac:dyDescent="0.25">
      <c r="B472" s="143" t="str">
        <f t="shared" si="167"/>
        <v/>
      </c>
      <c r="C472" s="16">
        <f t="shared" si="152"/>
        <v>4601161.5930819977</v>
      </c>
      <c r="D472" s="16">
        <f t="shared" si="160"/>
        <v>9941.7347841936535</v>
      </c>
      <c r="E472" s="16">
        <f t="shared" si="161"/>
        <v>-1215.9341573340298</v>
      </c>
      <c r="F472" s="16">
        <f t="shared" si="162"/>
        <v>-595.17090422615252</v>
      </c>
      <c r="G472" s="16">
        <f t="shared" si="153"/>
        <v>0</v>
      </c>
      <c r="H472" s="16">
        <v>0</v>
      </c>
      <c r="I472" s="16">
        <v>0</v>
      </c>
      <c r="J472" s="16">
        <v>0</v>
      </c>
      <c r="K472" s="16">
        <f t="shared" si="154"/>
        <v>-1.1634220209467847E-184</v>
      </c>
      <c r="L472" s="16">
        <f t="shared" si="155"/>
        <v>1811.1050615601823</v>
      </c>
      <c r="M472" s="16">
        <f t="shared" si="143"/>
        <v>1811.1050615601823</v>
      </c>
      <c r="N472" s="16">
        <f t="shared" si="144"/>
        <v>9140.0395762010266</v>
      </c>
      <c r="O472" s="16">
        <f t="shared" si="145"/>
        <v>8130.6297226334709</v>
      </c>
      <c r="P472" s="16">
        <f t="shared" si="156"/>
        <v>7.2713876309008651E-187</v>
      </c>
      <c r="Q472" s="16">
        <f t="shared" si="146"/>
        <v>4601161.5930819977</v>
      </c>
      <c r="R472" s="16">
        <f t="shared" si="147"/>
        <v>8544.8686719748748</v>
      </c>
      <c r="S472" s="16" cm="1">
        <f t="array" ref="S472">Y472*tax_rate</f>
        <v>0</v>
      </c>
      <c r="T472" s="16">
        <f t="shared" si="157"/>
        <v>2902531.1849634838</v>
      </c>
      <c r="U472" s="16">
        <f t="shared" si="148"/>
        <v>7503692.7780454811</v>
      </c>
      <c r="V472" s="16"/>
      <c r="W472" s="144">
        <f t="shared" si="158"/>
        <v>0.11674987096181134</v>
      </c>
      <c r="X472" s="144" t="str">
        <f t="shared" si="164"/>
        <v/>
      </c>
      <c r="Y472" s="146"/>
      <c r="Z472" s="139">
        <f t="shared" si="150"/>
        <v>8130.6297226334709</v>
      </c>
      <c r="AA472" s="114">
        <v>445</v>
      </c>
      <c r="AB472" s="46">
        <f t="shared" si="159"/>
        <v>0</v>
      </c>
      <c r="AC472" s="47"/>
      <c r="AD472" s="49">
        <f t="shared" si="168"/>
        <v>43444.461857650429</v>
      </c>
      <c r="AE472" s="50"/>
      <c r="AF472" s="140"/>
      <c r="AG472" s="140"/>
      <c r="AH472" s="140">
        <f t="shared" si="151"/>
        <v>7227623.0824605608</v>
      </c>
      <c r="AI472" s="15"/>
      <c r="AN472" s="9"/>
      <c r="AO472" s="9"/>
      <c r="AP472" s="9"/>
    </row>
    <row r="473" spans="2:42" ht="12" hidden="1" customHeight="1" outlineLevel="1" x14ac:dyDescent="0.25">
      <c r="B473" s="143" t="str">
        <f t="shared" si="167"/>
        <v/>
      </c>
      <c r="C473" s="16">
        <f t="shared" si="152"/>
        <v>4624167.4010474076</v>
      </c>
      <c r="D473" s="16">
        <f t="shared" si="160"/>
        <v>9941.7347841936535</v>
      </c>
      <c r="E473" s="16">
        <f t="shared" si="161"/>
        <v>-1215.9341573340298</v>
      </c>
      <c r="F473" s="16">
        <f t="shared" si="162"/>
        <v>-595.17090422615252</v>
      </c>
      <c r="G473" s="16">
        <f t="shared" si="153"/>
        <v>0</v>
      </c>
      <c r="H473" s="16">
        <v>0</v>
      </c>
      <c r="I473" s="16">
        <v>0</v>
      </c>
      <c r="J473" s="16">
        <v>0</v>
      </c>
      <c r="K473" s="16">
        <f t="shared" si="154"/>
        <v>-7.2713876309008651E-187</v>
      </c>
      <c r="L473" s="16">
        <f t="shared" si="155"/>
        <v>1811.1050615601823</v>
      </c>
      <c r="M473" s="16">
        <f t="shared" si="143"/>
        <v>1811.1050615601823</v>
      </c>
      <c r="N473" s="16">
        <f t="shared" si="144"/>
        <v>9140.0395762010266</v>
      </c>
      <c r="O473" s="16">
        <f t="shared" si="145"/>
        <v>8130.6297226334709</v>
      </c>
      <c r="P473" s="16">
        <f t="shared" si="156"/>
        <v>4.544617269302773E-189</v>
      </c>
      <c r="Q473" s="16">
        <f t="shared" si="146"/>
        <v>4624167.4010474076</v>
      </c>
      <c r="R473" s="16">
        <f t="shared" si="147"/>
        <v>8544.8686719748748</v>
      </c>
      <c r="S473" s="16" cm="1">
        <f t="array" ref="S473">Y473*tax_rate</f>
        <v>0</v>
      </c>
      <c r="T473" s="16">
        <f t="shared" si="157"/>
        <v>2923169.9335728069</v>
      </c>
      <c r="U473" s="16">
        <f t="shared" si="148"/>
        <v>7547337.334620215</v>
      </c>
      <c r="V473" s="16"/>
      <c r="W473" s="144">
        <f t="shared" si="158"/>
        <v>0.11664764585065635</v>
      </c>
      <c r="X473" s="144" t="str">
        <f t="shared" si="164"/>
        <v/>
      </c>
      <c r="Y473" s="146"/>
      <c r="Z473" s="139">
        <f t="shared" si="150"/>
        <v>8130.6297226334709</v>
      </c>
      <c r="AA473" s="114">
        <v>446</v>
      </c>
      <c r="AB473" s="46">
        <f t="shared" si="159"/>
        <v>0</v>
      </c>
      <c r="AC473" s="46"/>
      <c r="AD473" s="49">
        <f t="shared" si="168"/>
        <v>43644.556574733928</v>
      </c>
      <c r="AE473" s="50"/>
      <c r="AF473" s="140"/>
      <c r="AG473" s="140"/>
      <c r="AH473" s="140">
        <f t="shared" si="151"/>
        <v>7269887.2905573705</v>
      </c>
      <c r="AI473" s="15"/>
      <c r="AN473" s="9"/>
      <c r="AO473" s="9"/>
      <c r="AP473" s="9"/>
    </row>
    <row r="474" spans="2:42" ht="12" hidden="1" customHeight="1" outlineLevel="1" x14ac:dyDescent="0.25">
      <c r="B474" s="143" t="str">
        <f t="shared" si="167"/>
        <v/>
      </c>
      <c r="C474" s="16">
        <f t="shared" si="152"/>
        <v>4647288.2380526438</v>
      </c>
      <c r="D474" s="16">
        <f t="shared" si="160"/>
        <v>9941.7347841936535</v>
      </c>
      <c r="E474" s="16">
        <f t="shared" si="161"/>
        <v>-1215.9341573340298</v>
      </c>
      <c r="F474" s="16">
        <f t="shared" si="162"/>
        <v>-595.17090422615252</v>
      </c>
      <c r="G474" s="16">
        <f t="shared" si="153"/>
        <v>0</v>
      </c>
      <c r="H474" s="16">
        <v>0</v>
      </c>
      <c r="I474" s="16">
        <v>0</v>
      </c>
      <c r="J474" s="16">
        <v>0</v>
      </c>
      <c r="K474" s="16">
        <f t="shared" si="154"/>
        <v>-4.544617269302773E-189</v>
      </c>
      <c r="L474" s="16">
        <f t="shared" si="155"/>
        <v>1811.1050615601823</v>
      </c>
      <c r="M474" s="16">
        <f t="shared" si="143"/>
        <v>1811.1050615601823</v>
      </c>
      <c r="N474" s="16">
        <f t="shared" si="144"/>
        <v>9140.0395762010266</v>
      </c>
      <c r="O474" s="16">
        <f t="shared" si="145"/>
        <v>8130.6297226334709</v>
      </c>
      <c r="P474" s="16">
        <f t="shared" si="156"/>
        <v>2.8403857933078541E-191</v>
      </c>
      <c r="Q474" s="16">
        <f t="shared" si="146"/>
        <v>4647288.2380526438</v>
      </c>
      <c r="R474" s="16">
        <f t="shared" si="147"/>
        <v>8544.8686719748748</v>
      </c>
      <c r="S474" s="16" cm="1">
        <f t="array" ref="S474">Y474*tax_rate</f>
        <v>0</v>
      </c>
      <c r="T474" s="16">
        <f t="shared" si="157"/>
        <v>2943894.6769680018</v>
      </c>
      <c r="U474" s="16">
        <f t="shared" si="148"/>
        <v>7591182.9150206456</v>
      </c>
      <c r="V474" s="16"/>
      <c r="W474" s="144">
        <f t="shared" si="158"/>
        <v>0.11654567881137834</v>
      </c>
      <c r="X474" s="144" t="str">
        <f t="shared" si="164"/>
        <v/>
      </c>
      <c r="Y474" s="146"/>
      <c r="Z474" s="139">
        <f t="shared" si="150"/>
        <v>8130.6297226334709</v>
      </c>
      <c r="AA474" s="114">
        <v>447</v>
      </c>
      <c r="AB474" s="46">
        <f t="shared" si="159"/>
        <v>0</v>
      </c>
      <c r="AC474" s="46"/>
      <c r="AD474" s="49">
        <f t="shared" si="168"/>
        <v>43845.580400430597</v>
      </c>
      <c r="AE474" s="50"/>
      <c r="AF474" s="140"/>
      <c r="AG474" s="140"/>
      <c r="AH474" s="140">
        <f t="shared" si="151"/>
        <v>7312345.6207374875</v>
      </c>
      <c r="AI474" s="15"/>
      <c r="AN474" s="9"/>
      <c r="AO474" s="9"/>
      <c r="AP474" s="9"/>
    </row>
    <row r="475" spans="2:42" ht="12" hidden="1" customHeight="1" outlineLevel="1" x14ac:dyDescent="0.25">
      <c r="B475" s="143" t="str">
        <f t="shared" si="167"/>
        <v/>
      </c>
      <c r="C475" s="16">
        <f t="shared" si="152"/>
        <v>4670524.6792429062</v>
      </c>
      <c r="D475" s="16">
        <f t="shared" si="160"/>
        <v>9941.7347841936535</v>
      </c>
      <c r="E475" s="16">
        <f t="shared" si="161"/>
        <v>-1215.9341573340298</v>
      </c>
      <c r="F475" s="16">
        <f t="shared" si="162"/>
        <v>-595.17090422615252</v>
      </c>
      <c r="G475" s="16">
        <f t="shared" si="153"/>
        <v>0</v>
      </c>
      <c r="H475" s="16">
        <v>0</v>
      </c>
      <c r="I475" s="16">
        <v>0</v>
      </c>
      <c r="J475" s="16">
        <v>0</v>
      </c>
      <c r="K475" s="16">
        <f t="shared" si="154"/>
        <v>-2.8403857933078541E-191</v>
      </c>
      <c r="L475" s="16">
        <f t="shared" si="155"/>
        <v>1811.1050615601823</v>
      </c>
      <c r="M475" s="16">
        <f t="shared" ref="M475:M507" si="171">-E475-F475-G475-H475-I475-J475-K475</f>
        <v>1811.1050615601823</v>
      </c>
      <c r="N475" s="16">
        <f t="shared" ref="N475:N507" si="172">(D475/Rent_Occupancy)+E475+G475+(H475+I475+J475)+K475</f>
        <v>9140.0395762010266</v>
      </c>
      <c r="O475" s="16">
        <f t="shared" ref="O475:O507" si="173">D475+E475+F475+G475+(H475+I475+J475)</f>
        <v>8130.6297226334709</v>
      </c>
      <c r="P475" s="16">
        <f t="shared" si="156"/>
        <v>1.7752411208133597E-193</v>
      </c>
      <c r="Q475" s="16">
        <f t="shared" ref="Q475:Q507" si="174">C475-P475</f>
        <v>4670524.6792429062</v>
      </c>
      <c r="R475" s="16">
        <f t="shared" ref="R475:R507" si="175">IF(Net_Income_Toward_Loan="No",N475+F475,IF((N475+F475)&lt;0,(N475+F475),IF((N475+F475)+PI_Payment&gt;P475,D475+E475-P475,0)))</f>
        <v>8544.8686719748748</v>
      </c>
      <c r="S475" s="16" cm="1">
        <f t="array" ref="S475">Y475*tax_rate</f>
        <v>0</v>
      </c>
      <c r="T475" s="16">
        <f t="shared" si="157"/>
        <v>2964705.7734606769</v>
      </c>
      <c r="U475" s="16">
        <f t="shared" ref="U475:U507" si="176">Q475+T475</f>
        <v>7635230.4527035831</v>
      </c>
      <c r="V475" s="16"/>
      <c r="W475" s="144">
        <f t="shared" si="158"/>
        <v>0.11644396958889899</v>
      </c>
      <c r="X475" s="144" t="str">
        <f t="shared" si="164"/>
        <v/>
      </c>
      <c r="Y475" s="146"/>
      <c r="Z475" s="139">
        <f t="shared" ref="Z475:Z507" si="177">IF(D475+E475+F475+G475+H475+I475+J475&gt;-K475,D475+E475+F475+G475+H475+I475+J475,-K475)</f>
        <v>8130.6297226334709</v>
      </c>
      <c r="AA475" s="114">
        <v>448</v>
      </c>
      <c r="AB475" s="46">
        <f t="shared" si="159"/>
        <v>0</v>
      </c>
      <c r="AC475" s="47"/>
      <c r="AD475" s="49">
        <f t="shared" si="168"/>
        <v>44047.537682937458</v>
      </c>
      <c r="AE475" s="50"/>
      <c r="AF475" s="140"/>
      <c r="AG475" s="140"/>
      <c r="AH475" s="140">
        <f t="shared" ref="AH475:AH507" si="178">U475-(C475*Cost_of_Sale_Percentage)</f>
        <v>7354998.9719490083</v>
      </c>
      <c r="AI475" s="15"/>
      <c r="AN475" s="9"/>
      <c r="AO475" s="9"/>
      <c r="AP475" s="9"/>
    </row>
    <row r="476" spans="2:42" ht="12" hidden="1" customHeight="1" outlineLevel="1" x14ac:dyDescent="0.25">
      <c r="B476" s="143" t="str">
        <f t="shared" si="167"/>
        <v/>
      </c>
      <c r="C476" s="16">
        <f t="shared" ref="C476:C507" si="179">C475*(1+(Annual_Appreciation_Percentage/12))</f>
        <v>4693877.3026391203</v>
      </c>
      <c r="D476" s="16">
        <f t="shared" si="160"/>
        <v>9941.7347841936535</v>
      </c>
      <c r="E476" s="16">
        <f t="shared" si="161"/>
        <v>-1215.9341573340298</v>
      </c>
      <c r="F476" s="16">
        <f t="shared" si="162"/>
        <v>-595.17090422615252</v>
      </c>
      <c r="G476" s="16">
        <f t="shared" ref="G476:G507" si="180">IF(Other_Monthly_Cost_Months&gt;=AA476,-Other_Fixed_Monthly_Cost,0)</f>
        <v>0</v>
      </c>
      <c r="H476" s="16">
        <v>0</v>
      </c>
      <c r="I476" s="16">
        <v>0</v>
      </c>
      <c r="J476" s="16">
        <v>0</v>
      </c>
      <c r="K476" s="16">
        <f t="shared" ref="K476:K507" si="181">IF(P475&gt;PI_Payment,-PI_Payment,-P475)</f>
        <v>-1.7752411208133597E-193</v>
      </c>
      <c r="L476" s="16">
        <f t="shared" ref="L476:L507" si="182">-E476-F476-G476</f>
        <v>1811.1050615601823</v>
      </c>
      <c r="M476" s="16">
        <f t="shared" si="171"/>
        <v>1811.1050615601823</v>
      </c>
      <c r="N476" s="16">
        <f t="shared" si="172"/>
        <v>9140.0395762010266</v>
      </c>
      <c r="O476" s="16">
        <f t="shared" si="173"/>
        <v>8130.6297226334709</v>
      </c>
      <c r="P476" s="16">
        <f t="shared" ref="P476:P507" si="183">IF(Net_Income_Toward_Loan="No",-IF(FV(Loan_Rate/12,1,(K476),P475,0)&lt;0,FV(Loan_Rate/12,1,(K476),P475,0),0),-IF(FV(Loan_Rate/12,1,(-Z476),P475,0)&lt;0,FV(Loan_Rate/12,1,(-Z476),P475,0),0))</f>
        <v>1.1095257005058337E-195</v>
      </c>
      <c r="Q476" s="16">
        <f t="shared" si="174"/>
        <v>4693877.3026391203</v>
      </c>
      <c r="R476" s="16">
        <f t="shared" si="175"/>
        <v>8544.8686719748748</v>
      </c>
      <c r="S476" s="16" cm="1">
        <f t="array" ref="S476">Y476*tax_rate</f>
        <v>0</v>
      </c>
      <c r="T476" s="16">
        <f t="shared" ref="T476:T507" si="184">T475*(1+Time_Value_of_Money_Percentage/12)+R476+S476</f>
        <v>2985603.5828554048</v>
      </c>
      <c r="U476" s="16">
        <f t="shared" si="176"/>
        <v>7679480.8854945246</v>
      </c>
      <c r="V476" s="16"/>
      <c r="W476" s="144">
        <f t="shared" ref="W476:W507" si="185">RATE(AA476/12,0,-Total_Initial_Investment,U476,0)</f>
        <v>0.11634251791686277</v>
      </c>
      <c r="X476" s="144" t="str">
        <f t="shared" si="164"/>
        <v/>
      </c>
      <c r="Y476" s="146"/>
      <c r="Z476" s="139">
        <f t="shared" si="177"/>
        <v>8130.6297226334709</v>
      </c>
      <c r="AA476" s="114">
        <v>449</v>
      </c>
      <c r="AB476" s="46">
        <f t="shared" ref="AB476:AB507" si="186">IF(AA476&lt;Loan_Term*12,IPMT(Loan_Rate/12,1,(Loan_Term*12)-AA475,P475,0),0)</f>
        <v>0</v>
      </c>
      <c r="AC476" s="47"/>
      <c r="AD476" s="49">
        <f t="shared" si="168"/>
        <v>44250.432790941559</v>
      </c>
      <c r="AE476" s="50"/>
      <c r="AF476" s="140"/>
      <c r="AG476" s="140"/>
      <c r="AH476" s="140">
        <f t="shared" si="178"/>
        <v>7397848.2473361772</v>
      </c>
      <c r="AI476" s="15"/>
      <c r="AN476" s="9"/>
      <c r="AO476" s="9"/>
      <c r="AP476" s="9"/>
    </row>
    <row r="477" spans="2:42" ht="12" hidden="1" customHeight="1" outlineLevel="1" x14ac:dyDescent="0.25">
      <c r="B477" s="143" t="str">
        <f t="shared" si="167"/>
        <v/>
      </c>
      <c r="C477" s="16">
        <f t="shared" si="179"/>
        <v>4717346.6891523153</v>
      </c>
      <c r="D477" s="16">
        <f t="shared" ref="D477:D507" si="187">IF(MOD(AA477-1,12)&gt;0,D476,D476*(1+Annual_Rent_Increase_Percentage))</f>
        <v>9941.7347841936535</v>
      </c>
      <c r="E477" s="16">
        <f t="shared" ref="E477:E507" si="188">IF(MOD($AA477-1,12)&gt;0,E476,E476*(1+Annual_Inflation_Percentage))</f>
        <v>-1215.9341573340298</v>
      </c>
      <c r="F477" s="16">
        <f t="shared" ref="F477:F507" si="189">IF(MOD($AA477-1,12)&gt;0,F476,F476*(1+Annual_Inflation_Percentage))</f>
        <v>-595.17090422615252</v>
      </c>
      <c r="G477" s="16">
        <f t="shared" si="180"/>
        <v>0</v>
      </c>
      <c r="H477" s="16">
        <v>0</v>
      </c>
      <c r="I477" s="16">
        <v>0</v>
      </c>
      <c r="J477" s="16">
        <v>0</v>
      </c>
      <c r="K477" s="16">
        <f t="shared" si="181"/>
        <v>-1.1095257005058337E-195</v>
      </c>
      <c r="L477" s="16">
        <f t="shared" si="182"/>
        <v>1811.1050615601823</v>
      </c>
      <c r="M477" s="16">
        <f t="shared" si="171"/>
        <v>1811.1050615601823</v>
      </c>
      <c r="N477" s="16">
        <f t="shared" si="172"/>
        <v>9140.0395762010266</v>
      </c>
      <c r="O477" s="16">
        <f t="shared" si="173"/>
        <v>8130.6297226334709</v>
      </c>
      <c r="P477" s="16">
        <f t="shared" si="183"/>
        <v>6.9345356281457954E-198</v>
      </c>
      <c r="Q477" s="16">
        <f t="shared" si="174"/>
        <v>4717346.6891523153</v>
      </c>
      <c r="R477" s="16">
        <f t="shared" si="175"/>
        <v>8544.8686719748748</v>
      </c>
      <c r="S477" s="16" cm="1">
        <f t="array" ref="S477">Y477*tax_rate</f>
        <v>0</v>
      </c>
      <c r="T477" s="16">
        <f t="shared" si="184"/>
        <v>3006588.4664559439</v>
      </c>
      <c r="U477" s="16">
        <f t="shared" si="176"/>
        <v>7723935.1556082591</v>
      </c>
      <c r="V477" s="16"/>
      <c r="W477" s="144">
        <f t="shared" si="185"/>
        <v>0.11624132351792206</v>
      </c>
      <c r="X477" s="144" t="str">
        <f t="shared" si="164"/>
        <v/>
      </c>
      <c r="Y477" s="146"/>
      <c r="Z477" s="139">
        <f t="shared" si="177"/>
        <v>8130.6297226334709</v>
      </c>
      <c r="AA477" s="114">
        <v>450</v>
      </c>
      <c r="AB477" s="46">
        <f t="shared" si="186"/>
        <v>0</v>
      </c>
      <c r="AC477" s="47"/>
      <c r="AD477" s="49">
        <f t="shared" si="168"/>
        <v>44454.270113734528</v>
      </c>
      <c r="AE477" s="50"/>
      <c r="AF477" s="140"/>
      <c r="AG477" s="140"/>
      <c r="AH477" s="140">
        <f t="shared" si="178"/>
        <v>7440894.3542591203</v>
      </c>
      <c r="AI477" s="15"/>
      <c r="AN477" s="9"/>
      <c r="AO477" s="9"/>
      <c r="AP477" s="9"/>
    </row>
    <row r="478" spans="2:42" ht="12" hidden="1" customHeight="1" outlineLevel="1" x14ac:dyDescent="0.25">
      <c r="B478" s="143" t="str">
        <f t="shared" si="167"/>
        <v/>
      </c>
      <c r="C478" s="16">
        <f t="shared" si="179"/>
        <v>4740933.4225980761</v>
      </c>
      <c r="D478" s="16">
        <f t="shared" si="187"/>
        <v>9941.7347841936535</v>
      </c>
      <c r="E478" s="16">
        <f t="shared" si="188"/>
        <v>-1215.9341573340298</v>
      </c>
      <c r="F478" s="16">
        <f t="shared" si="189"/>
        <v>-595.17090422615252</v>
      </c>
      <c r="G478" s="16">
        <f t="shared" si="180"/>
        <v>0</v>
      </c>
      <c r="H478" s="16">
        <v>0</v>
      </c>
      <c r="I478" s="16">
        <v>0</v>
      </c>
      <c r="J478" s="16">
        <v>0</v>
      </c>
      <c r="K478" s="16">
        <f t="shared" si="181"/>
        <v>-6.9345356281457954E-198</v>
      </c>
      <c r="L478" s="16">
        <f t="shared" si="182"/>
        <v>1811.1050615601823</v>
      </c>
      <c r="M478" s="16">
        <f t="shared" si="171"/>
        <v>1811.1050615601823</v>
      </c>
      <c r="N478" s="16">
        <f t="shared" si="172"/>
        <v>9140.0395762010266</v>
      </c>
      <c r="O478" s="16">
        <f t="shared" si="173"/>
        <v>8130.6297226334709</v>
      </c>
      <c r="P478" s="16">
        <f t="shared" si="183"/>
        <v>4.3340847675813493E-200</v>
      </c>
      <c r="Q478" s="16">
        <f t="shared" si="174"/>
        <v>4740933.4225980761</v>
      </c>
      <c r="R478" s="16">
        <f t="shared" si="175"/>
        <v>8544.8686719748748</v>
      </c>
      <c r="S478" s="16" cm="1">
        <f t="array" ref="S478">Y478*tax_rate</f>
        <v>0</v>
      </c>
      <c r="T478" s="16">
        <f t="shared" si="184"/>
        <v>3027660.7870714855</v>
      </c>
      <c r="U478" s="16">
        <f t="shared" si="176"/>
        <v>7768594.2096695621</v>
      </c>
      <c r="V478" s="16"/>
      <c r="W478" s="144">
        <f t="shared" si="185"/>
        <v>0.11614038610401728</v>
      </c>
      <c r="X478" s="144" t="str">
        <f t="shared" si="164"/>
        <v/>
      </c>
      <c r="Y478" s="145"/>
      <c r="Z478" s="139">
        <f t="shared" si="177"/>
        <v>8130.6297226334709</v>
      </c>
      <c r="AA478" s="114">
        <v>451</v>
      </c>
      <c r="AB478" s="46">
        <f t="shared" si="186"/>
        <v>0</v>
      </c>
      <c r="AC478" s="46"/>
      <c r="AD478" s="49">
        <f t="shared" si="168"/>
        <v>44659.054061302915</v>
      </c>
      <c r="AE478" s="50"/>
      <c r="AF478" s="140"/>
      <c r="AG478" s="140"/>
      <c r="AH478" s="140">
        <f t="shared" si="178"/>
        <v>7484138.2043136777</v>
      </c>
      <c r="AI478" s="15"/>
      <c r="AN478" s="9"/>
      <c r="AO478" s="9"/>
      <c r="AP478" s="9"/>
    </row>
    <row r="479" spans="2:42" ht="12" hidden="1" customHeight="1" outlineLevel="1" x14ac:dyDescent="0.25">
      <c r="B479" s="143" t="str">
        <f t="shared" si="167"/>
        <v/>
      </c>
      <c r="C479" s="16">
        <f t="shared" si="179"/>
        <v>4764638.0897110663</v>
      </c>
      <c r="D479" s="16">
        <f t="shared" si="187"/>
        <v>9941.7347841936535</v>
      </c>
      <c r="E479" s="16">
        <f t="shared" si="188"/>
        <v>-1215.9341573340298</v>
      </c>
      <c r="F479" s="16">
        <f t="shared" si="189"/>
        <v>-595.17090422615252</v>
      </c>
      <c r="G479" s="16">
        <f t="shared" si="180"/>
        <v>0</v>
      </c>
      <c r="H479" s="16">
        <v>0</v>
      </c>
      <c r="I479" s="16">
        <v>0</v>
      </c>
      <c r="J479" s="16">
        <v>0</v>
      </c>
      <c r="K479" s="16">
        <f t="shared" si="181"/>
        <v>-4.3340847675813493E-200</v>
      </c>
      <c r="L479" s="16">
        <f t="shared" si="182"/>
        <v>1811.1050615601823</v>
      </c>
      <c r="M479" s="16">
        <f t="shared" si="171"/>
        <v>1811.1050615601823</v>
      </c>
      <c r="N479" s="16">
        <f t="shared" si="172"/>
        <v>9140.0395762010266</v>
      </c>
      <c r="O479" s="16">
        <f t="shared" si="173"/>
        <v>8130.6297226334709</v>
      </c>
      <c r="P479" s="16">
        <f t="shared" si="183"/>
        <v>2.7088029797322516E-202</v>
      </c>
      <c r="Q479" s="16">
        <f t="shared" si="174"/>
        <v>4764638.0897110663</v>
      </c>
      <c r="R479" s="16">
        <f t="shared" si="175"/>
        <v>8544.8686719748748</v>
      </c>
      <c r="S479" s="16" cm="1">
        <f t="array" ref="S479">Y479*tax_rate</f>
        <v>0</v>
      </c>
      <c r="T479" s="16">
        <f t="shared" si="184"/>
        <v>3048820.909022925</v>
      </c>
      <c r="U479" s="16">
        <f t="shared" si="176"/>
        <v>7813458.9987339918</v>
      </c>
      <c r="V479" s="16"/>
      <c r="W479" s="144">
        <f t="shared" si="185"/>
        <v>0.11603970537664862</v>
      </c>
      <c r="X479" s="144" t="str">
        <f t="shared" si="164"/>
        <v/>
      </c>
      <c r="Y479" s="145"/>
      <c r="Z479" s="139">
        <f t="shared" si="177"/>
        <v>8130.6297226334709</v>
      </c>
      <c r="AA479" s="114">
        <v>452</v>
      </c>
      <c r="AB479" s="46">
        <f t="shared" si="186"/>
        <v>0</v>
      </c>
      <c r="AC479" s="46"/>
      <c r="AD479" s="49">
        <f t="shared" si="168"/>
        <v>44864.7890644297</v>
      </c>
      <c r="AE479" s="50"/>
      <c r="AF479" s="140"/>
      <c r="AG479" s="140"/>
      <c r="AH479" s="140">
        <f t="shared" si="178"/>
        <v>7527580.7133513279</v>
      </c>
      <c r="AI479" s="15"/>
      <c r="AN479" s="9"/>
      <c r="AO479" s="9"/>
      <c r="AP479" s="9"/>
    </row>
    <row r="480" spans="2:42" ht="12" hidden="1" customHeight="1" outlineLevel="1" x14ac:dyDescent="0.25">
      <c r="B480" s="143" t="str">
        <f t="shared" si="167"/>
        <v/>
      </c>
      <c r="C480" s="16">
        <f t="shared" si="179"/>
        <v>4788461.2801596215</v>
      </c>
      <c r="D480" s="16">
        <f t="shared" si="187"/>
        <v>9941.7347841936535</v>
      </c>
      <c r="E480" s="16">
        <f t="shared" si="188"/>
        <v>-1215.9341573340298</v>
      </c>
      <c r="F480" s="16">
        <f t="shared" si="189"/>
        <v>-595.17090422615252</v>
      </c>
      <c r="G480" s="16">
        <f t="shared" si="180"/>
        <v>0</v>
      </c>
      <c r="H480" s="16">
        <v>0</v>
      </c>
      <c r="I480" s="16">
        <v>0</v>
      </c>
      <c r="J480" s="16">
        <v>0</v>
      </c>
      <c r="K480" s="16">
        <f t="shared" si="181"/>
        <v>-2.7088029797322516E-202</v>
      </c>
      <c r="L480" s="16">
        <f t="shared" si="182"/>
        <v>1811.1050615601823</v>
      </c>
      <c r="M480" s="16">
        <f t="shared" si="171"/>
        <v>1811.1050615601823</v>
      </c>
      <c r="N480" s="16">
        <f t="shared" si="172"/>
        <v>9140.0395762010266</v>
      </c>
      <c r="O480" s="16">
        <f t="shared" si="173"/>
        <v>8130.6297226334709</v>
      </c>
      <c r="P480" s="16">
        <f t="shared" si="183"/>
        <v>1.6930018623288499E-204</v>
      </c>
      <c r="Q480" s="16">
        <f t="shared" si="174"/>
        <v>4788461.2801596215</v>
      </c>
      <c r="R480" s="16">
        <f t="shared" si="175"/>
        <v>8544.8686719748748</v>
      </c>
      <c r="S480" s="16" cm="1">
        <f t="array" ref="S480">Y480*tax_rate</f>
        <v>0</v>
      </c>
      <c r="T480" s="16">
        <f t="shared" si="184"/>
        <v>3070069.1981491623</v>
      </c>
      <c r="U480" s="16">
        <f t="shared" si="176"/>
        <v>7858530.4783087838</v>
      </c>
      <c r="V480" s="16"/>
      <c r="W480" s="144">
        <f t="shared" si="185"/>
        <v>0.11593928102714263</v>
      </c>
      <c r="X480" s="144" t="str">
        <f t="shared" si="164"/>
        <v/>
      </c>
      <c r="Y480" s="146"/>
      <c r="Z480" s="139">
        <f t="shared" si="177"/>
        <v>8130.6297226334709</v>
      </c>
      <c r="AA480" s="114">
        <v>453</v>
      </c>
      <c r="AB480" s="46">
        <f t="shared" si="186"/>
        <v>0</v>
      </c>
      <c r="AC480" s="47"/>
      <c r="AD480" s="49">
        <f t="shared" si="168"/>
        <v>45071.479574792087</v>
      </c>
      <c r="AE480" s="50"/>
      <c r="AF480" s="140"/>
      <c r="AG480" s="140"/>
      <c r="AH480" s="140">
        <f t="shared" si="178"/>
        <v>7571222.8014992066</v>
      </c>
      <c r="AI480" s="15"/>
      <c r="AN480" s="9"/>
      <c r="AO480" s="9"/>
      <c r="AP480" s="9"/>
    </row>
    <row r="481" spans="2:42" ht="12" hidden="1" customHeight="1" outlineLevel="1" x14ac:dyDescent="0.25">
      <c r="B481" s="143" t="str">
        <f t="shared" si="167"/>
        <v/>
      </c>
      <c r="C481" s="16">
        <f t="shared" si="179"/>
        <v>4812403.5865604188</v>
      </c>
      <c r="D481" s="16">
        <f t="shared" si="187"/>
        <v>9941.7347841936535</v>
      </c>
      <c r="E481" s="16">
        <f t="shared" si="188"/>
        <v>-1215.9341573340298</v>
      </c>
      <c r="F481" s="16">
        <f t="shared" si="189"/>
        <v>-595.17090422615252</v>
      </c>
      <c r="G481" s="16">
        <f t="shared" si="180"/>
        <v>0</v>
      </c>
      <c r="H481" s="16">
        <v>0</v>
      </c>
      <c r="I481" s="16">
        <v>0</v>
      </c>
      <c r="J481" s="16">
        <v>0</v>
      </c>
      <c r="K481" s="16">
        <f t="shared" si="181"/>
        <v>-1.6930018623288499E-204</v>
      </c>
      <c r="L481" s="16">
        <f t="shared" si="182"/>
        <v>1811.1050615601823</v>
      </c>
      <c r="M481" s="16">
        <f t="shared" si="171"/>
        <v>1811.1050615601823</v>
      </c>
      <c r="N481" s="16">
        <f t="shared" si="172"/>
        <v>9140.0395762010266</v>
      </c>
      <c r="O481" s="16">
        <f t="shared" si="173"/>
        <v>8130.6297226334709</v>
      </c>
      <c r="P481" s="16">
        <f t="shared" si="183"/>
        <v>1.0581261639531233E-206</v>
      </c>
      <c r="Q481" s="16">
        <f t="shared" si="174"/>
        <v>4812403.5865604188</v>
      </c>
      <c r="R481" s="16">
        <f t="shared" si="175"/>
        <v>8544.8686719748748</v>
      </c>
      <c r="S481" s="16" cm="1">
        <f t="array" ref="S481">Y481*tax_rate</f>
        <v>0</v>
      </c>
      <c r="T481" s="16">
        <f t="shared" si="184"/>
        <v>3091406.0218134257</v>
      </c>
      <c r="U481" s="16">
        <f t="shared" si="176"/>
        <v>7903809.608373845</v>
      </c>
      <c r="V481" s="16"/>
      <c r="W481" s="144">
        <f t="shared" si="185"/>
        <v>0.11583911273691533</v>
      </c>
      <c r="X481" s="144" t="str">
        <f t="shared" si="164"/>
        <v/>
      </c>
      <c r="Y481" s="146"/>
      <c r="Z481" s="139">
        <f t="shared" si="177"/>
        <v>8130.6297226334709</v>
      </c>
      <c r="AA481" s="114">
        <v>454</v>
      </c>
      <c r="AB481" s="46">
        <f t="shared" si="186"/>
        <v>0</v>
      </c>
      <c r="AC481" s="47"/>
      <c r="AD481" s="49">
        <f t="shared" si="168"/>
        <v>45279.130065061152</v>
      </c>
      <c r="AE481" s="50"/>
      <c r="AF481" s="140"/>
      <c r="AG481" s="140"/>
      <c r="AH481" s="140">
        <f t="shared" si="178"/>
        <v>7615065.3931802195</v>
      </c>
      <c r="AI481" s="15"/>
      <c r="AN481" s="9"/>
      <c r="AO481" s="9"/>
      <c r="AP481" s="9"/>
    </row>
    <row r="482" spans="2:42" ht="12" hidden="1" customHeight="1" outlineLevel="1" x14ac:dyDescent="0.25">
      <c r="B482" s="143" t="str">
        <f t="shared" si="167"/>
        <v/>
      </c>
      <c r="C482" s="16">
        <f t="shared" si="179"/>
        <v>4836465.6044932203</v>
      </c>
      <c r="D482" s="16">
        <f t="shared" si="187"/>
        <v>9941.7347841936535</v>
      </c>
      <c r="E482" s="16">
        <f t="shared" si="188"/>
        <v>-1215.9341573340298</v>
      </c>
      <c r="F482" s="16">
        <f t="shared" si="189"/>
        <v>-595.17090422615252</v>
      </c>
      <c r="G482" s="16">
        <f t="shared" si="180"/>
        <v>0</v>
      </c>
      <c r="H482" s="16">
        <v>0</v>
      </c>
      <c r="I482" s="16">
        <v>0</v>
      </c>
      <c r="J482" s="16">
        <v>0</v>
      </c>
      <c r="K482" s="16">
        <f t="shared" si="181"/>
        <v>-1.0581261639531233E-206</v>
      </c>
      <c r="L482" s="16">
        <f t="shared" si="182"/>
        <v>1811.1050615601823</v>
      </c>
      <c r="M482" s="16">
        <f t="shared" si="171"/>
        <v>1811.1050615601823</v>
      </c>
      <c r="N482" s="16">
        <f t="shared" si="172"/>
        <v>9140.0395762010266</v>
      </c>
      <c r="O482" s="16">
        <f t="shared" si="173"/>
        <v>8130.6297226334709</v>
      </c>
      <c r="P482" s="16">
        <f t="shared" si="183"/>
        <v>6.6132885246920815E-209</v>
      </c>
      <c r="Q482" s="16">
        <f t="shared" si="174"/>
        <v>4836465.6044932203</v>
      </c>
      <c r="R482" s="16">
        <f t="shared" si="175"/>
        <v>8544.8686719748748</v>
      </c>
      <c r="S482" s="16" cm="1">
        <f t="array" ref="S482">Y482*tax_rate</f>
        <v>0</v>
      </c>
      <c r="T482" s="16">
        <f t="shared" si="184"/>
        <v>3112831.7489096234</v>
      </c>
      <c r="U482" s="16">
        <f t="shared" si="176"/>
        <v>7949297.3534028437</v>
      </c>
      <c r="V482" s="16"/>
      <c r="W482" s="144">
        <f t="shared" si="185"/>
        <v>0.11573920017772613</v>
      </c>
      <c r="X482" s="144" t="str">
        <f t="shared" si="164"/>
        <v/>
      </c>
      <c r="Y482" s="146"/>
      <c r="Z482" s="139">
        <f t="shared" si="177"/>
        <v>8130.6297226334709</v>
      </c>
      <c r="AA482" s="114">
        <v>455</v>
      </c>
      <c r="AB482" s="46">
        <f t="shared" si="186"/>
        <v>0</v>
      </c>
      <c r="AC482" s="47"/>
      <c r="AD482" s="49">
        <f t="shared" si="168"/>
        <v>45487.745028998703</v>
      </c>
      <c r="AE482" s="50"/>
      <c r="AF482" s="140"/>
      <c r="AG482" s="140"/>
      <c r="AH482" s="140">
        <f t="shared" si="178"/>
        <v>7659109.4171332503</v>
      </c>
      <c r="AI482" s="15"/>
      <c r="AN482" s="9"/>
      <c r="AO482" s="9"/>
      <c r="AP482" s="9"/>
    </row>
    <row r="483" spans="2:42" ht="15" customHeight="1" collapsed="1" x14ac:dyDescent="0.25">
      <c r="B483" s="143">
        <f t="shared" si="167"/>
        <v>38</v>
      </c>
      <c r="C483" s="16">
        <f t="shared" si="179"/>
        <v>4860647.9325156864</v>
      </c>
      <c r="D483" s="16">
        <f t="shared" si="187"/>
        <v>9941.7347841936535</v>
      </c>
      <c r="E483" s="16">
        <f t="shared" si="188"/>
        <v>-1215.9341573340298</v>
      </c>
      <c r="F483" s="16">
        <f t="shared" si="189"/>
        <v>-595.17090422615252</v>
      </c>
      <c r="G483" s="16">
        <f t="shared" si="180"/>
        <v>0</v>
      </c>
      <c r="H483" s="16">
        <v>0</v>
      </c>
      <c r="I483" s="16">
        <v>0</v>
      </c>
      <c r="J483" s="16">
        <v>0</v>
      </c>
      <c r="K483" s="16">
        <f t="shared" si="181"/>
        <v>-6.6132885246920815E-209</v>
      </c>
      <c r="L483" s="16">
        <f t="shared" si="182"/>
        <v>1811.1050615601823</v>
      </c>
      <c r="M483" s="16">
        <f t="shared" si="171"/>
        <v>1811.1050615601823</v>
      </c>
      <c r="N483" s="16">
        <f t="shared" si="172"/>
        <v>9140.0395762010266</v>
      </c>
      <c r="O483" s="16">
        <f t="shared" si="173"/>
        <v>8130.6297226334709</v>
      </c>
      <c r="P483" s="16">
        <f t="shared" si="183"/>
        <v>4.1333053279232574E-211</v>
      </c>
      <c r="Q483" s="16">
        <f t="shared" si="174"/>
        <v>4860647.9325156864</v>
      </c>
      <c r="R483" s="16">
        <f t="shared" si="175"/>
        <v>8544.8686719748748</v>
      </c>
      <c r="S483" s="16" cm="1">
        <f t="array" ref="S483">Y483*tax_rate</f>
        <v>6410.0661753618388</v>
      </c>
      <c r="T483" s="16">
        <f t="shared" si="184"/>
        <v>3140756.8160440833</v>
      </c>
      <c r="U483" s="16">
        <f t="shared" si="176"/>
        <v>8001404.7485597692</v>
      </c>
      <c r="V483" s="16">
        <f t="shared" si="166"/>
        <v>541156.4323719386</v>
      </c>
      <c r="W483" s="144">
        <f t="shared" si="185"/>
        <v>0.1156630726460595</v>
      </c>
      <c r="X483" s="144">
        <f t="shared" si="164"/>
        <v>7.2538662177999494E-2</v>
      </c>
      <c r="Y483" s="145">
        <f>(((Sale_Price*0.8)+Improvement_Costs+Closing_Costs_Total)/27.5)+(-E483*12)+-AC483</f>
        <v>29136.664433462902</v>
      </c>
      <c r="Z483" s="139">
        <f t="shared" si="177"/>
        <v>8130.6297226334709</v>
      </c>
      <c r="AA483" s="114">
        <v>456</v>
      </c>
      <c r="AB483" s="46">
        <f t="shared" si="186"/>
        <v>0</v>
      </c>
      <c r="AC483" s="46">
        <f t="shared" ref="AC483" si="190">SUM(AB472:AB483)</f>
        <v>0</v>
      </c>
      <c r="AD483" s="49">
        <f t="shared" si="168"/>
        <v>52107.395156925544</v>
      </c>
      <c r="AE483" s="50">
        <f>D483*12</f>
        <v>119300.81741032384</v>
      </c>
      <c r="AF483" s="140"/>
      <c r="AG483" s="140"/>
      <c r="AH483" s="140">
        <f t="shared" si="178"/>
        <v>7709765.8726088284</v>
      </c>
      <c r="AI483" s="15">
        <f>AI471*(1+Comparison_Rate_of_Return)</f>
        <v>4675542.9305967037</v>
      </c>
      <c r="AN483" s="9"/>
      <c r="AO483" s="9"/>
      <c r="AP483" s="9"/>
    </row>
    <row r="484" spans="2:42" ht="12" hidden="1" customHeight="1" outlineLevel="1" x14ac:dyDescent="0.25">
      <c r="B484" s="143" t="str">
        <f t="shared" si="167"/>
        <v/>
      </c>
      <c r="C484" s="16">
        <f t="shared" si="179"/>
        <v>4884951.1721782647</v>
      </c>
      <c r="D484" s="16">
        <f t="shared" si="187"/>
        <v>10289.69550164043</v>
      </c>
      <c r="E484" s="16">
        <f t="shared" si="188"/>
        <v>-1258.4918528407206</v>
      </c>
      <c r="F484" s="16">
        <f t="shared" si="189"/>
        <v>-616.00188587406785</v>
      </c>
      <c r="G484" s="16">
        <f t="shared" si="180"/>
        <v>0</v>
      </c>
      <c r="H484" s="16">
        <v>0</v>
      </c>
      <c r="I484" s="16">
        <v>0</v>
      </c>
      <c r="J484" s="16">
        <v>0</v>
      </c>
      <c r="K484" s="16">
        <f t="shared" si="181"/>
        <v>-4.1333053279232574E-211</v>
      </c>
      <c r="L484" s="16">
        <f t="shared" si="182"/>
        <v>1874.4937387147884</v>
      </c>
      <c r="M484" s="16">
        <f t="shared" si="171"/>
        <v>1874.4937387147884</v>
      </c>
      <c r="N484" s="16">
        <f t="shared" si="172"/>
        <v>9459.9409613680618</v>
      </c>
      <c r="O484" s="16">
        <f t="shared" si="173"/>
        <v>8415.2017629256425</v>
      </c>
      <c r="P484" s="16">
        <f t="shared" si="183"/>
        <v>2.583315829946143E-213</v>
      </c>
      <c r="Q484" s="16">
        <f t="shared" si="174"/>
        <v>4884951.1721782647</v>
      </c>
      <c r="R484" s="16">
        <f t="shared" si="175"/>
        <v>8843.9390754939941</v>
      </c>
      <c r="S484" s="16" cm="1">
        <f t="array" ref="S484">Y484*tax_rate</f>
        <v>0</v>
      </c>
      <c r="T484" s="16">
        <f t="shared" si="184"/>
        <v>3162687.2418530947</v>
      </c>
      <c r="U484" s="16">
        <f t="shared" si="176"/>
        <v>8047638.4140313594</v>
      </c>
      <c r="V484" s="16"/>
      <c r="W484" s="144">
        <f t="shared" si="185"/>
        <v>0.11556466879908842</v>
      </c>
      <c r="X484" s="144" t="str">
        <f t="shared" si="164"/>
        <v/>
      </c>
      <c r="Y484" s="146"/>
      <c r="Z484" s="139">
        <f t="shared" si="177"/>
        <v>8415.2017629256425</v>
      </c>
      <c r="AA484" s="114">
        <v>457</v>
      </c>
      <c r="AB484" s="46">
        <f t="shared" si="186"/>
        <v>0</v>
      </c>
      <c r="AC484" s="47"/>
      <c r="AD484" s="49">
        <f t="shared" si="168"/>
        <v>46233.665471590124</v>
      </c>
      <c r="AE484" s="50"/>
      <c r="AF484" s="140"/>
      <c r="AG484" s="140"/>
      <c r="AH484" s="140">
        <f t="shared" si="178"/>
        <v>7754541.3437006632</v>
      </c>
      <c r="AI484" s="15"/>
      <c r="AN484" s="9"/>
      <c r="AO484" s="9"/>
      <c r="AP484" s="9"/>
    </row>
    <row r="485" spans="2:42" ht="12" hidden="1" customHeight="1" outlineLevel="1" x14ac:dyDescent="0.25">
      <c r="B485" s="143" t="str">
        <f t="shared" si="167"/>
        <v/>
      </c>
      <c r="C485" s="16">
        <f t="shared" si="179"/>
        <v>4909375.9280391559</v>
      </c>
      <c r="D485" s="16">
        <f t="shared" si="187"/>
        <v>10289.69550164043</v>
      </c>
      <c r="E485" s="16">
        <f t="shared" si="188"/>
        <v>-1258.4918528407206</v>
      </c>
      <c r="F485" s="16">
        <f t="shared" si="189"/>
        <v>-616.00188587406785</v>
      </c>
      <c r="G485" s="16">
        <f t="shared" si="180"/>
        <v>0</v>
      </c>
      <c r="H485" s="16">
        <v>0</v>
      </c>
      <c r="I485" s="16">
        <v>0</v>
      </c>
      <c r="J485" s="16">
        <v>0</v>
      </c>
      <c r="K485" s="16">
        <f t="shared" si="181"/>
        <v>-2.583315829946143E-213</v>
      </c>
      <c r="L485" s="16">
        <f t="shared" si="182"/>
        <v>1874.4937387147884</v>
      </c>
      <c r="M485" s="16">
        <f t="shared" si="171"/>
        <v>1874.4937387147884</v>
      </c>
      <c r="N485" s="16">
        <f t="shared" si="172"/>
        <v>9459.9409613680618</v>
      </c>
      <c r="O485" s="16">
        <f t="shared" si="173"/>
        <v>8415.2017629256425</v>
      </c>
      <c r="P485" s="16">
        <f t="shared" si="183"/>
        <v>1.6145723937126919E-215</v>
      </c>
      <c r="Q485" s="16">
        <f t="shared" si="174"/>
        <v>4909375.9280391559</v>
      </c>
      <c r="R485" s="16">
        <f t="shared" si="175"/>
        <v>8843.9390754939941</v>
      </c>
      <c r="S485" s="16" cm="1">
        <f t="array" ref="S485">Y485*tax_rate</f>
        <v>0</v>
      </c>
      <c r="T485" s="16">
        <f t="shared" si="184"/>
        <v>3184709.04443631</v>
      </c>
      <c r="U485" s="16">
        <f t="shared" si="176"/>
        <v>8094084.9724754654</v>
      </c>
      <c r="V485" s="16"/>
      <c r="W485" s="144">
        <f t="shared" si="185"/>
        <v>0.11546650738534758</v>
      </c>
      <c r="X485" s="144" t="str">
        <f t="shared" si="164"/>
        <v/>
      </c>
      <c r="Y485" s="146"/>
      <c r="Z485" s="139">
        <f t="shared" si="177"/>
        <v>8415.2017629256425</v>
      </c>
      <c r="AA485" s="114">
        <v>458</v>
      </c>
      <c r="AB485" s="46">
        <f t="shared" si="186"/>
        <v>0</v>
      </c>
      <c r="AC485" s="47"/>
      <c r="AD485" s="49">
        <f t="shared" si="168"/>
        <v>46446.55844410602</v>
      </c>
      <c r="AE485" s="50"/>
      <c r="AF485" s="140"/>
      <c r="AG485" s="140"/>
      <c r="AH485" s="140">
        <f t="shared" si="178"/>
        <v>7799522.4167931164</v>
      </c>
      <c r="AI485" s="15"/>
      <c r="AN485" s="9"/>
      <c r="AO485" s="9"/>
      <c r="AP485" s="9"/>
    </row>
    <row r="486" spans="2:42" ht="12" hidden="1" customHeight="1" outlineLevel="1" x14ac:dyDescent="0.25">
      <c r="B486" s="143" t="str">
        <f t="shared" si="167"/>
        <v/>
      </c>
      <c r="C486" s="16">
        <f t="shared" si="179"/>
        <v>4933922.8076793514</v>
      </c>
      <c r="D486" s="16">
        <f t="shared" si="187"/>
        <v>10289.69550164043</v>
      </c>
      <c r="E486" s="16">
        <f t="shared" si="188"/>
        <v>-1258.4918528407206</v>
      </c>
      <c r="F486" s="16">
        <f t="shared" si="189"/>
        <v>-616.00188587406785</v>
      </c>
      <c r="G486" s="16">
        <f t="shared" si="180"/>
        <v>0</v>
      </c>
      <c r="H486" s="16">
        <v>0</v>
      </c>
      <c r="I486" s="16">
        <v>0</v>
      </c>
      <c r="J486" s="16">
        <v>0</v>
      </c>
      <c r="K486" s="16">
        <f t="shared" si="181"/>
        <v>-1.6145723937126919E-215</v>
      </c>
      <c r="L486" s="16">
        <f t="shared" si="182"/>
        <v>1874.4937387147884</v>
      </c>
      <c r="M486" s="16">
        <f t="shared" si="171"/>
        <v>1874.4937387147884</v>
      </c>
      <c r="N486" s="16">
        <f t="shared" si="172"/>
        <v>9459.9409613680618</v>
      </c>
      <c r="O486" s="16">
        <f t="shared" si="173"/>
        <v>8415.2017629256425</v>
      </c>
      <c r="P486" s="16">
        <f t="shared" si="183"/>
        <v>1.0091077460681549E-217</v>
      </c>
      <c r="Q486" s="16">
        <f t="shared" si="174"/>
        <v>4933922.8076793514</v>
      </c>
      <c r="R486" s="16">
        <f t="shared" si="175"/>
        <v>8843.9390754939941</v>
      </c>
      <c r="S486" s="16" cm="1">
        <f t="array" ref="S486">Y486*tax_rate</f>
        <v>0</v>
      </c>
      <c r="T486" s="16">
        <f t="shared" si="184"/>
        <v>3206822.6045302888</v>
      </c>
      <c r="U486" s="16">
        <f t="shared" si="176"/>
        <v>8140745.4122096403</v>
      </c>
      <c r="V486" s="16"/>
      <c r="W486" s="144">
        <f t="shared" si="185"/>
        <v>0.11536858819040874</v>
      </c>
      <c r="X486" s="144" t="str">
        <f t="shared" si="164"/>
        <v/>
      </c>
      <c r="Y486" s="146"/>
      <c r="Z486" s="139">
        <f t="shared" si="177"/>
        <v>8415.2017629256425</v>
      </c>
      <c r="AA486" s="114">
        <v>459</v>
      </c>
      <c r="AB486" s="46">
        <f t="shared" si="186"/>
        <v>0</v>
      </c>
      <c r="AC486" s="46"/>
      <c r="AD486" s="49">
        <f t="shared" si="168"/>
        <v>46660.43973417487</v>
      </c>
      <c r="AE486" s="50"/>
      <c r="AF486" s="140"/>
      <c r="AG486" s="140"/>
      <c r="AH486" s="140">
        <f t="shared" si="178"/>
        <v>7844710.0437488789</v>
      </c>
      <c r="AI486" s="15"/>
      <c r="AN486" s="9"/>
      <c r="AO486" s="9"/>
      <c r="AP486" s="9"/>
    </row>
    <row r="487" spans="2:42" ht="12" hidden="1" customHeight="1" outlineLevel="1" x14ac:dyDescent="0.25">
      <c r="B487" s="143" t="str">
        <f t="shared" si="167"/>
        <v/>
      </c>
      <c r="C487" s="16">
        <f t="shared" si="179"/>
        <v>4958592.421717748</v>
      </c>
      <c r="D487" s="16">
        <f t="shared" si="187"/>
        <v>10289.69550164043</v>
      </c>
      <c r="E487" s="16">
        <f t="shared" si="188"/>
        <v>-1258.4918528407206</v>
      </c>
      <c r="F487" s="16">
        <f t="shared" si="189"/>
        <v>-616.00188587406785</v>
      </c>
      <c r="G487" s="16">
        <f t="shared" si="180"/>
        <v>0</v>
      </c>
      <c r="H487" s="16">
        <v>0</v>
      </c>
      <c r="I487" s="16">
        <v>0</v>
      </c>
      <c r="J487" s="16">
        <v>0</v>
      </c>
      <c r="K487" s="16">
        <f t="shared" si="181"/>
        <v>-1.0091077460681549E-217</v>
      </c>
      <c r="L487" s="16">
        <f t="shared" si="182"/>
        <v>1874.4937387147884</v>
      </c>
      <c r="M487" s="16">
        <f t="shared" si="171"/>
        <v>1874.4937387147884</v>
      </c>
      <c r="N487" s="16">
        <f t="shared" si="172"/>
        <v>9459.9409613680618</v>
      </c>
      <c r="O487" s="16">
        <f t="shared" si="173"/>
        <v>8415.2017629256425</v>
      </c>
      <c r="P487" s="16">
        <f t="shared" si="183"/>
        <v>6.3069234129116766E-220</v>
      </c>
      <c r="Q487" s="16">
        <f t="shared" si="174"/>
        <v>4958592.421717748</v>
      </c>
      <c r="R487" s="16">
        <f t="shared" si="175"/>
        <v>8843.9390754939941</v>
      </c>
      <c r="S487" s="16" cm="1">
        <f t="array" ref="S487">Y487*tax_rate</f>
        <v>0</v>
      </c>
      <c r="T487" s="16">
        <f t="shared" si="184"/>
        <v>3229028.3044579923</v>
      </c>
      <c r="U487" s="16">
        <f t="shared" si="176"/>
        <v>8187620.7261757404</v>
      </c>
      <c r="V487" s="16"/>
      <c r="W487" s="144">
        <f t="shared" si="185"/>
        <v>0.11527091098928859</v>
      </c>
      <c r="X487" s="144" t="str">
        <f t="shared" si="164"/>
        <v/>
      </c>
      <c r="Y487" s="146"/>
      <c r="Z487" s="139">
        <f t="shared" si="177"/>
        <v>8415.2017629256425</v>
      </c>
      <c r="AA487" s="114">
        <v>460</v>
      </c>
      <c r="AB487" s="46">
        <f t="shared" si="186"/>
        <v>0</v>
      </c>
      <c r="AC487" s="46"/>
      <c r="AD487" s="49">
        <f t="shared" si="168"/>
        <v>46875.313966100104</v>
      </c>
      <c r="AE487" s="50"/>
      <c r="AF487" s="140"/>
      <c r="AG487" s="140"/>
      <c r="AH487" s="140">
        <f t="shared" si="178"/>
        <v>7890105.180872675</v>
      </c>
      <c r="AI487" s="15"/>
      <c r="AN487" s="9"/>
      <c r="AO487" s="9"/>
      <c r="AP487" s="9"/>
    </row>
    <row r="488" spans="2:42" ht="12" hidden="1" customHeight="1" outlineLevel="1" x14ac:dyDescent="0.25">
      <c r="B488" s="143" t="str">
        <f t="shared" si="167"/>
        <v/>
      </c>
      <c r="C488" s="16">
        <f t="shared" si="179"/>
        <v>4983385.3838263359</v>
      </c>
      <c r="D488" s="16">
        <f t="shared" si="187"/>
        <v>10289.69550164043</v>
      </c>
      <c r="E488" s="16">
        <f t="shared" si="188"/>
        <v>-1258.4918528407206</v>
      </c>
      <c r="F488" s="16">
        <f t="shared" si="189"/>
        <v>-616.00188587406785</v>
      </c>
      <c r="G488" s="16">
        <f t="shared" si="180"/>
        <v>0</v>
      </c>
      <c r="H488" s="16">
        <v>0</v>
      </c>
      <c r="I488" s="16">
        <v>0</v>
      </c>
      <c r="J488" s="16">
        <v>0</v>
      </c>
      <c r="K488" s="16">
        <f t="shared" si="181"/>
        <v>-6.3069234129116766E-220</v>
      </c>
      <c r="L488" s="16">
        <f t="shared" si="182"/>
        <v>1874.4937387147884</v>
      </c>
      <c r="M488" s="16">
        <f t="shared" si="171"/>
        <v>1874.4937387147884</v>
      </c>
      <c r="N488" s="16">
        <f t="shared" si="172"/>
        <v>9459.9409613680618</v>
      </c>
      <c r="O488" s="16">
        <f t="shared" si="173"/>
        <v>8415.2017629256425</v>
      </c>
      <c r="P488" s="16">
        <f t="shared" si="183"/>
        <v>3.9418271330608658E-222</v>
      </c>
      <c r="Q488" s="16">
        <f t="shared" si="174"/>
        <v>4983385.3838263359</v>
      </c>
      <c r="R488" s="16">
        <f t="shared" si="175"/>
        <v>8843.9390754939941</v>
      </c>
      <c r="S488" s="16" cm="1">
        <f t="array" ref="S488">Y488*tax_rate</f>
        <v>0</v>
      </c>
      <c r="T488" s="16">
        <f t="shared" si="184"/>
        <v>3251326.5281353947</v>
      </c>
      <c r="U488" s="16">
        <f t="shared" si="176"/>
        <v>8234711.9119617306</v>
      </c>
      <c r="V488" s="16"/>
      <c r="W488" s="144">
        <f t="shared" si="185"/>
        <v>0.11517347554670872</v>
      </c>
      <c r="X488" s="144" t="str">
        <f t="shared" ref="X488:X507" si="191">IF(V488=0,"",V488/U476)</f>
        <v/>
      </c>
      <c r="Y488" s="146"/>
      <c r="Z488" s="139">
        <f t="shared" si="177"/>
        <v>8415.2017629256425</v>
      </c>
      <c r="AA488" s="114">
        <v>461</v>
      </c>
      <c r="AB488" s="46">
        <f t="shared" si="186"/>
        <v>0</v>
      </c>
      <c r="AC488" s="47"/>
      <c r="AD488" s="49">
        <f t="shared" si="168"/>
        <v>47091.185785990208</v>
      </c>
      <c r="AE488" s="50"/>
      <c r="AF488" s="140"/>
      <c r="AG488" s="140"/>
      <c r="AH488" s="140">
        <f t="shared" si="178"/>
        <v>7935708.7889321502</v>
      </c>
      <c r="AI488" s="15"/>
      <c r="AN488" s="9"/>
      <c r="AO488" s="9"/>
      <c r="AP488" s="9"/>
    </row>
    <row r="489" spans="2:42" ht="12" hidden="1" customHeight="1" outlineLevel="1" x14ac:dyDescent="0.25">
      <c r="B489" s="143" t="str">
        <f t="shared" si="167"/>
        <v/>
      </c>
      <c r="C489" s="16">
        <f t="shared" si="179"/>
        <v>5008302.3107454674</v>
      </c>
      <c r="D489" s="16">
        <f t="shared" si="187"/>
        <v>10289.69550164043</v>
      </c>
      <c r="E489" s="16">
        <f t="shared" si="188"/>
        <v>-1258.4918528407206</v>
      </c>
      <c r="F489" s="16">
        <f t="shared" si="189"/>
        <v>-616.00188587406785</v>
      </c>
      <c r="G489" s="16">
        <f t="shared" si="180"/>
        <v>0</v>
      </c>
      <c r="H489" s="16">
        <v>0</v>
      </c>
      <c r="I489" s="16">
        <v>0</v>
      </c>
      <c r="J489" s="16">
        <v>0</v>
      </c>
      <c r="K489" s="16">
        <f t="shared" si="181"/>
        <v>-3.9418271330608658E-222</v>
      </c>
      <c r="L489" s="16">
        <f t="shared" si="182"/>
        <v>1874.4937387147884</v>
      </c>
      <c r="M489" s="16">
        <f t="shared" si="171"/>
        <v>1874.4937387147884</v>
      </c>
      <c r="N489" s="16">
        <f t="shared" si="172"/>
        <v>9459.9409613680618</v>
      </c>
      <c r="O489" s="16">
        <f t="shared" si="173"/>
        <v>8415.2017629256425</v>
      </c>
      <c r="P489" s="16">
        <f t="shared" si="183"/>
        <v>2.4636419581575004E-224</v>
      </c>
      <c r="Q489" s="16">
        <f t="shared" si="174"/>
        <v>5008302.3107454674</v>
      </c>
      <c r="R489" s="16">
        <f t="shared" si="175"/>
        <v>8843.9390754939941</v>
      </c>
      <c r="S489" s="16" cm="1">
        <f t="array" ref="S489">Y489*tax_rate</f>
        <v>0</v>
      </c>
      <c r="T489" s="16">
        <f t="shared" si="184"/>
        <v>3273717.6610781197</v>
      </c>
      <c r="U489" s="16">
        <f t="shared" si="176"/>
        <v>8282019.9718235871</v>
      </c>
      <c r="V489" s="16"/>
      <c r="W489" s="144">
        <f t="shared" si="185"/>
        <v>0.11507628161734769</v>
      </c>
      <c r="X489" s="144" t="str">
        <f t="shared" si="191"/>
        <v/>
      </c>
      <c r="Y489" s="146"/>
      <c r="Z489" s="139">
        <f t="shared" si="177"/>
        <v>8415.2017629256425</v>
      </c>
      <c r="AA489" s="114">
        <v>462</v>
      </c>
      <c r="AB489" s="46">
        <f t="shared" si="186"/>
        <v>0</v>
      </c>
      <c r="AC489" s="47"/>
      <c r="AD489" s="49">
        <f t="shared" si="168"/>
        <v>47308.059861856513</v>
      </c>
      <c r="AE489" s="50"/>
      <c r="AF489" s="140"/>
      <c r="AG489" s="140"/>
      <c r="AH489" s="140">
        <f t="shared" si="178"/>
        <v>7981521.8331788592</v>
      </c>
      <c r="AI489" s="15"/>
      <c r="AN489" s="9"/>
      <c r="AO489" s="9"/>
      <c r="AP489" s="9"/>
    </row>
    <row r="490" spans="2:42" ht="12" hidden="1" customHeight="1" outlineLevel="1" x14ac:dyDescent="0.25">
      <c r="B490" s="143" t="str">
        <f t="shared" si="167"/>
        <v/>
      </c>
      <c r="C490" s="16">
        <f t="shared" si="179"/>
        <v>5033343.8222991945</v>
      </c>
      <c r="D490" s="16">
        <f t="shared" si="187"/>
        <v>10289.69550164043</v>
      </c>
      <c r="E490" s="16">
        <f t="shared" si="188"/>
        <v>-1258.4918528407206</v>
      </c>
      <c r="F490" s="16">
        <f t="shared" si="189"/>
        <v>-616.00188587406785</v>
      </c>
      <c r="G490" s="16">
        <f t="shared" si="180"/>
        <v>0</v>
      </c>
      <c r="H490" s="16">
        <v>0</v>
      </c>
      <c r="I490" s="16">
        <v>0</v>
      </c>
      <c r="J490" s="16">
        <v>0</v>
      </c>
      <c r="K490" s="16">
        <f t="shared" si="181"/>
        <v>-2.4636419581575004E-224</v>
      </c>
      <c r="L490" s="16">
        <f t="shared" si="182"/>
        <v>1874.4937387147884</v>
      </c>
      <c r="M490" s="16">
        <f t="shared" si="171"/>
        <v>1874.4937387147884</v>
      </c>
      <c r="N490" s="16">
        <f t="shared" si="172"/>
        <v>9459.9409613680618</v>
      </c>
      <c r="O490" s="16">
        <f t="shared" si="173"/>
        <v>8415.2017629256425</v>
      </c>
      <c r="P490" s="16">
        <f t="shared" si="183"/>
        <v>1.5397762238449728E-226</v>
      </c>
      <c r="Q490" s="16">
        <f t="shared" si="174"/>
        <v>5033343.8222991945</v>
      </c>
      <c r="R490" s="16">
        <f t="shared" si="175"/>
        <v>8843.9390754939941</v>
      </c>
      <c r="S490" s="16" cm="1">
        <f t="array" ref="S490">Y490*tax_rate</f>
        <v>0</v>
      </c>
      <c r="T490" s="16">
        <f t="shared" si="184"/>
        <v>3296202.0904081059</v>
      </c>
      <c r="U490" s="16">
        <f t="shared" si="176"/>
        <v>8329545.9127073009</v>
      </c>
      <c r="V490" s="16"/>
      <c r="W490" s="144">
        <f t="shared" si="185"/>
        <v>0.11497932894608963</v>
      </c>
      <c r="X490" s="144" t="str">
        <f t="shared" si="191"/>
        <v/>
      </c>
      <c r="Y490" s="146"/>
      <c r="Z490" s="139">
        <f t="shared" si="177"/>
        <v>8415.2017629256425</v>
      </c>
      <c r="AA490" s="114">
        <v>463</v>
      </c>
      <c r="AB490" s="46">
        <f t="shared" si="186"/>
        <v>0</v>
      </c>
      <c r="AC490" s="47"/>
      <c r="AD490" s="49">
        <f t="shared" si="168"/>
        <v>47525.940883713774</v>
      </c>
      <c r="AE490" s="50"/>
      <c r="AF490" s="140"/>
      <c r="AG490" s="140"/>
      <c r="AH490" s="140">
        <f t="shared" si="178"/>
        <v>8027545.2833693493</v>
      </c>
      <c r="AI490" s="15"/>
      <c r="AN490" s="9"/>
      <c r="AO490" s="9"/>
      <c r="AP490" s="9"/>
    </row>
    <row r="491" spans="2:42" ht="12" hidden="1" customHeight="1" outlineLevel="1" x14ac:dyDescent="0.25">
      <c r="B491" s="143" t="str">
        <f t="shared" si="167"/>
        <v/>
      </c>
      <c r="C491" s="16">
        <f t="shared" si="179"/>
        <v>5058510.5414106902</v>
      </c>
      <c r="D491" s="16">
        <f t="shared" si="187"/>
        <v>10289.69550164043</v>
      </c>
      <c r="E491" s="16">
        <f t="shared" si="188"/>
        <v>-1258.4918528407206</v>
      </c>
      <c r="F491" s="16">
        <f t="shared" si="189"/>
        <v>-616.00188587406785</v>
      </c>
      <c r="G491" s="16">
        <f t="shared" si="180"/>
        <v>0</v>
      </c>
      <c r="H491" s="16">
        <v>0</v>
      </c>
      <c r="I491" s="16">
        <v>0</v>
      </c>
      <c r="J491" s="16">
        <v>0</v>
      </c>
      <c r="K491" s="16">
        <f t="shared" si="181"/>
        <v>-1.5397762238449728E-226</v>
      </c>
      <c r="L491" s="16">
        <f t="shared" si="182"/>
        <v>1874.4937387147884</v>
      </c>
      <c r="M491" s="16">
        <f t="shared" si="171"/>
        <v>1874.4937387147884</v>
      </c>
      <c r="N491" s="16">
        <f t="shared" si="172"/>
        <v>9459.9409613680618</v>
      </c>
      <c r="O491" s="16">
        <f t="shared" si="173"/>
        <v>8415.2017629256425</v>
      </c>
      <c r="P491" s="16">
        <f t="shared" si="183"/>
        <v>9.6236013990092221E-229</v>
      </c>
      <c r="Q491" s="16">
        <f t="shared" si="174"/>
        <v>5058510.5414106902</v>
      </c>
      <c r="R491" s="16">
        <f t="shared" si="175"/>
        <v>8843.9390754939941</v>
      </c>
      <c r="S491" s="16" cm="1">
        <f t="array" ref="S491">Y491*tax_rate</f>
        <v>0</v>
      </c>
      <c r="T491" s="16">
        <f t="shared" si="184"/>
        <v>3318780.2048603003</v>
      </c>
      <c r="U491" s="16">
        <f t="shared" si="176"/>
        <v>8377290.74627099</v>
      </c>
      <c r="V491" s="16"/>
      <c r="W491" s="144">
        <f t="shared" si="185"/>
        <v>0.11488261726826642</v>
      </c>
      <c r="X491" s="144" t="str">
        <f t="shared" si="191"/>
        <v/>
      </c>
      <c r="Y491" s="145"/>
      <c r="Z491" s="139">
        <f t="shared" si="177"/>
        <v>8415.2017629256425</v>
      </c>
      <c r="AA491" s="114">
        <v>464</v>
      </c>
      <c r="AB491" s="46">
        <f t="shared" si="186"/>
        <v>0</v>
      </c>
      <c r="AC491" s="46"/>
      <c r="AD491" s="49">
        <f t="shared" si="168"/>
        <v>47744.833563689142</v>
      </c>
      <c r="AE491" s="50"/>
      <c r="AF491" s="140"/>
      <c r="AG491" s="140"/>
      <c r="AH491" s="140">
        <f t="shared" si="178"/>
        <v>8073780.1137863491</v>
      </c>
      <c r="AI491" s="15"/>
      <c r="AN491" s="9"/>
      <c r="AO491" s="9"/>
      <c r="AP491" s="9"/>
    </row>
    <row r="492" spans="2:42" ht="12" hidden="1" customHeight="1" outlineLevel="1" x14ac:dyDescent="0.25">
      <c r="B492" s="143" t="str">
        <f t="shared" si="167"/>
        <v/>
      </c>
      <c r="C492" s="16">
        <f t="shared" si="179"/>
        <v>5083803.094117743</v>
      </c>
      <c r="D492" s="16">
        <f t="shared" si="187"/>
        <v>10289.69550164043</v>
      </c>
      <c r="E492" s="16">
        <f t="shared" si="188"/>
        <v>-1258.4918528407206</v>
      </c>
      <c r="F492" s="16">
        <f t="shared" si="189"/>
        <v>-616.00188587406785</v>
      </c>
      <c r="G492" s="16">
        <f t="shared" si="180"/>
        <v>0</v>
      </c>
      <c r="H492" s="16">
        <v>0</v>
      </c>
      <c r="I492" s="16">
        <v>0</v>
      </c>
      <c r="J492" s="16">
        <v>0</v>
      </c>
      <c r="K492" s="16">
        <f t="shared" si="181"/>
        <v>-9.6236013990092221E-229</v>
      </c>
      <c r="L492" s="16">
        <f t="shared" si="182"/>
        <v>1874.4937387147884</v>
      </c>
      <c r="M492" s="16">
        <f t="shared" si="171"/>
        <v>1874.4937387147884</v>
      </c>
      <c r="N492" s="16">
        <f t="shared" si="172"/>
        <v>9459.9409613680618</v>
      </c>
      <c r="O492" s="16">
        <f t="shared" si="173"/>
        <v>8415.2017629256425</v>
      </c>
      <c r="P492" s="16">
        <f t="shared" si="183"/>
        <v>6.0147508743671728E-231</v>
      </c>
      <c r="Q492" s="16">
        <f t="shared" si="174"/>
        <v>5083803.094117743</v>
      </c>
      <c r="R492" s="16">
        <f t="shared" si="175"/>
        <v>8843.9390754939941</v>
      </c>
      <c r="S492" s="16" cm="1">
        <f t="array" ref="S492">Y492*tax_rate</f>
        <v>0</v>
      </c>
      <c r="T492" s="16">
        <f t="shared" si="184"/>
        <v>3341452.3947893791</v>
      </c>
      <c r="U492" s="16">
        <f t="shared" si="176"/>
        <v>8425255.4889071211</v>
      </c>
      <c r="V492" s="16"/>
      <c r="W492" s="144">
        <f t="shared" si="185"/>
        <v>0.11478614630989485</v>
      </c>
      <c r="X492" s="144" t="str">
        <f t="shared" si="191"/>
        <v/>
      </c>
      <c r="Y492" s="145"/>
      <c r="Z492" s="139">
        <f t="shared" si="177"/>
        <v>8415.2017629256425</v>
      </c>
      <c r="AA492" s="114">
        <v>465</v>
      </c>
      <c r="AB492" s="46">
        <f t="shared" si="186"/>
        <v>0</v>
      </c>
      <c r="AC492" s="46"/>
      <c r="AD492" s="49">
        <f t="shared" si="168"/>
        <v>47964.742636131123</v>
      </c>
      <c r="AE492" s="50"/>
      <c r="AF492" s="140"/>
      <c r="AG492" s="140"/>
      <c r="AH492" s="140">
        <f t="shared" si="178"/>
        <v>8120227.3032600563</v>
      </c>
      <c r="AI492" s="15"/>
      <c r="AN492" s="9"/>
      <c r="AO492" s="9"/>
      <c r="AP492" s="9"/>
    </row>
    <row r="493" spans="2:42" ht="12" hidden="1" customHeight="1" outlineLevel="1" x14ac:dyDescent="0.25">
      <c r="B493" s="143" t="str">
        <f t="shared" si="167"/>
        <v/>
      </c>
      <c r="C493" s="16">
        <f t="shared" si="179"/>
        <v>5109222.1095883315</v>
      </c>
      <c r="D493" s="16">
        <f t="shared" si="187"/>
        <v>10289.69550164043</v>
      </c>
      <c r="E493" s="16">
        <f t="shared" si="188"/>
        <v>-1258.4918528407206</v>
      </c>
      <c r="F493" s="16">
        <f t="shared" si="189"/>
        <v>-616.00188587406785</v>
      </c>
      <c r="G493" s="16">
        <f t="shared" si="180"/>
        <v>0</v>
      </c>
      <c r="H493" s="16">
        <v>0</v>
      </c>
      <c r="I493" s="16">
        <v>0</v>
      </c>
      <c r="J493" s="16">
        <v>0</v>
      </c>
      <c r="K493" s="16">
        <f t="shared" si="181"/>
        <v>-6.0147508743671728E-231</v>
      </c>
      <c r="L493" s="16">
        <f t="shared" si="182"/>
        <v>1874.4937387147884</v>
      </c>
      <c r="M493" s="16">
        <f t="shared" si="171"/>
        <v>1874.4937387147884</v>
      </c>
      <c r="N493" s="16">
        <f t="shared" si="172"/>
        <v>9459.9409613680618</v>
      </c>
      <c r="O493" s="16">
        <f t="shared" si="173"/>
        <v>8415.2017629256425</v>
      </c>
      <c r="P493" s="16">
        <f t="shared" si="183"/>
        <v>3.7592192964709703E-233</v>
      </c>
      <c r="Q493" s="16">
        <f t="shared" si="174"/>
        <v>5109222.1095883315</v>
      </c>
      <c r="R493" s="16">
        <f t="shared" si="175"/>
        <v>8843.9390754939941</v>
      </c>
      <c r="S493" s="16" cm="1">
        <f t="array" ref="S493">Y493*tax_rate</f>
        <v>0</v>
      </c>
      <c r="T493" s="16">
        <f t="shared" si="184"/>
        <v>3364219.0521764955</v>
      </c>
      <c r="U493" s="16">
        <f t="shared" si="176"/>
        <v>8473441.1617648266</v>
      </c>
      <c r="V493" s="16"/>
      <c r="W493" s="144">
        <f t="shared" si="185"/>
        <v>0.1146899157879101</v>
      </c>
      <c r="X493" s="144" t="str">
        <f t="shared" si="191"/>
        <v/>
      </c>
      <c r="Y493" s="146"/>
      <c r="Z493" s="139">
        <f t="shared" si="177"/>
        <v>8415.2017629256425</v>
      </c>
      <c r="AA493" s="114">
        <v>466</v>
      </c>
      <c r="AB493" s="46">
        <f t="shared" si="186"/>
        <v>0</v>
      </c>
      <c r="AC493" s="47"/>
      <c r="AD493" s="49">
        <f t="shared" si="168"/>
        <v>48185.672857705504</v>
      </c>
      <c r="AE493" s="50"/>
      <c r="AF493" s="140"/>
      <c r="AG493" s="140"/>
      <c r="AH493" s="140">
        <f t="shared" si="178"/>
        <v>8166887.8351895269</v>
      </c>
      <c r="AI493" s="15"/>
      <c r="AN493" s="9"/>
      <c r="AO493" s="9"/>
      <c r="AP493" s="9"/>
    </row>
    <row r="494" spans="2:42" ht="12" hidden="1" customHeight="1" outlineLevel="1" x14ac:dyDescent="0.25">
      <c r="B494" s="143" t="str">
        <f t="shared" si="167"/>
        <v/>
      </c>
      <c r="C494" s="16">
        <f t="shared" si="179"/>
        <v>5134768.2201362727</v>
      </c>
      <c r="D494" s="16">
        <f t="shared" si="187"/>
        <v>10289.69550164043</v>
      </c>
      <c r="E494" s="16">
        <f t="shared" si="188"/>
        <v>-1258.4918528407206</v>
      </c>
      <c r="F494" s="16">
        <f t="shared" si="189"/>
        <v>-616.00188587406785</v>
      </c>
      <c r="G494" s="16">
        <f t="shared" si="180"/>
        <v>0</v>
      </c>
      <c r="H494" s="16">
        <v>0</v>
      </c>
      <c r="I494" s="16">
        <v>0</v>
      </c>
      <c r="J494" s="16">
        <v>0</v>
      </c>
      <c r="K494" s="16">
        <f t="shared" si="181"/>
        <v>-3.7592192964709703E-233</v>
      </c>
      <c r="L494" s="16">
        <f t="shared" si="182"/>
        <v>1874.4937387147884</v>
      </c>
      <c r="M494" s="16">
        <f t="shared" si="171"/>
        <v>1874.4937387147884</v>
      </c>
      <c r="N494" s="16">
        <f t="shared" si="172"/>
        <v>9459.9409613680618</v>
      </c>
      <c r="O494" s="16">
        <f t="shared" si="173"/>
        <v>8415.2017629256425</v>
      </c>
      <c r="P494" s="16">
        <f t="shared" si="183"/>
        <v>2.3495120602890467E-235</v>
      </c>
      <c r="Q494" s="16">
        <f t="shared" si="174"/>
        <v>5134768.2201362727</v>
      </c>
      <c r="R494" s="16">
        <f t="shared" si="175"/>
        <v>8843.9390754939941</v>
      </c>
      <c r="S494" s="16" cm="1">
        <f t="array" ref="S494">Y494*tax_rate</f>
        <v>0</v>
      </c>
      <c r="T494" s="16">
        <f t="shared" si="184"/>
        <v>3387080.5706360582</v>
      </c>
      <c r="U494" s="16">
        <f t="shared" si="176"/>
        <v>8521848.79077233</v>
      </c>
      <c r="V494" s="16"/>
      <c r="W494" s="144">
        <f t="shared" si="185"/>
        <v>0.11459392541039277</v>
      </c>
      <c r="X494" s="144" t="str">
        <f t="shared" si="191"/>
        <v/>
      </c>
      <c r="Y494" s="146"/>
      <c r="Z494" s="139">
        <f t="shared" si="177"/>
        <v>8415.2017629256425</v>
      </c>
      <c r="AA494" s="114">
        <v>467</v>
      </c>
      <c r="AB494" s="46">
        <f t="shared" si="186"/>
        <v>0</v>
      </c>
      <c r="AC494" s="47"/>
      <c r="AD494" s="47">
        <f t="shared" si="168"/>
        <v>48407.62900750339</v>
      </c>
      <c r="AE494" s="86"/>
      <c r="AF494" s="140"/>
      <c r="AG494" s="140"/>
      <c r="AH494" s="140">
        <f t="shared" si="178"/>
        <v>8213762.6975641539</v>
      </c>
      <c r="AI494" s="15"/>
      <c r="AN494" s="9"/>
      <c r="AO494" s="9"/>
      <c r="AP494" s="9"/>
    </row>
    <row r="495" spans="2:42" ht="15" customHeight="1" collapsed="1" x14ac:dyDescent="0.25">
      <c r="B495" s="143">
        <f t="shared" si="167"/>
        <v>39</v>
      </c>
      <c r="C495" s="16">
        <f t="shared" si="179"/>
        <v>5160442.0612369534</v>
      </c>
      <c r="D495" s="16">
        <f t="shared" si="187"/>
        <v>10289.69550164043</v>
      </c>
      <c r="E495" s="16">
        <f t="shared" si="188"/>
        <v>-1258.4918528407206</v>
      </c>
      <c r="F495" s="16">
        <f t="shared" si="189"/>
        <v>-616.00188587406785</v>
      </c>
      <c r="G495" s="16">
        <f t="shared" si="180"/>
        <v>0</v>
      </c>
      <c r="H495" s="16">
        <v>0</v>
      </c>
      <c r="I495" s="16">
        <v>0</v>
      </c>
      <c r="J495" s="16">
        <v>0</v>
      </c>
      <c r="K495" s="16">
        <f t="shared" si="181"/>
        <v>-2.3495120602890467E-235</v>
      </c>
      <c r="L495" s="16">
        <f t="shared" si="182"/>
        <v>1874.4937387147884</v>
      </c>
      <c r="M495" s="16">
        <f t="shared" si="171"/>
        <v>1874.4937387147884</v>
      </c>
      <c r="N495" s="16">
        <f t="shared" si="172"/>
        <v>9459.9409613680618</v>
      </c>
      <c r="O495" s="16">
        <f t="shared" si="173"/>
        <v>8415.2017629256425</v>
      </c>
      <c r="P495" s="16">
        <f t="shared" si="183"/>
        <v>1.4684450376773161E-237</v>
      </c>
      <c r="Q495" s="16">
        <f t="shared" si="174"/>
        <v>5160442.0612369534</v>
      </c>
      <c r="R495" s="16">
        <f t="shared" si="175"/>
        <v>8843.9390754939941</v>
      </c>
      <c r="S495" s="16" cm="1">
        <f t="array" ref="S495">Y495*tax_rate</f>
        <v>6522.418491499503</v>
      </c>
      <c r="T495" s="16">
        <f t="shared" si="184"/>
        <v>3416559.7639140356</v>
      </c>
      <c r="U495" s="16">
        <f t="shared" si="176"/>
        <v>8577001.825150989</v>
      </c>
      <c r="V495" s="16">
        <f t="shared" si="166"/>
        <v>575597.07659121975</v>
      </c>
      <c r="W495" s="144">
        <f t="shared" si="185"/>
        <v>0.1145199147662419</v>
      </c>
      <c r="X495" s="144">
        <f t="shared" si="191"/>
        <v>7.1937002898750449E-2</v>
      </c>
      <c r="Y495" s="145">
        <f>(((Sale_Price*0.8)+Improvement_Costs+Closing_Costs_Total)/27.5)+(-E495*12)+-AC495</f>
        <v>29647.356779543195</v>
      </c>
      <c r="Z495" s="139">
        <f t="shared" si="177"/>
        <v>8415.2017629256425</v>
      </c>
      <c r="AA495" s="114">
        <v>468</v>
      </c>
      <c r="AB495" s="46">
        <f t="shared" si="186"/>
        <v>0</v>
      </c>
      <c r="AC495" s="46">
        <f t="shared" ref="AC495" si="192">SUM(AB484:AB495)</f>
        <v>0</v>
      </c>
      <c r="AD495" s="47">
        <f t="shared" si="168"/>
        <v>55153.03437865898</v>
      </c>
      <c r="AE495" s="86">
        <f>D495*12</f>
        <v>123476.34601968515</v>
      </c>
      <c r="AF495" s="140"/>
      <c r="AG495" s="140"/>
      <c r="AH495" s="140">
        <f t="shared" si="178"/>
        <v>8267375.3014767719</v>
      </c>
      <c r="AI495" s="15">
        <f>AI483*(1+Comparison_Rate_of_Return)</f>
        <v>5143097.223656374</v>
      </c>
      <c r="AN495" s="9"/>
      <c r="AO495" s="9"/>
      <c r="AP495" s="9"/>
    </row>
    <row r="496" spans="2:42" ht="12" hidden="1" customHeight="1" outlineLevel="1" x14ac:dyDescent="0.25">
      <c r="B496" s="143" t="str">
        <f t="shared" si="167"/>
        <v/>
      </c>
      <c r="C496" s="16">
        <f t="shared" si="179"/>
        <v>5186244.2715431377</v>
      </c>
      <c r="D496" s="16">
        <f t="shared" si="187"/>
        <v>10649.834844197843</v>
      </c>
      <c r="E496" s="16">
        <f t="shared" si="188"/>
        <v>-1302.5390676901457</v>
      </c>
      <c r="F496" s="16">
        <f t="shared" si="189"/>
        <v>-637.56195187966023</v>
      </c>
      <c r="G496" s="16">
        <f t="shared" si="180"/>
        <v>0</v>
      </c>
      <c r="H496" s="16">
        <v>0</v>
      </c>
      <c r="I496" s="16">
        <v>0</v>
      </c>
      <c r="J496" s="16">
        <v>0</v>
      </c>
      <c r="K496" s="16">
        <f t="shared" si="181"/>
        <v>-1.4684450376773161E-237</v>
      </c>
      <c r="L496" s="16">
        <f t="shared" si="182"/>
        <v>1940.1010195698059</v>
      </c>
      <c r="M496" s="16">
        <f t="shared" si="171"/>
        <v>1940.1010195698059</v>
      </c>
      <c r="N496" s="16">
        <f t="shared" si="172"/>
        <v>9791.0388950159413</v>
      </c>
      <c r="O496" s="16">
        <f t="shared" si="173"/>
        <v>8709.7338246280378</v>
      </c>
      <c r="P496" s="16">
        <f t="shared" si="183"/>
        <v>9.1777814854626024E-240</v>
      </c>
      <c r="Q496" s="16">
        <f t="shared" si="174"/>
        <v>5186244.2715431377</v>
      </c>
      <c r="R496" s="16">
        <f t="shared" si="175"/>
        <v>9153.4769431362802</v>
      </c>
      <c r="S496" s="16" cm="1">
        <f t="array" ref="S496">Y496*tax_rate</f>
        <v>0</v>
      </c>
      <c r="T496" s="16">
        <f t="shared" si="184"/>
        <v>3439948.906540147</v>
      </c>
      <c r="U496" s="16">
        <f t="shared" si="176"/>
        <v>8626193.1780832857</v>
      </c>
      <c r="V496" s="16"/>
      <c r="W496" s="144">
        <f t="shared" si="185"/>
        <v>0.11442534568968397</v>
      </c>
      <c r="X496" s="144" t="str">
        <f t="shared" si="191"/>
        <v/>
      </c>
      <c r="Y496" s="146"/>
      <c r="Z496" s="139">
        <f t="shared" si="177"/>
        <v>8709.7338246280378</v>
      </c>
      <c r="AA496" s="114">
        <v>469</v>
      </c>
      <c r="AB496" s="46">
        <f t="shared" si="186"/>
        <v>0</v>
      </c>
      <c r="AC496" s="47"/>
      <c r="AD496" s="47">
        <f t="shared" si="168"/>
        <v>49191.352932296693</v>
      </c>
      <c r="AE496" s="86"/>
      <c r="AF496" s="140"/>
      <c r="AG496" s="140"/>
      <c r="AH496" s="140">
        <f t="shared" si="178"/>
        <v>8315018.5217906972</v>
      </c>
      <c r="AI496" s="15"/>
      <c r="AN496" s="9"/>
      <c r="AO496" s="9"/>
      <c r="AP496" s="9"/>
    </row>
    <row r="497" spans="2:42" ht="12" hidden="1" customHeight="1" outlineLevel="1" x14ac:dyDescent="0.25">
      <c r="B497" s="143" t="str">
        <f t="shared" si="167"/>
        <v/>
      </c>
      <c r="C497" s="16">
        <f t="shared" si="179"/>
        <v>5212175.492900853</v>
      </c>
      <c r="D497" s="16">
        <f t="shared" si="187"/>
        <v>10649.834844197843</v>
      </c>
      <c r="E497" s="16">
        <f t="shared" si="188"/>
        <v>-1302.5390676901457</v>
      </c>
      <c r="F497" s="16">
        <f t="shared" si="189"/>
        <v>-637.56195187966023</v>
      </c>
      <c r="G497" s="16">
        <f t="shared" si="180"/>
        <v>0</v>
      </c>
      <c r="H497" s="16">
        <v>0</v>
      </c>
      <c r="I497" s="16">
        <v>0</v>
      </c>
      <c r="J497" s="16">
        <v>0</v>
      </c>
      <c r="K497" s="16">
        <f t="shared" si="181"/>
        <v>-9.1777814854626024E-240</v>
      </c>
      <c r="L497" s="16">
        <f t="shared" si="182"/>
        <v>1940.1010195698059</v>
      </c>
      <c r="M497" s="16">
        <f t="shared" si="171"/>
        <v>1940.1010195698059</v>
      </c>
      <c r="N497" s="16">
        <f t="shared" si="172"/>
        <v>9791.0388950159413</v>
      </c>
      <c r="O497" s="16">
        <f t="shared" si="173"/>
        <v>8709.7338246280378</v>
      </c>
      <c r="P497" s="16">
        <f t="shared" si="183"/>
        <v>5.7361134284011688E-242</v>
      </c>
      <c r="Q497" s="16">
        <f t="shared" si="174"/>
        <v>5212175.492900853</v>
      </c>
      <c r="R497" s="16">
        <f t="shared" si="175"/>
        <v>9153.4769431362802</v>
      </c>
      <c r="S497" s="16" cm="1">
        <f t="array" ref="S497">Y497*tax_rate</f>
        <v>0</v>
      </c>
      <c r="T497" s="16">
        <f t="shared" si="184"/>
        <v>3463435.5039272006</v>
      </c>
      <c r="U497" s="16">
        <f t="shared" si="176"/>
        <v>8675610.9968280531</v>
      </c>
      <c r="V497" s="16"/>
      <c r="W497" s="144">
        <f t="shared" si="185"/>
        <v>0.11433100447747546</v>
      </c>
      <c r="X497" s="144" t="str">
        <f t="shared" si="191"/>
        <v/>
      </c>
      <c r="Y497" s="146"/>
      <c r="Z497" s="139">
        <f t="shared" si="177"/>
        <v>8709.7338246280378</v>
      </c>
      <c r="AA497" s="114">
        <v>470</v>
      </c>
      <c r="AB497" s="46">
        <f t="shared" si="186"/>
        <v>0</v>
      </c>
      <c r="AC497" s="47"/>
      <c r="AD497" s="47">
        <f t="shared" si="168"/>
        <v>49417.818744767457</v>
      </c>
      <c r="AE497" s="86"/>
      <c r="AF497" s="140"/>
      <c r="AG497" s="140"/>
      <c r="AH497" s="140">
        <f t="shared" si="178"/>
        <v>8362880.4672540016</v>
      </c>
      <c r="AI497" s="15"/>
      <c r="AN497" s="9"/>
      <c r="AO497" s="9"/>
      <c r="AP497" s="9"/>
    </row>
    <row r="498" spans="2:42" ht="12" hidden="1" customHeight="1" outlineLevel="1" x14ac:dyDescent="0.25">
      <c r="B498" s="143" t="str">
        <f t="shared" si="167"/>
        <v/>
      </c>
      <c r="C498" s="16">
        <f t="shared" si="179"/>
        <v>5238236.370365357</v>
      </c>
      <c r="D498" s="16">
        <f t="shared" si="187"/>
        <v>10649.834844197843</v>
      </c>
      <c r="E498" s="16">
        <f t="shared" si="188"/>
        <v>-1302.5390676901457</v>
      </c>
      <c r="F498" s="16">
        <f t="shared" si="189"/>
        <v>-637.56195187966023</v>
      </c>
      <c r="G498" s="16">
        <f t="shared" si="180"/>
        <v>0</v>
      </c>
      <c r="H498" s="16">
        <v>0</v>
      </c>
      <c r="I498" s="16">
        <v>0</v>
      </c>
      <c r="J498" s="16">
        <v>0</v>
      </c>
      <c r="K498" s="16">
        <f t="shared" si="181"/>
        <v>-5.7361134284011688E-242</v>
      </c>
      <c r="L498" s="16">
        <f t="shared" si="182"/>
        <v>1940.1010195698059</v>
      </c>
      <c r="M498" s="16">
        <f t="shared" si="171"/>
        <v>1940.1010195698059</v>
      </c>
      <c r="N498" s="16">
        <f t="shared" si="172"/>
        <v>9791.0388950159413</v>
      </c>
      <c r="O498" s="16">
        <f t="shared" si="173"/>
        <v>8709.7338246280378</v>
      </c>
      <c r="P498" s="16">
        <f t="shared" si="183"/>
        <v>3.585070892742622E-244</v>
      </c>
      <c r="Q498" s="16">
        <f t="shared" si="174"/>
        <v>5238236.370365357</v>
      </c>
      <c r="R498" s="16">
        <f t="shared" si="175"/>
        <v>9153.4769431362802</v>
      </c>
      <c r="S498" s="16" cm="1">
        <f t="array" ref="S498">Y498*tax_rate</f>
        <v>0</v>
      </c>
      <c r="T498" s="16">
        <f t="shared" si="184"/>
        <v>3487019.9621366998</v>
      </c>
      <c r="U498" s="16">
        <f t="shared" si="176"/>
        <v>8725256.3325020559</v>
      </c>
      <c r="V498" s="16"/>
      <c r="W498" s="144">
        <f t="shared" si="185"/>
        <v>0.11423689094069335</v>
      </c>
      <c r="X498" s="144" t="str">
        <f t="shared" si="191"/>
        <v/>
      </c>
      <c r="Y498" s="146"/>
      <c r="Z498" s="139">
        <f t="shared" si="177"/>
        <v>8709.7338246280378</v>
      </c>
      <c r="AA498" s="114">
        <v>471</v>
      </c>
      <c r="AB498" s="46">
        <f t="shared" si="186"/>
        <v>0</v>
      </c>
      <c r="AC498" s="47"/>
      <c r="AD498" s="47">
        <f t="shared" si="168"/>
        <v>49645.335674002767</v>
      </c>
      <c r="AE498" s="86"/>
      <c r="AF498" s="140"/>
      <c r="AG498" s="140"/>
      <c r="AH498" s="140">
        <f t="shared" si="178"/>
        <v>8410962.1502801348</v>
      </c>
      <c r="AI498" s="15"/>
      <c r="AN498" s="9"/>
      <c r="AO498" s="9"/>
      <c r="AP498" s="9"/>
    </row>
    <row r="499" spans="2:42" ht="12" hidden="1" customHeight="1" outlineLevel="1" x14ac:dyDescent="0.25">
      <c r="B499" s="143" t="str">
        <f t="shared" si="167"/>
        <v/>
      </c>
      <c r="C499" s="16">
        <f t="shared" si="179"/>
        <v>5264427.5522171836</v>
      </c>
      <c r="D499" s="16">
        <f t="shared" si="187"/>
        <v>10649.834844197843</v>
      </c>
      <c r="E499" s="16">
        <f t="shared" si="188"/>
        <v>-1302.5390676901457</v>
      </c>
      <c r="F499" s="16">
        <f t="shared" si="189"/>
        <v>-637.56195187966023</v>
      </c>
      <c r="G499" s="16">
        <f t="shared" si="180"/>
        <v>0</v>
      </c>
      <c r="H499" s="16">
        <v>0</v>
      </c>
      <c r="I499" s="16">
        <v>0</v>
      </c>
      <c r="J499" s="16">
        <v>0</v>
      </c>
      <c r="K499" s="16">
        <f t="shared" si="181"/>
        <v>-3.585070892742622E-244</v>
      </c>
      <c r="L499" s="16">
        <f t="shared" si="182"/>
        <v>1940.1010195698059</v>
      </c>
      <c r="M499" s="16">
        <f t="shared" si="171"/>
        <v>1940.1010195698059</v>
      </c>
      <c r="N499" s="16">
        <f t="shared" si="172"/>
        <v>9791.0388950159413</v>
      </c>
      <c r="O499" s="16">
        <f t="shared" si="173"/>
        <v>8709.7338246280378</v>
      </c>
      <c r="P499" s="16">
        <f t="shared" si="183"/>
        <v>2.2406693079590917E-246</v>
      </c>
      <c r="Q499" s="16">
        <f t="shared" si="174"/>
        <v>5264427.5522171836</v>
      </c>
      <c r="R499" s="16">
        <f t="shared" si="175"/>
        <v>9153.4769431362802</v>
      </c>
      <c r="S499" s="16" cm="1">
        <f t="array" ref="S499">Y499*tax_rate</f>
        <v>0</v>
      </c>
      <c r="T499" s="16">
        <f t="shared" si="184"/>
        <v>3510702.6889220723</v>
      </c>
      <c r="U499" s="16">
        <f t="shared" si="176"/>
        <v>8775130.2411392555</v>
      </c>
      <c r="V499" s="16"/>
      <c r="W499" s="144">
        <f t="shared" si="185"/>
        <v>0.11414300488076343</v>
      </c>
      <c r="X499" s="144" t="str">
        <f t="shared" si="191"/>
        <v/>
      </c>
      <c r="Y499" s="146"/>
      <c r="Z499" s="139">
        <f t="shared" si="177"/>
        <v>8709.7338246280378</v>
      </c>
      <c r="AA499" s="114">
        <v>472</v>
      </c>
      <c r="AB499" s="46">
        <f t="shared" si="186"/>
        <v>0</v>
      </c>
      <c r="AC499" s="46"/>
      <c r="AD499" s="47">
        <f t="shared" si="168"/>
        <v>49873.908637199551</v>
      </c>
      <c r="AE499" s="86"/>
      <c r="AF499" s="140"/>
      <c r="AG499" s="140"/>
      <c r="AH499" s="140">
        <f t="shared" si="178"/>
        <v>8459264.5880062245</v>
      </c>
      <c r="AI499" s="15"/>
      <c r="AN499" s="9"/>
      <c r="AO499" s="9"/>
      <c r="AP499" s="9"/>
    </row>
    <row r="500" spans="2:42" ht="12" hidden="1" customHeight="1" outlineLevel="1" x14ac:dyDescent="0.25">
      <c r="B500" s="143" t="str">
        <f t="shared" si="167"/>
        <v/>
      </c>
      <c r="C500" s="16">
        <f t="shared" si="179"/>
        <v>5290749.6899782689</v>
      </c>
      <c r="D500" s="16">
        <f t="shared" si="187"/>
        <v>10649.834844197843</v>
      </c>
      <c r="E500" s="16">
        <f t="shared" si="188"/>
        <v>-1302.5390676901457</v>
      </c>
      <c r="F500" s="16">
        <f t="shared" si="189"/>
        <v>-637.56195187966023</v>
      </c>
      <c r="G500" s="16">
        <f t="shared" si="180"/>
        <v>0</v>
      </c>
      <c r="H500" s="16">
        <v>0</v>
      </c>
      <c r="I500" s="16">
        <v>0</v>
      </c>
      <c r="J500" s="16">
        <v>0</v>
      </c>
      <c r="K500" s="16">
        <f t="shared" si="181"/>
        <v>-2.2406693079590917E-246</v>
      </c>
      <c r="L500" s="16">
        <f t="shared" si="182"/>
        <v>1940.1010195698059</v>
      </c>
      <c r="M500" s="16">
        <f t="shared" si="171"/>
        <v>1940.1010195698059</v>
      </c>
      <c r="N500" s="16">
        <f t="shared" si="172"/>
        <v>9791.0388950159413</v>
      </c>
      <c r="O500" s="16">
        <f t="shared" si="173"/>
        <v>8709.7338246280378</v>
      </c>
      <c r="P500" s="16">
        <f t="shared" si="183"/>
        <v>1.4004183174712871E-248</v>
      </c>
      <c r="Q500" s="16">
        <f t="shared" si="174"/>
        <v>5290749.6899782689</v>
      </c>
      <c r="R500" s="16">
        <f t="shared" si="175"/>
        <v>9153.4769431362802</v>
      </c>
      <c r="S500" s="16" cm="1">
        <f t="array" ref="S500">Y500*tax_rate</f>
        <v>0</v>
      </c>
      <c r="T500" s="16">
        <f t="shared" si="184"/>
        <v>3534484.0937357172</v>
      </c>
      <c r="U500" s="16">
        <f t="shared" si="176"/>
        <v>8825233.7837139852</v>
      </c>
      <c r="V500" s="16"/>
      <c r="W500" s="144">
        <f t="shared" si="185"/>
        <v>0.11404934608968822</v>
      </c>
      <c r="X500" s="144" t="str">
        <f t="shared" si="191"/>
        <v/>
      </c>
      <c r="Y500" s="146"/>
      <c r="Z500" s="139">
        <f t="shared" si="177"/>
        <v>8709.7338246280378</v>
      </c>
      <c r="AA500" s="114">
        <v>473</v>
      </c>
      <c r="AB500" s="46">
        <f t="shared" si="186"/>
        <v>0</v>
      </c>
      <c r="AC500" s="46"/>
      <c r="AD500" s="47">
        <f t="shared" si="168"/>
        <v>50103.54257472977</v>
      </c>
      <c r="AE500" s="86"/>
      <c r="AF500" s="140"/>
      <c r="AG500" s="140"/>
      <c r="AH500" s="140">
        <f t="shared" si="178"/>
        <v>8507788.8023152892</v>
      </c>
      <c r="AI500" s="15"/>
      <c r="AN500" s="9"/>
      <c r="AO500" s="9"/>
      <c r="AP500" s="9"/>
    </row>
    <row r="501" spans="2:42" ht="12" hidden="1" customHeight="1" outlineLevel="1" x14ac:dyDescent="0.25">
      <c r="B501" s="143" t="str">
        <f t="shared" si="167"/>
        <v/>
      </c>
      <c r="C501" s="16">
        <f t="shared" si="179"/>
        <v>5317203.4384281598</v>
      </c>
      <c r="D501" s="16">
        <f t="shared" si="187"/>
        <v>10649.834844197843</v>
      </c>
      <c r="E501" s="16">
        <f t="shared" si="188"/>
        <v>-1302.5390676901457</v>
      </c>
      <c r="F501" s="16">
        <f t="shared" si="189"/>
        <v>-637.56195187966023</v>
      </c>
      <c r="G501" s="16">
        <f t="shared" si="180"/>
        <v>0</v>
      </c>
      <c r="H501" s="16">
        <v>0</v>
      </c>
      <c r="I501" s="16">
        <v>0</v>
      </c>
      <c r="J501" s="16">
        <v>0</v>
      </c>
      <c r="K501" s="16">
        <f t="shared" si="181"/>
        <v>-1.4004183174712871E-248</v>
      </c>
      <c r="L501" s="16">
        <f t="shared" si="182"/>
        <v>1940.1010195698059</v>
      </c>
      <c r="M501" s="16">
        <f t="shared" si="171"/>
        <v>1940.1010195698059</v>
      </c>
      <c r="N501" s="16">
        <f t="shared" si="172"/>
        <v>9791.0388950159413</v>
      </c>
      <c r="O501" s="16">
        <f t="shared" si="173"/>
        <v>8709.7338246280378</v>
      </c>
      <c r="P501" s="16">
        <f t="shared" si="183"/>
        <v>8.7526144841758944E-251</v>
      </c>
      <c r="Q501" s="16">
        <f t="shared" si="174"/>
        <v>5317203.4384281598</v>
      </c>
      <c r="R501" s="16">
        <f t="shared" si="175"/>
        <v>9153.4769431362802</v>
      </c>
      <c r="S501" s="16" cm="1">
        <f t="array" ref="S501">Y501*tax_rate</f>
        <v>0</v>
      </c>
      <c r="T501" s="16">
        <f t="shared" si="184"/>
        <v>3558364.5877360855</v>
      </c>
      <c r="U501" s="16">
        <f t="shared" si="176"/>
        <v>8875568.0261642449</v>
      </c>
      <c r="V501" s="16"/>
      <c r="W501" s="144">
        <f t="shared" si="185"/>
        <v>0.11395591435027486</v>
      </c>
      <c r="X501" s="144" t="str">
        <f t="shared" si="191"/>
        <v/>
      </c>
      <c r="Y501" s="146"/>
      <c r="Z501" s="139">
        <f t="shared" si="177"/>
        <v>8709.7338246280378</v>
      </c>
      <c r="AA501" s="114">
        <v>474</v>
      </c>
      <c r="AB501" s="46">
        <f t="shared" si="186"/>
        <v>0</v>
      </c>
      <c r="AC501" s="47"/>
      <c r="AD501" s="47">
        <f t="shared" si="168"/>
        <v>50334.242450259626</v>
      </c>
      <c r="AE501" s="86"/>
      <c r="AF501" s="140"/>
      <c r="AG501" s="140"/>
      <c r="AH501" s="140">
        <f t="shared" si="178"/>
        <v>8556535.8198585548</v>
      </c>
      <c r="AI501" s="15"/>
      <c r="AN501" s="9"/>
      <c r="AO501" s="9"/>
      <c r="AP501" s="9"/>
    </row>
    <row r="502" spans="2:42" ht="12" hidden="1" customHeight="1" outlineLevel="1" x14ac:dyDescent="0.25">
      <c r="B502" s="143" t="str">
        <f t="shared" si="167"/>
        <v/>
      </c>
      <c r="C502" s="16">
        <f t="shared" si="179"/>
        <v>5343789.4556203</v>
      </c>
      <c r="D502" s="16">
        <f t="shared" si="187"/>
        <v>10649.834844197843</v>
      </c>
      <c r="E502" s="16">
        <f t="shared" si="188"/>
        <v>-1302.5390676901457</v>
      </c>
      <c r="F502" s="16">
        <f t="shared" si="189"/>
        <v>-637.56195187966023</v>
      </c>
      <c r="G502" s="16">
        <f t="shared" si="180"/>
        <v>0</v>
      </c>
      <c r="H502" s="16">
        <v>0</v>
      </c>
      <c r="I502" s="16">
        <v>0</v>
      </c>
      <c r="J502" s="16">
        <v>0</v>
      </c>
      <c r="K502" s="16">
        <f t="shared" si="181"/>
        <v>-8.7526144841758944E-251</v>
      </c>
      <c r="L502" s="16">
        <f t="shared" si="182"/>
        <v>1940.1010195698059</v>
      </c>
      <c r="M502" s="16">
        <f t="shared" si="171"/>
        <v>1940.1010195698059</v>
      </c>
      <c r="N502" s="16">
        <f t="shared" si="172"/>
        <v>9791.0388950159413</v>
      </c>
      <c r="O502" s="16">
        <f t="shared" si="173"/>
        <v>8709.7338246280378</v>
      </c>
      <c r="P502" s="16">
        <f t="shared" si="183"/>
        <v>5.4703840525976218E-253</v>
      </c>
      <c r="Q502" s="16">
        <f t="shared" si="174"/>
        <v>5343789.4556203</v>
      </c>
      <c r="R502" s="16">
        <f t="shared" si="175"/>
        <v>9153.4769431362802</v>
      </c>
      <c r="S502" s="16" cm="1">
        <f t="array" ref="S502">Y502*tax_rate</f>
        <v>0</v>
      </c>
      <c r="T502" s="16">
        <f t="shared" si="184"/>
        <v>3582344.5837947885</v>
      </c>
      <c r="U502" s="16">
        <f t="shared" si="176"/>
        <v>8926134.0394150876</v>
      </c>
      <c r="V502" s="16"/>
      <c r="W502" s="144">
        <f t="shared" si="185"/>
        <v>0.11386270943635403</v>
      </c>
      <c r="X502" s="144" t="str">
        <f t="shared" si="191"/>
        <v/>
      </c>
      <c r="Y502" s="146"/>
      <c r="Z502" s="139">
        <f t="shared" si="177"/>
        <v>8709.7338246280378</v>
      </c>
      <c r="AA502" s="114">
        <v>475</v>
      </c>
      <c r="AB502" s="46">
        <f t="shared" si="186"/>
        <v>0</v>
      </c>
      <c r="AC502" s="47"/>
      <c r="AD502" s="49">
        <f t="shared" si="168"/>
        <v>50566.01325084269</v>
      </c>
      <c r="AE502" s="50"/>
      <c r="AF502" s="140"/>
      <c r="AG502" s="140"/>
      <c r="AH502" s="140">
        <f t="shared" si="178"/>
        <v>8605506.67207787</v>
      </c>
      <c r="AI502" s="15"/>
      <c r="AN502" s="9"/>
      <c r="AO502" s="9"/>
      <c r="AP502" s="9"/>
    </row>
    <row r="503" spans="2:42" ht="12" hidden="1" customHeight="1" outlineLevel="1" x14ac:dyDescent="0.25">
      <c r="B503" s="143" t="str">
        <f t="shared" si="167"/>
        <v/>
      </c>
      <c r="C503" s="16">
        <f t="shared" si="179"/>
        <v>5370508.402898401</v>
      </c>
      <c r="D503" s="16">
        <f t="shared" si="187"/>
        <v>10649.834844197843</v>
      </c>
      <c r="E503" s="16">
        <f t="shared" si="188"/>
        <v>-1302.5390676901457</v>
      </c>
      <c r="F503" s="16">
        <f t="shared" si="189"/>
        <v>-637.56195187966023</v>
      </c>
      <c r="G503" s="16">
        <f t="shared" si="180"/>
        <v>0</v>
      </c>
      <c r="H503" s="16">
        <v>0</v>
      </c>
      <c r="I503" s="16">
        <v>0</v>
      </c>
      <c r="J503" s="16">
        <v>0</v>
      </c>
      <c r="K503" s="16">
        <f t="shared" si="181"/>
        <v>-5.4703840525976218E-253</v>
      </c>
      <c r="L503" s="16">
        <f t="shared" si="182"/>
        <v>1940.1010195698059</v>
      </c>
      <c r="M503" s="16">
        <f t="shared" si="171"/>
        <v>1940.1010195698059</v>
      </c>
      <c r="N503" s="16">
        <f t="shared" si="172"/>
        <v>9791.0388950159413</v>
      </c>
      <c r="O503" s="16">
        <f t="shared" si="173"/>
        <v>8709.7338246280378</v>
      </c>
      <c r="P503" s="16">
        <f t="shared" si="183"/>
        <v>3.4189900328658331E-255</v>
      </c>
      <c r="Q503" s="16">
        <f t="shared" si="174"/>
        <v>5370508.402898401</v>
      </c>
      <c r="R503" s="16">
        <f t="shared" si="175"/>
        <v>9153.4769431362802</v>
      </c>
      <c r="S503" s="16" cm="1">
        <f t="array" ref="S503">Y503*tax_rate</f>
        <v>0</v>
      </c>
      <c r="T503" s="16">
        <f t="shared" si="184"/>
        <v>3606424.4965037364</v>
      </c>
      <c r="U503" s="16">
        <f t="shared" si="176"/>
        <v>8976932.8994021378</v>
      </c>
      <c r="V503" s="16"/>
      <c r="W503" s="144">
        <f t="shared" si="185"/>
        <v>0.1137697311129973</v>
      </c>
      <c r="X503" s="144" t="str">
        <f t="shared" si="191"/>
        <v/>
      </c>
      <c r="Y503" s="146"/>
      <c r="Z503" s="139">
        <f t="shared" si="177"/>
        <v>8709.7338246280378</v>
      </c>
      <c r="AA503" s="114">
        <v>476</v>
      </c>
      <c r="AB503" s="46">
        <f t="shared" si="186"/>
        <v>0</v>
      </c>
      <c r="AC503" s="47"/>
      <c r="AD503" s="49">
        <f t="shared" si="168"/>
        <v>50798.859987050295</v>
      </c>
      <c r="AE503" s="50"/>
      <c r="AF503" s="140"/>
      <c r="AG503" s="140"/>
      <c r="AH503" s="140">
        <f t="shared" si="178"/>
        <v>8654702.3952282332</v>
      </c>
      <c r="AI503" s="15"/>
      <c r="AN503" s="9"/>
      <c r="AO503" s="9"/>
      <c r="AP503" s="9"/>
    </row>
    <row r="504" spans="2:42" ht="12" hidden="1" customHeight="1" outlineLevel="1" x14ac:dyDescent="0.25">
      <c r="B504" s="143" t="str">
        <f t="shared" si="167"/>
        <v/>
      </c>
      <c r="C504" s="16">
        <f t="shared" si="179"/>
        <v>5397360.9449128928</v>
      </c>
      <c r="D504" s="16">
        <f t="shared" si="187"/>
        <v>10649.834844197843</v>
      </c>
      <c r="E504" s="16">
        <f t="shared" si="188"/>
        <v>-1302.5390676901457</v>
      </c>
      <c r="F504" s="16">
        <f t="shared" si="189"/>
        <v>-637.56195187966023</v>
      </c>
      <c r="G504" s="16">
        <f t="shared" si="180"/>
        <v>0</v>
      </c>
      <c r="H504" s="16">
        <v>0</v>
      </c>
      <c r="I504" s="16">
        <v>0</v>
      </c>
      <c r="J504" s="16">
        <v>0</v>
      </c>
      <c r="K504" s="16">
        <f t="shared" si="181"/>
        <v>-3.4189900328658331E-255</v>
      </c>
      <c r="L504" s="16">
        <f t="shared" si="182"/>
        <v>1940.1010195698059</v>
      </c>
      <c r="M504" s="16">
        <f t="shared" si="171"/>
        <v>1940.1010195698059</v>
      </c>
      <c r="N504" s="16">
        <f t="shared" si="172"/>
        <v>9791.0388950159413</v>
      </c>
      <c r="O504" s="16">
        <f t="shared" si="173"/>
        <v>8709.7338246280378</v>
      </c>
      <c r="P504" s="16">
        <f t="shared" si="183"/>
        <v>2.1368687705363094E-257</v>
      </c>
      <c r="Q504" s="16">
        <f t="shared" si="174"/>
        <v>5397360.9449128928</v>
      </c>
      <c r="R504" s="16">
        <f t="shared" si="175"/>
        <v>9153.4769431362802</v>
      </c>
      <c r="S504" s="16" cm="1">
        <f t="array" ref="S504">Y504*tax_rate</f>
        <v>0</v>
      </c>
      <c r="T504" s="16">
        <f t="shared" si="184"/>
        <v>3630604.7421823046</v>
      </c>
      <c r="U504" s="16">
        <f t="shared" si="176"/>
        <v>9027965.6870951969</v>
      </c>
      <c r="V504" s="16"/>
      <c r="W504" s="144">
        <f t="shared" si="185"/>
        <v>0.11367697913672908</v>
      </c>
      <c r="X504" s="144" t="str">
        <f t="shared" si="191"/>
        <v/>
      </c>
      <c r="Y504" s="145"/>
      <c r="Z504" s="139">
        <f t="shared" si="177"/>
        <v>8709.7338246280378</v>
      </c>
      <c r="AA504" s="114">
        <v>477</v>
      </c>
      <c r="AB504" s="46">
        <f t="shared" si="186"/>
        <v>0</v>
      </c>
      <c r="AC504" s="46"/>
      <c r="AD504" s="49">
        <f t="shared" si="168"/>
        <v>51032.787693059072</v>
      </c>
      <c r="AE504" s="50"/>
      <c r="AF504" s="140"/>
      <c r="AG504" s="140"/>
      <c r="AH504" s="140">
        <f t="shared" si="178"/>
        <v>8704124.0304004233</v>
      </c>
      <c r="AI504" s="15"/>
      <c r="AN504" s="9"/>
      <c r="AO504" s="9"/>
      <c r="AP504" s="9"/>
    </row>
    <row r="505" spans="2:42" ht="12" hidden="1" customHeight="1" outlineLevel="1" x14ac:dyDescent="0.25">
      <c r="B505" s="143" t="str">
        <f t="shared" si="167"/>
        <v/>
      </c>
      <c r="C505" s="16">
        <f t="shared" si="179"/>
        <v>5424347.7496374566</v>
      </c>
      <c r="D505" s="16">
        <f t="shared" si="187"/>
        <v>10649.834844197843</v>
      </c>
      <c r="E505" s="16">
        <f t="shared" si="188"/>
        <v>-1302.5390676901457</v>
      </c>
      <c r="F505" s="16">
        <f t="shared" si="189"/>
        <v>-637.56195187966023</v>
      </c>
      <c r="G505" s="16">
        <f t="shared" si="180"/>
        <v>0</v>
      </c>
      <c r="H505" s="16">
        <v>0</v>
      </c>
      <c r="I505" s="16">
        <v>0</v>
      </c>
      <c r="J505" s="16">
        <v>0</v>
      </c>
      <c r="K505" s="16">
        <f t="shared" si="181"/>
        <v>-2.1368687705363094E-257</v>
      </c>
      <c r="L505" s="16">
        <f t="shared" si="182"/>
        <v>1940.1010195698059</v>
      </c>
      <c r="M505" s="16">
        <f t="shared" si="171"/>
        <v>1940.1010195698059</v>
      </c>
      <c r="N505" s="16">
        <f t="shared" si="172"/>
        <v>9791.0388950159413</v>
      </c>
      <c r="O505" s="16">
        <f t="shared" si="173"/>
        <v>8709.7338246280378</v>
      </c>
      <c r="P505" s="16">
        <f t="shared" si="183"/>
        <v>1.3355429815821766E-259</v>
      </c>
      <c r="Q505" s="16">
        <f t="shared" si="174"/>
        <v>5424347.7496374566</v>
      </c>
      <c r="R505" s="16">
        <f t="shared" si="175"/>
        <v>9153.4769431362802</v>
      </c>
      <c r="S505" s="16" cm="1">
        <f t="array" ref="S505">Y505*tax_rate</f>
        <v>0</v>
      </c>
      <c r="T505" s="16">
        <f t="shared" si="184"/>
        <v>3654885.7388845338</v>
      </c>
      <c r="U505" s="16">
        <f t="shared" si="176"/>
        <v>9079233.4885219894</v>
      </c>
      <c r="V505" s="16"/>
      <c r="W505" s="144">
        <f t="shared" si="185"/>
        <v>0.11358445325573394</v>
      </c>
      <c r="X505" s="144" t="str">
        <f t="shared" si="191"/>
        <v/>
      </c>
      <c r="Y505" s="145"/>
      <c r="Z505" s="139">
        <f t="shared" si="177"/>
        <v>8709.7338246280378</v>
      </c>
      <c r="AA505" s="114">
        <v>478</v>
      </c>
      <c r="AB505" s="46">
        <f t="shared" si="186"/>
        <v>0</v>
      </c>
      <c r="AC505" s="46"/>
      <c r="AD505" s="49">
        <f t="shared" si="168"/>
        <v>51267.801426792517</v>
      </c>
      <c r="AE505" s="50"/>
      <c r="AF505" s="140"/>
      <c r="AG505" s="140"/>
      <c r="AH505" s="140">
        <f t="shared" si="178"/>
        <v>8753772.6235437412</v>
      </c>
      <c r="AI505" s="15"/>
      <c r="AN505" s="9"/>
      <c r="AO505" s="9"/>
      <c r="AP505" s="9"/>
    </row>
    <row r="506" spans="2:42" ht="12" hidden="1" customHeight="1" outlineLevel="1" x14ac:dyDescent="0.25">
      <c r="B506" s="143" t="str">
        <f t="shared" si="167"/>
        <v/>
      </c>
      <c r="C506" s="16">
        <f t="shared" si="179"/>
        <v>5451469.4883856429</v>
      </c>
      <c r="D506" s="16">
        <f t="shared" si="187"/>
        <v>10649.834844197843</v>
      </c>
      <c r="E506" s="16">
        <f t="shared" si="188"/>
        <v>-1302.5390676901457</v>
      </c>
      <c r="F506" s="16">
        <f t="shared" si="189"/>
        <v>-637.56195187966023</v>
      </c>
      <c r="G506" s="16">
        <f t="shared" si="180"/>
        <v>0</v>
      </c>
      <c r="H506" s="16">
        <v>0</v>
      </c>
      <c r="I506" s="16">
        <v>0</v>
      </c>
      <c r="J506" s="16">
        <v>0</v>
      </c>
      <c r="K506" s="16">
        <f t="shared" si="181"/>
        <v>-1.3355429815821766E-259</v>
      </c>
      <c r="L506" s="16">
        <f t="shared" si="182"/>
        <v>1940.1010195698059</v>
      </c>
      <c r="M506" s="16">
        <f t="shared" si="171"/>
        <v>1940.1010195698059</v>
      </c>
      <c r="N506" s="16">
        <f t="shared" si="172"/>
        <v>9791.0388950159413</v>
      </c>
      <c r="O506" s="16">
        <f t="shared" si="173"/>
        <v>8709.7338246280378</v>
      </c>
      <c r="P506" s="16">
        <f t="shared" si="183"/>
        <v>8.3471436348697718E-262</v>
      </c>
      <c r="Q506" s="16">
        <f t="shared" si="174"/>
        <v>5451469.4883856429</v>
      </c>
      <c r="R506" s="16">
        <f t="shared" si="175"/>
        <v>9153.4769431362802</v>
      </c>
      <c r="S506" s="16" cm="1">
        <f t="array" ref="S506">Y506*tax_rate</f>
        <v>0</v>
      </c>
      <c r="T506" s="16">
        <f t="shared" si="184"/>
        <v>3679267.9064063556</v>
      </c>
      <c r="U506" s="16">
        <f t="shared" si="176"/>
        <v>9130737.394791998</v>
      </c>
      <c r="V506" s="16"/>
      <c r="W506" s="144">
        <f t="shared" si="185"/>
        <v>0.11349215321005984</v>
      </c>
      <c r="X506" s="144" t="str">
        <f t="shared" si="191"/>
        <v/>
      </c>
      <c r="Y506" s="146"/>
      <c r="Z506" s="139">
        <f t="shared" si="177"/>
        <v>8709.7338246280378</v>
      </c>
      <c r="AA506" s="114">
        <v>479</v>
      </c>
      <c r="AB506" s="46">
        <f t="shared" si="186"/>
        <v>0</v>
      </c>
      <c r="AC506" s="47"/>
      <c r="AD506" s="49">
        <f t="shared" si="168"/>
        <v>51503.906270008534</v>
      </c>
      <c r="AE506" s="50"/>
      <c r="AF506" s="140"/>
      <c r="AG506" s="140"/>
      <c r="AH506" s="140">
        <f t="shared" si="178"/>
        <v>8803649.2254888602</v>
      </c>
      <c r="AI506" s="15"/>
      <c r="AN506" s="9"/>
      <c r="AO506" s="9"/>
      <c r="AP506" s="9"/>
    </row>
    <row r="507" spans="2:42" ht="15" customHeight="1" collapsed="1" x14ac:dyDescent="0.25">
      <c r="B507" s="143">
        <f t="shared" si="167"/>
        <v>40</v>
      </c>
      <c r="C507" s="16">
        <f t="shared" si="179"/>
        <v>5478726.8358275704</v>
      </c>
      <c r="D507" s="16">
        <f t="shared" si="187"/>
        <v>10649.834844197843</v>
      </c>
      <c r="E507" s="16">
        <f t="shared" si="188"/>
        <v>-1302.5390676901457</v>
      </c>
      <c r="F507" s="16">
        <f t="shared" si="189"/>
        <v>-637.56195187966023</v>
      </c>
      <c r="G507" s="16">
        <f t="shared" si="180"/>
        <v>0</v>
      </c>
      <c r="H507" s="16">
        <v>0</v>
      </c>
      <c r="I507" s="16">
        <v>0</v>
      </c>
      <c r="J507" s="16">
        <v>0</v>
      </c>
      <c r="K507" s="16">
        <f t="shared" si="181"/>
        <v>-8.3471436348697718E-262</v>
      </c>
      <c r="L507" s="16">
        <f t="shared" si="182"/>
        <v>1940.1010195698059</v>
      </c>
      <c r="M507" s="16">
        <f t="shared" si="171"/>
        <v>1940.1010195698059</v>
      </c>
      <c r="N507" s="16">
        <f t="shared" si="172"/>
        <v>9791.0388950159413</v>
      </c>
      <c r="O507" s="16">
        <f t="shared" si="173"/>
        <v>8709.7338246280378</v>
      </c>
      <c r="P507" s="16">
        <f t="shared" si="183"/>
        <v>5.2169647717818736E-264</v>
      </c>
      <c r="Q507" s="16">
        <f t="shared" si="174"/>
        <v>5478726.8358275704</v>
      </c>
      <c r="R507" s="16">
        <f t="shared" si="175"/>
        <v>9153.4769431362802</v>
      </c>
      <c r="S507" s="16" cm="1">
        <f t="array" ref="S507">Y507*tax_rate</f>
        <v>6638.7031387019842</v>
      </c>
      <c r="T507" s="16">
        <f t="shared" si="184"/>
        <v>3710390.3694315534</v>
      </c>
      <c r="U507" s="16">
        <f t="shared" si="176"/>
        <v>9189117.2052591238</v>
      </c>
      <c r="V507" s="16">
        <f t="shared" ref="V507" si="193">U507-U495</f>
        <v>612115.38010813482</v>
      </c>
      <c r="W507" s="144">
        <f t="shared" si="185"/>
        <v>0.11342019565527879</v>
      </c>
      <c r="X507" s="144">
        <f t="shared" si="191"/>
        <v>7.1367057228923836E-2</v>
      </c>
      <c r="Y507" s="145">
        <f>(((Sale_Price*0.8)+Improvement_Costs+Closing_Costs_Total)/27.5)+(-E507*12)+-AC507</f>
        <v>30175.923357736294</v>
      </c>
      <c r="Z507" s="139">
        <f t="shared" si="177"/>
        <v>8709.7338246280378</v>
      </c>
      <c r="AA507" s="114">
        <v>480</v>
      </c>
      <c r="AB507" s="46">
        <f t="shared" si="186"/>
        <v>0</v>
      </c>
      <c r="AC507" s="46">
        <f t="shared" ref="AC507" si="194">SUM(AB496:AB507)</f>
        <v>0</v>
      </c>
      <c r="AD507" s="47">
        <f t="shared" si="168"/>
        <v>58379.810467125848</v>
      </c>
      <c r="AE507" s="86">
        <f>D507*12</f>
        <v>127798.01813037411</v>
      </c>
      <c r="AF507" s="140"/>
      <c r="AG507" s="140"/>
      <c r="AH507" s="140">
        <f t="shared" si="178"/>
        <v>8860393.5951094702</v>
      </c>
      <c r="AI507" s="15">
        <f>AI495*(1+Comparison_Rate_of_Return)</f>
        <v>5657406.9460220123</v>
      </c>
      <c r="AN507" s="9"/>
      <c r="AO507" s="9"/>
      <c r="AP507" s="9"/>
    </row>
    <row r="508" spans="2:42" ht="15" customHeight="1" x14ac:dyDescent="0.25">
      <c r="C508" s="85"/>
      <c r="D508" s="85"/>
      <c r="E508" s="85"/>
      <c r="F508" s="85"/>
      <c r="G508" s="85"/>
      <c r="H508" s="85"/>
      <c r="I508" s="85"/>
      <c r="J508" s="85"/>
      <c r="K508" s="85"/>
      <c r="L508" s="85"/>
      <c r="M508" s="85"/>
      <c r="N508" s="85"/>
      <c r="O508" s="85"/>
      <c r="P508" s="138"/>
      <c r="Q508" s="142"/>
      <c r="R508" s="141"/>
      <c r="T508" s="147"/>
      <c r="U508" s="148"/>
      <c r="V508" s="148"/>
      <c r="W508" s="148"/>
      <c r="X508" s="11"/>
    </row>
  </sheetData>
  <sheetProtection algorithmName="SHA-512" hashValue="S16MZeKsYdIMqNbxCVdSQZrO4gL/D7qMd1JTUoH6ZTPiFUqMdRI+9R2TLRJFpNEPs4lWs0gUKiO0Pkc3kr8YPw==" saltValue="6zH809QvVgGoZQlq8kplWQ==" spinCount="100000" sheet="1" selectLockedCells="1" selectUnlockedCells="1"/>
  <mergeCells count="53">
    <mergeCell ref="A8:T9"/>
    <mergeCell ref="J19:K19"/>
    <mergeCell ref="Q16:R16"/>
    <mergeCell ref="Q15:R15"/>
    <mergeCell ref="Q14:R14"/>
    <mergeCell ref="Q13:R13"/>
    <mergeCell ref="Q12:R12"/>
    <mergeCell ref="F11:H11"/>
    <mergeCell ref="B11:D11"/>
    <mergeCell ref="B13:C13"/>
    <mergeCell ref="F19:H19"/>
    <mergeCell ref="B17:C17"/>
    <mergeCell ref="B15:C15"/>
    <mergeCell ref="F15:G15"/>
    <mergeCell ref="F14:G14"/>
    <mergeCell ref="F13:G13"/>
    <mergeCell ref="Z12:AA12"/>
    <mergeCell ref="J12:K12"/>
    <mergeCell ref="J11:O11"/>
    <mergeCell ref="M19:N19"/>
    <mergeCell ref="M18:N18"/>
    <mergeCell ref="M17:N17"/>
    <mergeCell ref="M15:N15"/>
    <mergeCell ref="M12:N12"/>
    <mergeCell ref="J14:K14"/>
    <mergeCell ref="M14:N14"/>
    <mergeCell ref="M13:N13"/>
    <mergeCell ref="Q11:S11"/>
    <mergeCell ref="M16:N16"/>
    <mergeCell ref="Q19:S19"/>
    <mergeCell ref="F12:G12"/>
    <mergeCell ref="B12:C12"/>
    <mergeCell ref="J13:K13"/>
    <mergeCell ref="B14:C14"/>
    <mergeCell ref="J15:K15"/>
    <mergeCell ref="B16:C16"/>
    <mergeCell ref="J16:K16"/>
    <mergeCell ref="J17:K17"/>
    <mergeCell ref="F16:G16"/>
    <mergeCell ref="B18:C18"/>
    <mergeCell ref="F17:G17"/>
    <mergeCell ref="B19:C19"/>
    <mergeCell ref="J18:K18"/>
    <mergeCell ref="B23:C23"/>
    <mergeCell ref="B22:C22"/>
    <mergeCell ref="B21:C21"/>
    <mergeCell ref="B20:C20"/>
    <mergeCell ref="Q22:R22"/>
    <mergeCell ref="Q21:R21"/>
    <mergeCell ref="Q20:R20"/>
    <mergeCell ref="F22:G22"/>
    <mergeCell ref="F21:G21"/>
    <mergeCell ref="F20:G20"/>
  </mergeCells>
  <dataValidations disablePrompts="1" count="12">
    <dataValidation type="whole" showErrorMessage="1" errorTitle="Data Error" error="The input in this field must be between $0 and $1,000,000." promptTitle="Additional Equity" prompt="The input in this field must be between $0 and $1,000,000." sqref="D14" xr:uid="{D4EF804E-2D8F-4E4A-A995-2A3F39240DF9}">
      <formula1>0</formula1>
      <formula2>1000000</formula2>
    </dataValidation>
    <dataValidation type="whole" showErrorMessage="1" errorTitle="Error" error="The input in this field must be between $0 and $10,000,000" promptTitle="Sale Price" prompt="The input in this field must be between $0 and $10,000,000" sqref="D12" xr:uid="{B692C422-C2CE-4437-9E10-4502BB849471}">
      <formula1>0</formula1>
      <formula2>10000000</formula2>
    </dataValidation>
    <dataValidation type="whole" allowBlank="1" showErrorMessage="1" errorTitle="Error" error="The input in this field must be between $0 and $500,000." promptTitle="Improvement/Extra Costs" prompt="The input in this field must be between $0 and $500,000." sqref="D13" xr:uid="{C43BB6EE-1FAC-45C0-B345-D0763A491D80}">
      <formula1>0</formula1>
      <formula2>500000</formula2>
    </dataValidation>
    <dataValidation type="whole" showErrorMessage="1" promptTitle="Monthly Rent" prompt="The input in this field must be between $0 and $50,000." sqref="H12" xr:uid="{70185776-BFB0-46BC-92A9-9A229263D794}">
      <formula1>0</formula1>
      <formula2>50000</formula2>
    </dataValidation>
    <dataValidation errorTitle="Error" error="The input in this field must be between 0.0% and 15.0%." promptTitle="Loan Rate" prompt="The input in this field must be between 0.0% and 15.0%." sqref="L12" xr:uid="{873D7895-20F0-44A7-9790-39AD94A70B98}"/>
    <dataValidation type="whole" allowBlank="1" showErrorMessage="1" errorTitle="Error" error="The input in this field must be between 0 and 40 years." promptTitle="Loan Term" prompt="The input in this field must be between 0 and 40 years." sqref="L14" xr:uid="{A6325816-2FE8-43C8-BC28-5CE0834A9FB7}">
      <formula1>0</formula1>
      <formula2>40</formula2>
    </dataValidation>
    <dataValidation type="whole" allowBlank="1" showErrorMessage="1" promptTitle="Monthly Utilities" prompt="The input in this field must be between $0 and $5,000." sqref="L15" xr:uid="{E6713D28-0FC2-4AD5-A22B-431EB31AB2DF}">
      <formula1>0</formula1>
      <formula2>5000</formula2>
    </dataValidation>
    <dataValidation type="whole" allowBlank="1" showErrorMessage="1" errorTitle="Error" error="The input in this field must be between $0 and $1,000." promptTitle="Monthly HOA" prompt="The input in this field must be between $0 and $1,000." sqref="O15" xr:uid="{2E458E6C-1CCE-4602-93A3-9301986D9214}">
      <formula1>0</formula1>
      <formula2>1000</formula2>
    </dataValidation>
    <dataValidation type="whole" allowBlank="1" showErrorMessage="1" errorTitle="Error" error="The input in this field must be between $0 and $100,000." promptTitle="Annual Property Tax" prompt="The input in this field must be between $0 and $100,000." sqref="O18" xr:uid="{7A2DA630-FAB2-4773-B207-FADE1532D279}">
      <formula1>0</formula1>
      <formula2>100000</formula2>
    </dataValidation>
    <dataValidation type="whole" allowBlank="1" showErrorMessage="1" errorTitle="Error" error="The input in this field must be between $0 and $20,000." sqref="O19" xr:uid="{1E3D3BA1-3483-4AD9-B919-4DB48BB528AF}">
      <formula1>0</formula1>
      <formula2>20000</formula2>
    </dataValidation>
    <dataValidation type="list" showErrorMessage="1" errorTitle="Invalid Selection" error="This Cell Must Be &quot;Yes&quot; or &quot;No&quot;" sqref="I24:I25 H17" xr:uid="{AE97E159-8A53-4907-81CB-DA25B43DB48B}">
      <formula1>$AD$12:$AD$13</formula1>
    </dataValidation>
    <dataValidation type="decimal" operator="greaterThanOrEqual" allowBlank="1" showInputMessage="1" showErrorMessage="1" errorTitle="Out of Range" error="This variable must be a whole dollar amount greater than or equal to $0." sqref="O17" xr:uid="{E53F1878-ECAA-45A2-8839-E2AE090B4711}">
      <formula1>0</formula1>
    </dataValidation>
  </dataValidations>
  <printOptions horizontalCentered="1"/>
  <pageMargins left="0.25" right="0.25" top="0.75" bottom="0.5" header="0.25" footer="0.25"/>
  <pageSetup scale="38" orientation="landscape" r:id="rId1"/>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8865F-5F96-4E44-9AA1-6FCDCC4304D1}">
  <sheetPr>
    <tabColor rgb="FF970A1A"/>
  </sheetPr>
  <dimension ref="A1"/>
  <sheetViews>
    <sheetView showGridLines="0" showRowColHeaders="0" zoomScale="85" zoomScaleNormal="85" workbookViewId="0">
      <selection activeCell="G3" sqref="G3"/>
    </sheetView>
  </sheetViews>
  <sheetFormatPr defaultRowHeight="15" x14ac:dyDescent="0.25"/>
  <sheetData/>
  <sheetProtection algorithmName="SHA-512" hashValue="p5o0KDlpF2kRGvLaVqHWwMpVBhH6vkuTJGla5BWmKiKbuUQzrLz3S0myY5AX66GRkWUaLHOZc1ujzB8iPtVQLg==" saltValue="HjjO0SCoA3F247JXJZJv+Q==" spinCount="100000" sheet="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59F2-4899-4015-98D6-668EAFF8634E}">
  <sheetPr>
    <tabColor rgb="FF970A1A"/>
  </sheetPr>
  <dimension ref="A1"/>
  <sheetViews>
    <sheetView showGridLines="0" showRowColHeaders="0" zoomScale="85" zoomScaleNormal="85" workbookViewId="0">
      <selection activeCell="G3" sqref="G3"/>
    </sheetView>
  </sheetViews>
  <sheetFormatPr defaultRowHeight="15" x14ac:dyDescent="0.25"/>
  <sheetData/>
  <sheetProtection algorithmName="SHA-512" hashValue="DuC3H03Bz8stBesnXLXf7thkVVY/zH4MM+CdV+FoR/JExJIwxEvbFqeKuuYk/z/tvHYnS4mvv769z5yKfK2bGw==" saltValue="SsATqSjmGFQqFnNcju20qw==" spinCount="100000" sheet="1" selectLockedCells="1" selectUnlockedCell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b 3 w j V J y K l F + i A A A A 9 Q A A A B I A H A B D b 2 5 m a W c v U G F j a 2 F n Z S 5 4 b W w g o h g A K K A U A A A A A A A A A A A A A A A A A A A A A A A A A A A A h Y + x D o I w F E V / h X S n L X U R 8 i i D q y Q m R O P a Q M V G e B h a L P / m 4 C f 5 C 2 I U d X O 8 5 5 7 h 3 v v 1 B t n Y N s F F 9 9 Z 0 m J K I c h J o L L v K Y J 2 S w R 3 C J c k k b F R 5 U r U O J h l t M t o q J U f n z g l j 3 n v q F 7 T r a y Y 4 j 9 g + X x f l U b e K f G T z X w 4 N W q e w 1 E T C 7 j V G C h r H V H B B O b C Z Q W 7 w 2 4 t p 7 r P 9 g b A a G j f 0 W m o M t w W w O Q J 7 X 5 A P U E s D B B Q A A g A I A G 9 8 I 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f C N U K I p H u A 4 A A A A R A A A A E w A c A E Z v c m 1 1 b G F z L 1 N l Y 3 R p b 2 4 x L m 0 g o h g A K K A U A A A A A A A A A A A A A A A A A A A A A A A A A A A A K 0 5 N L s n M z 1 M I h t C G 1 g B Q S w E C L Q A U A A I A C A B v f C N U n I q U X 6 I A A A D 1 A A A A E g A A A A A A A A A A A A A A A A A A A A A A Q 2 9 u Z m l n L 1 B h Y 2 t h Z 2 U u e G 1 s U E s B A i 0 A F A A C A A g A b 3 w j V A / K 6 a u k A A A A 6 Q A A A B M A A A A A A A A A A A A A A A A A 7 g A A A F t D b 2 5 0 Z W 5 0 X 1 R 5 c G V z X S 5 4 b W x Q S w E C L Q A U A A I A C A B v f C N U 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S p 1 R 4 1 x n E G o t u h G e e n I G g A A A A A C A A A A A A A Q Z g A A A A E A A C A A A A A H 0 4 t L P Y m k D G 5 s M U J v o w L v q f E V v I s Y 0 h Z S 2 C z m b s u t i Q A A A A A O g A A A A A I A A C A A A A B + E I 6 E y I 2 D W r w y M w b K 1 U x E C Y f h j / o s T T X n c f 2 O x k z q + F A A A A A X J + n x 8 h X E w K X d a e P g e R X 6 m W + g w j n L 0 u e e 3 E R 4 8 f 5 / s K R J n q D V N L Z o G Z H j W Y / O e E U J 7 R / b 6 A A Q C Q q k r N E O 2 W K K S s p 9 I d K R z 2 h J i u V 0 X j B p w k A A A A C Y d G 3 q A l C A F V k D c I s l r v P V 4 9 9 0 z y r h 9 M 9 8 Z v w F i 7 a C e D Z b p c D l G q z E X H 7 k J N w 5 I l v h W R z M o g g B q K 3 p + c M v L 3 6 S < / D a t a M a s h u p > 
</file>

<file path=customXml/itemProps1.xml><?xml version="1.0" encoding="utf-8"?>
<ds:datastoreItem xmlns:ds="http://schemas.openxmlformats.org/officeDocument/2006/customXml" ds:itemID="{9023495C-B6D4-45E0-99BC-5E6C198825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47</vt:i4>
      </vt:variant>
    </vt:vector>
  </HeadingPairs>
  <TitlesOfParts>
    <vt:vector size="63" baseType="lpstr">
      <vt:lpstr>Client Dashboard</vt:lpstr>
      <vt:lpstr>Cover</vt:lpstr>
      <vt:lpstr>Total Investment Value</vt:lpstr>
      <vt:lpstr>Income &amp; Expenses</vt:lpstr>
      <vt:lpstr>Table</vt:lpstr>
      <vt:lpstr>Advanced</vt:lpstr>
      <vt:lpstr>Advanced Table</vt:lpstr>
      <vt:lpstr>Rev &amp; NOE</vt:lpstr>
      <vt:lpstr>Rev, Combined Exp, &amp; NOE</vt:lpstr>
      <vt:lpstr>Rev &amp; Combined Exp</vt:lpstr>
      <vt:lpstr>Loan &amp; Taxes</vt:lpstr>
      <vt:lpstr>Notes for Update</vt:lpstr>
      <vt:lpstr>Descriptions &amp; Disclosures</vt:lpstr>
      <vt:lpstr>Version Notes</vt:lpstr>
      <vt:lpstr>Annual Increase in Wealth</vt:lpstr>
      <vt:lpstr>1st Bank Loan Eligibility</vt:lpstr>
      <vt:lpstr>Additional_Acquisition_Costs</vt:lpstr>
      <vt:lpstr>Additional_Equity</vt:lpstr>
      <vt:lpstr>Annual_Appreciation_Percentage</vt:lpstr>
      <vt:lpstr>Annual_Inflation_Percentage</vt:lpstr>
      <vt:lpstr>Annual_Insurance</vt:lpstr>
      <vt:lpstr>Annual_Maintenance_Reserves_Budget</vt:lpstr>
      <vt:lpstr>Annual_Maintenance_Reserves_Budget_Percentage</vt:lpstr>
      <vt:lpstr>Annual_Property_Tax</vt:lpstr>
      <vt:lpstr>Annual_Rent_Increase_Percentage</vt:lpstr>
      <vt:lpstr>APR</vt:lpstr>
      <vt:lpstr>Average_Tenant_Turnover_Months</vt:lpstr>
      <vt:lpstr>Cap_Rate</vt:lpstr>
      <vt:lpstr>Cash_on_Cash_Return</vt:lpstr>
      <vt:lpstr>Closing_Costs_Fees</vt:lpstr>
      <vt:lpstr>Closing_Costs_Points</vt:lpstr>
      <vt:lpstr>Closing_Costs_Total</vt:lpstr>
      <vt:lpstr>Comparison_Rate_of_Return</vt:lpstr>
      <vt:lpstr>Cost_of_Sale_Percentage</vt:lpstr>
      <vt:lpstr>Down_Payment_Dollars</vt:lpstr>
      <vt:lpstr>Down_Payment_Percentage</vt:lpstr>
      <vt:lpstr>Hypothetical_Payment</vt:lpstr>
      <vt:lpstr>Improvement_Costs</vt:lpstr>
      <vt:lpstr>Initial_Equity</vt:lpstr>
      <vt:lpstr>Initial_Loan_Amount</vt:lpstr>
      <vt:lpstr>Lease_Up_Fee_Dollars</vt:lpstr>
      <vt:lpstr>Lease_Up_Fee_Percentage</vt:lpstr>
      <vt:lpstr>Loan_Rate</vt:lpstr>
      <vt:lpstr>Loan_Term</vt:lpstr>
      <vt:lpstr>Loan_Type</vt:lpstr>
      <vt:lpstr>Management_Fee_Y_or_N</vt:lpstr>
      <vt:lpstr>Monthly_Expenses_Excluding_Principal_and_Interest</vt:lpstr>
      <vt:lpstr>Monthly_HOA</vt:lpstr>
      <vt:lpstr>Monthly_Management_Fee_Dollars</vt:lpstr>
      <vt:lpstr>Monthly_Management_Fee_Percentage</vt:lpstr>
      <vt:lpstr>Monthly_Rent</vt:lpstr>
      <vt:lpstr>Monthly_Utilities</vt:lpstr>
      <vt:lpstr>Net_Income_Toward_Loan</vt:lpstr>
      <vt:lpstr>NOI</vt:lpstr>
      <vt:lpstr>Other_Fixed_Monthly_Cost</vt:lpstr>
      <vt:lpstr>Other_Monthly_Cost_Months</vt:lpstr>
      <vt:lpstr>PI_Payment</vt:lpstr>
      <vt:lpstr>Rent_Occupancy</vt:lpstr>
      <vt:lpstr>Sale_Price</vt:lpstr>
      <vt:lpstr>tax_rate</vt:lpstr>
      <vt:lpstr>Time_Value_of_Money_Percentage</vt:lpstr>
      <vt:lpstr>Total_Initial_Investment</vt:lpstr>
      <vt:lpstr>Total_Monthly_Mgmt_Fee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Brady Mullen</dc:creator>
  <cp:lastModifiedBy>Dan Mullen</cp:lastModifiedBy>
  <cp:lastPrinted>2023-10-23T20:02:41Z</cp:lastPrinted>
  <dcterms:created xsi:type="dcterms:W3CDTF">2019-11-12T21:41:33Z</dcterms:created>
  <dcterms:modified xsi:type="dcterms:W3CDTF">2024-06-25T04:12:16Z</dcterms:modified>
</cp:coreProperties>
</file>