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ttps://d.docs.live.net/d6948eb64de24e66/Documents/Dan's Spreadsheets/Renting vs. Owning/"/>
    </mc:Choice>
  </mc:AlternateContent>
  <xr:revisionPtr revIDLastSave="66" documentId="13_ncr:1_{437759C4-C592-4E69-A684-F8FDCC4AF31E}" xr6:coauthVersionLast="47" xr6:coauthVersionMax="47" xr10:uidLastSave="{7E254DBE-A89A-4F53-B077-2E607AAB064A}"/>
  <workbookProtection workbookAlgorithmName="SHA-512" workbookHashValue="v4yoLnUztl9mPGLrP7NhP9wRNL9nVbkZJzvt5mUaJ0bnV/V2Xq9Fh6/ugibd9W+EUOvEh1hmARqT+njgv5jhOg==" workbookSaltValue="Z0x/QUUGIjd7HNHXAAwAZw==" workbookSpinCount="100000" lockStructure="1"/>
  <bookViews>
    <workbookView xWindow="-120" yWindow="-120" windowWidth="29040" windowHeight="15720" tabRatio="893" xr2:uid="{5594FC14-F8B9-4871-B9B8-2B6556F1FA18}"/>
  </bookViews>
  <sheets>
    <sheet name="Dashboard" sheetId="7" r:id="rId1"/>
    <sheet name="Data" sheetId="1" r:id="rId2"/>
    <sheet name="Rent Only Cash Flow" sheetId="26" state="hidden" r:id="rId3"/>
    <sheet name="Monthly Cash Flow" sheetId="6" r:id="rId4"/>
    <sheet name="Monthly Cash Flow (no labels)" sheetId="27" state="hidden" r:id="rId5"/>
    <sheet name="Home Equity" sheetId="2" r:id="rId6"/>
    <sheet name="Home &amp; Loan Vals" sheetId="16" r:id="rId7"/>
    <sheet name="Accum Cost" sheetId="8" r:id="rId8"/>
    <sheet name="TWD Comp (20)" sheetId="25" state="hidden" r:id="rId9"/>
    <sheet name="TWD Comp (35)" sheetId="9" r:id="rId10"/>
    <sheet name="TWD 5 Yrs" sheetId="22" state="hidden" r:id="rId11"/>
    <sheet name="TWD 10 Yrs" sheetId="23" state="hidden" r:id="rId12"/>
    <sheet name="TWD 20 Yrs" sheetId="24" state="hidden" r:id="rId13"/>
    <sheet name="TWD 35 Yrs" sheetId="29" state="hidden" r:id="rId14"/>
    <sheet name="Home &amp; Loan" sheetId="13" state="hidden" r:id="rId15"/>
    <sheet name="Home &amp; Loans (no values)" sheetId="10" state="hidden" r:id="rId16"/>
    <sheet name="Monthly CF Difference" sheetId="4" state="hidden" r:id="rId17"/>
    <sheet name="Update Notes" sheetId="14" state="hidden" r:id="rId18"/>
  </sheets>
  <definedNames>
    <definedName name="Annual_Appreciation">Dashboard!$C$40</definedName>
    <definedName name="Annual_Maintenance">Dashboard!$C$33</definedName>
    <definedName name="Annual_Maintenance_Percentage">Dashboard!$C$32</definedName>
    <definedName name="Annual_Rent_Increase">Dashboard!$C$39</definedName>
    <definedName name="Annual_Tax">Dashboard!$C$27</definedName>
    <definedName name="Closing_Costs_in_Loan">Dashboard!$C$20</definedName>
    <definedName name="Closing_Costs_OOP">Dashboard!$C$19</definedName>
    <definedName name="Down_Payment">Dashboard!$C$18</definedName>
    <definedName name="Down_Payment_Percentage">Dashboard!$C$17</definedName>
    <definedName name="Inflation_Rate">Dashboard!$C$41</definedName>
    <definedName name="Loan_Amount">Dashboard!$O$6</definedName>
    <definedName name="Loan_Rate">Dashboard!$C$22</definedName>
    <definedName name="Loan_Term">Dashboard!$C$23</definedName>
    <definedName name="Loan_Type">Dashboard!$C$21</definedName>
    <definedName name="Monthly_Escrow">Data!$K$4</definedName>
    <definedName name="Monthly_Extra_to_Mortgage">Dashboard!$C$34</definedName>
    <definedName name="Monthly_HOA_Own">Data!#REF!</definedName>
    <definedName name="Monthly_Income">Dashboard!$C$36</definedName>
    <definedName name="Monthly_Income_Term">Dashboard!$C$37</definedName>
    <definedName name="Monthly_Mortgage_Insurance">Dashboard!$C$24</definedName>
    <definedName name="Monthly_Other">Dashboard!$C$12</definedName>
    <definedName name="Monthly_P_and_I">Data!$K$3</definedName>
    <definedName name="Monthly_Rent">Dashboard!$C$10</definedName>
    <definedName name="Monthly_Utilities">Data!#REF!</definedName>
    <definedName name="Mortgage_Insurance_Years">Dashboard!$C$25</definedName>
    <definedName name="Own_Annual_Insurance">Dashboard!$C$28</definedName>
    <definedName name="Own_Monthly_Costs_Excl_P_and_I">Data!$K$5</definedName>
    <definedName name="Own_Monthly_HOA">Dashboard!$C$30</definedName>
    <definedName name="Own_Monthly_Payment">Data!$K$7</definedName>
    <definedName name="Own_Monthly_Total_Costs">Data!$O$2</definedName>
    <definedName name="Own_Monthly_Utilities">Dashboard!$C$31</definedName>
    <definedName name="Rent_Annual_Insurance">Dashboard!$C$13</definedName>
    <definedName name="Rent_Monthly_Total_Cost">Dashboard!$O$10</definedName>
    <definedName name="Rent_Monthly_Utilities">Dashboard!$C$11</definedName>
    <definedName name="Sale_Price">Dashboard!$C$16</definedName>
    <definedName name="TVM">Data!$O$6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7" l="1"/>
  <c r="B11" i="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K2" i="1"/>
  <c r="O14" i="1" l="1"/>
  <c r="O11" i="1"/>
  <c r="O12" i="1"/>
  <c r="O13" i="1"/>
  <c r="P10" i="1"/>
  <c r="P11" i="1" s="1" a="1"/>
  <c r="P11" i="1" s="1"/>
  <c r="P12" i="1" s="1"/>
  <c r="P13" i="1" s="1"/>
  <c r="P14" i="1" s="1"/>
  <c r="P15" i="1" s="1"/>
  <c r="P16" i="1" s="1"/>
  <c r="P17" i="1" s="1"/>
  <c r="P18" i="1" s="1"/>
  <c r="P19" i="1" s="1"/>
  <c r="P20" i="1" s="1"/>
  <c r="P21" i="1" s="1"/>
  <c r="P22" i="1" s="1"/>
  <c r="P23" i="1" s="1"/>
  <c r="P24" i="1" s="1"/>
  <c r="P25" i="1" s="1"/>
  <c r="P26" i="1" s="1"/>
  <c r="P27" i="1" s="1"/>
  <c r="P28" i="1" s="1"/>
  <c r="P29" i="1" s="1"/>
  <c r="P30" i="1" s="1"/>
  <c r="P31" i="1" s="1"/>
  <c r="P32" i="1" s="1"/>
  <c r="P33" i="1" s="1"/>
  <c r="P34" i="1" s="1"/>
  <c r="P35" i="1" s="1"/>
  <c r="P36" i="1" s="1"/>
  <c r="P37" i="1" s="1"/>
  <c r="P38" i="1" s="1"/>
  <c r="P39" i="1" s="1"/>
  <c r="P40" i="1" s="1"/>
  <c r="P41" i="1" s="1"/>
  <c r="P42" i="1" s="1"/>
  <c r="P43" i="1" s="1"/>
  <c r="P44" i="1" s="1"/>
  <c r="P45" i="1" s="1"/>
  <c r="C33" i="7"/>
  <c r="C14" i="7"/>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K4" i="1"/>
  <c r="K6" i="1"/>
  <c r="F10" i="1"/>
  <c r="E10" i="1"/>
  <c r="D10" i="1"/>
  <c r="O10" i="7"/>
  <c r="D11" i="1" l="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G10" i="1"/>
  <c r="H10" i="1" s="1"/>
  <c r="I11" i="1" s="1"/>
  <c r="F11" i="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G45" i="1" s="1"/>
  <c r="E11" i="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K5" i="1"/>
  <c r="M10" i="1"/>
  <c r="M11" i="1" s="1"/>
  <c r="M12" i="1" s="1"/>
  <c r="M13" i="1" s="1"/>
  <c r="M14" i="1" s="1"/>
  <c r="M15" i="1" s="1"/>
  <c r="M16" i="1" s="1"/>
  <c r="M17" i="1" s="1"/>
  <c r="M18" i="1" s="1"/>
  <c r="M19" i="1" s="1"/>
  <c r="M20" i="1" s="1"/>
  <c r="M21" i="1" s="1"/>
  <c r="M22" i="1" s="1"/>
  <c r="M23" i="1" s="1"/>
  <c r="M24" i="1" s="1"/>
  <c r="M25" i="1" s="1"/>
  <c r="M26" i="1" s="1"/>
  <c r="M27" i="1" s="1"/>
  <c r="M28" i="1" s="1"/>
  <c r="M29" i="1" s="1"/>
  <c r="M30" i="1" s="1"/>
  <c r="M31" i="1" s="1"/>
  <c r="M32" i="1" s="1"/>
  <c r="M33" i="1" s="1"/>
  <c r="M34" i="1" s="1"/>
  <c r="M35" i="1" s="1"/>
  <c r="M36" i="1" s="1"/>
  <c r="M37" i="1" s="1"/>
  <c r="M38" i="1" s="1"/>
  <c r="M39" i="1" s="1"/>
  <c r="M40" i="1" s="1"/>
  <c r="M41" i="1" s="1"/>
  <c r="M42" i="1" s="1"/>
  <c r="M43" i="1" s="1"/>
  <c r="M44" i="1" s="1"/>
  <c r="M45" i="1" s="1"/>
  <c r="G11" i="1" l="1"/>
  <c r="H11" i="1" s="1"/>
  <c r="I12" i="1" s="1"/>
  <c r="G18" i="1"/>
  <c r="H18" i="1" s="1"/>
  <c r="G12" i="1"/>
  <c r="H12" i="1" s="1"/>
  <c r="H45" i="1"/>
  <c r="G16" i="1"/>
  <c r="H16" i="1" s="1"/>
  <c r="G40" i="1"/>
  <c r="H40" i="1" s="1"/>
  <c r="G32" i="1"/>
  <c r="H32" i="1" s="1"/>
  <c r="G39" i="1"/>
  <c r="H39" i="1" s="1"/>
  <c r="K10" i="1"/>
  <c r="G31" i="1"/>
  <c r="H31" i="1" s="1"/>
  <c r="G38" i="1"/>
  <c r="H38" i="1" s="1"/>
  <c r="G14" i="1"/>
  <c r="H14" i="1" s="1"/>
  <c r="G36" i="1"/>
  <c r="H36" i="1" s="1"/>
  <c r="G29" i="1"/>
  <c r="H29" i="1" s="1"/>
  <c r="G28" i="1"/>
  <c r="H28" i="1" s="1"/>
  <c r="G41" i="1"/>
  <c r="H41" i="1" s="1"/>
  <c r="G22" i="1"/>
  <c r="H22" i="1" s="1"/>
  <c r="G20" i="1"/>
  <c r="H20" i="1" s="1"/>
  <c r="G33" i="1"/>
  <c r="H33" i="1" s="1"/>
  <c r="G24" i="1"/>
  <c r="H24" i="1" s="1"/>
  <c r="G25" i="1"/>
  <c r="H25" i="1" s="1"/>
  <c r="G43" i="1"/>
  <c r="H43" i="1" s="1"/>
  <c r="G17" i="1"/>
  <c r="H17" i="1" s="1"/>
  <c r="G21" i="1"/>
  <c r="H21" i="1" s="1"/>
  <c r="G23" i="1"/>
  <c r="H23" i="1" s="1"/>
  <c r="G15" i="1"/>
  <c r="H15" i="1" s="1"/>
  <c r="G35" i="1"/>
  <c r="H35" i="1" s="1"/>
  <c r="G42" i="1"/>
  <c r="H42" i="1" s="1"/>
  <c r="G13" i="1"/>
  <c r="H13" i="1" s="1"/>
  <c r="G27" i="1"/>
  <c r="H27" i="1" s="1"/>
  <c r="G34" i="1"/>
  <c r="H34" i="1" s="1"/>
  <c r="G37" i="1"/>
  <c r="H37" i="1" s="1"/>
  <c r="G44" i="1"/>
  <c r="H44" i="1" s="1"/>
  <c r="G19" i="1"/>
  <c r="H19" i="1" s="1"/>
  <c r="G26" i="1"/>
  <c r="H26" i="1" s="1"/>
  <c r="G30" i="1"/>
  <c r="H30" i="1" s="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0" i="1"/>
  <c r="C10" i="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I13" i="1" l="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I44" i="1" s="1"/>
  <c r="I45" i="1" s="1"/>
  <c r="L10" i="1"/>
  <c r="L11" i="1" s="1"/>
  <c r="C33" i="1"/>
  <c r="K11" i="1" l="1"/>
  <c r="C34" i="1"/>
  <c r="J11" i="1" l="1"/>
  <c r="C35" i="1"/>
  <c r="C36" i="1" l="1"/>
  <c r="C37" i="1" l="1"/>
  <c r="C38" i="1" l="1"/>
  <c r="C39" i="1" l="1"/>
  <c r="C40" i="1" l="1"/>
  <c r="C41" i="1" l="1"/>
  <c r="C42" i="1" l="1"/>
  <c r="C43" i="1" l="1"/>
  <c r="C44" i="1" l="1"/>
  <c r="C45" i="1" l="1"/>
  <c r="J12" i="1" l="1"/>
  <c r="K12" i="1" l="1"/>
  <c r="K13" i="1"/>
  <c r="J13" i="1" l="1"/>
  <c r="K14" i="1"/>
  <c r="J14" i="1" l="1"/>
  <c r="K15" i="1"/>
  <c r="J15" i="1" l="1"/>
  <c r="K16" i="1"/>
  <c r="J16" i="1" l="1"/>
  <c r="K17" i="1"/>
  <c r="J17" i="1" l="1"/>
  <c r="K18" i="1"/>
  <c r="J18" i="1" l="1"/>
  <c r="K19" i="1"/>
  <c r="J19" i="1" l="1"/>
  <c r="K20" i="1"/>
  <c r="J20" i="1" l="1"/>
  <c r="K21" i="1"/>
  <c r="J21" i="1" l="1"/>
  <c r="K22" i="1"/>
  <c r="J22" i="1" l="1"/>
  <c r="K23" i="1"/>
  <c r="J23" i="1" l="1"/>
  <c r="K24" i="1"/>
  <c r="J24" i="1" l="1"/>
  <c r="K25" i="1"/>
  <c r="J25" i="1" l="1"/>
  <c r="K26" i="1"/>
  <c r="J26" i="1" l="1"/>
  <c r="K27" i="1"/>
  <c r="J27" i="1" l="1"/>
  <c r="K28" i="1"/>
  <c r="J28" i="1" l="1"/>
  <c r="K29" i="1"/>
  <c r="J29" i="1" l="1"/>
  <c r="K30" i="1"/>
  <c r="J30" i="1" l="1"/>
  <c r="K31" i="1"/>
  <c r="J31" i="1" l="1"/>
  <c r="K32" i="1"/>
  <c r="J32" i="1" l="1"/>
  <c r="K33" i="1"/>
  <c r="J33" i="1" l="1"/>
  <c r="K34" i="1"/>
  <c r="J34" i="1" l="1"/>
  <c r="K35" i="1"/>
  <c r="K36" i="1" l="1"/>
  <c r="J36" i="1" l="1"/>
  <c r="J35" i="1"/>
  <c r="K37" i="1"/>
  <c r="J37" i="1" l="1"/>
  <c r="K38" i="1"/>
  <c r="J38" i="1" l="1"/>
  <c r="K39" i="1"/>
  <c r="J39" i="1" l="1"/>
  <c r="K40" i="1"/>
  <c r="J40" i="1" l="1"/>
  <c r="K41" i="1"/>
  <c r="J41" i="1" l="1"/>
  <c r="K42" i="1"/>
  <c r="J42" i="1" l="1"/>
  <c r="K43" i="1"/>
  <c r="J43" i="1" l="1"/>
  <c r="K44" i="1"/>
  <c r="J44" i="1" l="1"/>
  <c r="K45" i="1"/>
  <c r="J45" i="1" l="1"/>
  <c r="L12" i="1"/>
  <c r="L13" i="1" l="1"/>
  <c r="L14" i="1" l="1"/>
  <c r="L15" i="1" l="1"/>
  <c r="L16" i="1" l="1"/>
  <c r="L17" i="1" l="1"/>
  <c r="L18" i="1" l="1"/>
  <c r="L19" i="1" l="1"/>
  <c r="L20" i="1" l="1"/>
  <c r="L21" i="1" l="1"/>
  <c r="L22" i="1" l="1"/>
  <c r="L23" i="1" l="1"/>
  <c r="L24" i="1" l="1"/>
  <c r="L25" i="1" l="1"/>
  <c r="L26" i="1" l="1"/>
  <c r="L27" i="1" l="1"/>
  <c r="L28" i="1" l="1"/>
  <c r="L29" i="1" l="1"/>
  <c r="L30" i="1" l="1"/>
  <c r="L31" i="1" l="1"/>
  <c r="L32" i="1" l="1"/>
  <c r="L33" i="1" l="1"/>
  <c r="L34" i="1" l="1"/>
  <c r="L35" i="1" l="1"/>
  <c r="L36" i="1" l="1"/>
  <c r="L37" i="1" l="1"/>
  <c r="L38" i="1" l="1"/>
  <c r="L39" i="1" l="1"/>
  <c r="L40" i="1" l="1"/>
  <c r="L41" i="1" l="1"/>
  <c r="L42" i="1" l="1"/>
  <c r="L43" i="1" l="1"/>
  <c r="L44" i="1" l="1"/>
  <c r="L45" i="1" l="1"/>
  <c r="C18" i="7" l="1"/>
  <c r="O4" i="1" l="1"/>
  <c r="O7" i="7"/>
  <c r="AD10" i="1"/>
  <c r="AE10" i="1" s="1"/>
  <c r="O6" i="7"/>
  <c r="G5" i="1" l="1"/>
  <c r="G4" i="1"/>
  <c r="G7" i="1"/>
  <c r="G6" i="1"/>
  <c r="K3" i="1" a="1"/>
  <c r="K3" i="1" s="1"/>
  <c r="K7" i="1" s="1"/>
  <c r="O8" i="7" s="1"/>
  <c r="Z10" i="1"/>
  <c r="AD11" i="1"/>
  <c r="AD12" i="1" l="1"/>
  <c r="U3" i="1"/>
  <c r="Z11" i="1"/>
  <c r="Z12" i="1" s="1"/>
  <c r="Z13" i="1" s="1"/>
  <c r="Z14" i="1" s="1"/>
  <c r="Z15" i="1" s="1"/>
  <c r="Z16" i="1" s="1"/>
  <c r="Z17" i="1" s="1"/>
  <c r="N17" i="1" s="1"/>
  <c r="T17" i="1" s="1"/>
  <c r="N10" i="1"/>
  <c r="Q10" i="1"/>
  <c r="Q11" i="1"/>
  <c r="U4" i="1"/>
  <c r="U6" i="1"/>
  <c r="U5" i="1"/>
  <c r="AB10" i="1"/>
  <c r="AA10" i="1"/>
  <c r="AD13" i="1" l="1"/>
  <c r="AF10" i="1"/>
  <c r="AG10" i="1" s="1"/>
  <c r="Q13" i="1"/>
  <c r="R12" i="1"/>
  <c r="Q12" i="1"/>
  <c r="R11" i="1"/>
  <c r="R10" i="1"/>
  <c r="T10" i="1" s="1"/>
  <c r="V10" i="1" s="1"/>
  <c r="X10" i="1" s="1"/>
  <c r="Z18" i="1"/>
  <c r="O2" i="1"/>
  <c r="O3" i="1" s="1"/>
  <c r="C29" i="7"/>
  <c r="AC10" i="1"/>
  <c r="AD14" i="1" l="1"/>
  <c r="Y11" i="1"/>
  <c r="W11" i="1"/>
  <c r="N18" i="1"/>
  <c r="T18" i="1" s="1"/>
  <c r="Z19" i="1"/>
  <c r="O9" i="7"/>
  <c r="U10" i="1"/>
  <c r="O14" i="7" l="1"/>
  <c r="O11" i="7"/>
  <c r="AD15" i="1"/>
  <c r="N19" i="1"/>
  <c r="T19" i="1" s="1"/>
  <c r="Z20" i="1"/>
  <c r="AD16" i="1" l="1"/>
  <c r="AH10" i="1"/>
  <c r="N20" i="1"/>
  <c r="T20" i="1" s="1"/>
  <c r="Z21" i="1"/>
  <c r="Z22" i="1" s="1"/>
  <c r="Z23" i="1" s="1"/>
  <c r="Z24" i="1" s="1"/>
  <c r="Z25" i="1" s="1"/>
  <c r="Z26" i="1" s="1"/>
  <c r="AB11" i="1"/>
  <c r="N11" i="1"/>
  <c r="AA11" i="1"/>
  <c r="O15" i="7" l="1"/>
  <c r="AF11" i="1"/>
  <c r="AD17" i="1"/>
  <c r="AC11" i="1"/>
  <c r="T11" i="1"/>
  <c r="U11" i="1" s="1"/>
  <c r="N26" i="1"/>
  <c r="T26" i="1" s="1"/>
  <c r="Z27" i="1"/>
  <c r="AD18" i="1" l="1"/>
  <c r="V11" i="1"/>
  <c r="N27" i="1"/>
  <c r="T27" i="1" s="1"/>
  <c r="Z28" i="1"/>
  <c r="AD19" i="1" l="1"/>
  <c r="W12" i="1"/>
  <c r="X11" i="1"/>
  <c r="Y12" i="1" s="1"/>
  <c r="N28" i="1"/>
  <c r="T28" i="1" s="1"/>
  <c r="Z29" i="1"/>
  <c r="AD20" i="1" l="1"/>
  <c r="AG11" i="1"/>
  <c r="N29" i="1"/>
  <c r="T29" i="1" s="1"/>
  <c r="Z30" i="1"/>
  <c r="AB12" i="1"/>
  <c r="AF12" i="1" s="1"/>
  <c r="AA12" i="1"/>
  <c r="N12" i="1"/>
  <c r="T12" i="1" s="1"/>
  <c r="AD21" i="1" l="1"/>
  <c r="AC12" i="1"/>
  <c r="AE11" i="1"/>
  <c r="AH11" i="1"/>
  <c r="N30" i="1"/>
  <c r="T30" i="1" s="1"/>
  <c r="Z31" i="1"/>
  <c r="Z32" i="1" s="1"/>
  <c r="Z33" i="1" s="1"/>
  <c r="Z34" i="1" s="1"/>
  <c r="Z35" i="1" s="1"/>
  <c r="Z36" i="1" s="1"/>
  <c r="U12" i="1"/>
  <c r="V12" i="1"/>
  <c r="W13" i="1" s="1"/>
  <c r="AD22" i="1" l="1"/>
  <c r="O16" i="7"/>
  <c r="O17" i="7" s="1"/>
  <c r="N36" i="1"/>
  <c r="T36" i="1" s="1"/>
  <c r="Z37" i="1"/>
  <c r="X12" i="1"/>
  <c r="AD23" i="1" l="1"/>
  <c r="Y13" i="1"/>
  <c r="N37" i="1"/>
  <c r="T37" i="1" s="1"/>
  <c r="Z38" i="1"/>
  <c r="AG12" i="1"/>
  <c r="AD24" i="1" l="1"/>
  <c r="AH12" i="1"/>
  <c r="N38" i="1"/>
  <c r="T38" i="1" s="1"/>
  <c r="Z39" i="1"/>
  <c r="AE12" i="1"/>
  <c r="AA13" i="1"/>
  <c r="AB13" i="1"/>
  <c r="AF13" i="1" s="1"/>
  <c r="N13" i="1"/>
  <c r="T13" i="1" s="1"/>
  <c r="AD25" i="1" l="1"/>
  <c r="N39" i="1"/>
  <c r="T39" i="1" s="1"/>
  <c r="Z40" i="1"/>
  <c r="AB40" i="1" s="1"/>
  <c r="U13" i="1"/>
  <c r="V13" i="1"/>
  <c r="W14" i="1" s="1"/>
  <c r="AC13" i="1"/>
  <c r="AD26" i="1" l="1"/>
  <c r="N40" i="1"/>
  <c r="Z41" i="1"/>
  <c r="Z42" i="1" s="1"/>
  <c r="Z43" i="1" s="1"/>
  <c r="Z44" i="1" s="1"/>
  <c r="Z45" i="1" s="1"/>
  <c r="AA45" i="1" s="1"/>
  <c r="X13" i="1"/>
  <c r="Y14" i="1" s="1"/>
  <c r="AC40" i="1"/>
  <c r="AB34" i="1"/>
  <c r="AB31" i="1"/>
  <c r="AB27" i="1"/>
  <c r="AB24" i="1"/>
  <c r="AB22" i="1"/>
  <c r="AB19" i="1"/>
  <c r="AB16" i="1"/>
  <c r="AB39" i="1"/>
  <c r="N25" i="1"/>
  <c r="T25" i="1" s="1"/>
  <c r="N31" i="1"/>
  <c r="T31" i="1" s="1"/>
  <c r="AB15" i="1"/>
  <c r="O21" i="7" s="1"/>
  <c r="AB28" i="1"/>
  <c r="V27" i="1"/>
  <c r="X27" i="1" s="1"/>
  <c r="N15" i="1"/>
  <c r="AB23" i="1"/>
  <c r="N22" i="1"/>
  <c r="U36" i="1"/>
  <c r="AB20" i="1"/>
  <c r="V26" i="1"/>
  <c r="X26" i="1" s="1"/>
  <c r="N35" i="1"/>
  <c r="T35" i="1" s="1"/>
  <c r="AB29" i="1"/>
  <c r="AB33" i="1"/>
  <c r="AB36" i="1"/>
  <c r="AB38" i="1"/>
  <c r="V38" i="1"/>
  <c r="X38" i="1" s="1"/>
  <c r="AB14" i="1"/>
  <c r="AF14" i="1" s="1"/>
  <c r="AB37" i="1"/>
  <c r="N23" i="1"/>
  <c r="T23" i="1" s="1"/>
  <c r="V28" i="1"/>
  <c r="X28" i="1" s="1"/>
  <c r="AB26" i="1"/>
  <c r="AB21" i="1"/>
  <c r="AB18" i="1"/>
  <c r="N24" i="1"/>
  <c r="T24" i="1" s="1"/>
  <c r="AB25" i="1"/>
  <c r="N16" i="1"/>
  <c r="T16" i="1" s="1"/>
  <c r="AB30" i="1"/>
  <c r="V39" i="1"/>
  <c r="X39" i="1" s="1"/>
  <c r="AB35" i="1"/>
  <c r="N33" i="1"/>
  <c r="T33" i="1" s="1"/>
  <c r="AB17" i="1"/>
  <c r="N34" i="1"/>
  <c r="U18" i="1"/>
  <c r="N21" i="1"/>
  <c r="AB32" i="1"/>
  <c r="U37" i="1"/>
  <c r="N32" i="1"/>
  <c r="AA28" i="1"/>
  <c r="AA18" i="1"/>
  <c r="AA33" i="1"/>
  <c r="AA25" i="1"/>
  <c r="AA17" i="1"/>
  <c r="AA40" i="1"/>
  <c r="AA32" i="1"/>
  <c r="AA24" i="1"/>
  <c r="AA16" i="1"/>
  <c r="AA36" i="1"/>
  <c r="AA27" i="1"/>
  <c r="AA26" i="1"/>
  <c r="AA39" i="1"/>
  <c r="AA31" i="1"/>
  <c r="AA23" i="1"/>
  <c r="AA15" i="1"/>
  <c r="AA35" i="1"/>
  <c r="AA34" i="1"/>
  <c r="AA38" i="1"/>
  <c r="AA30" i="1"/>
  <c r="AA22" i="1"/>
  <c r="AA14" i="1"/>
  <c r="AA20" i="1"/>
  <c r="AA19" i="1"/>
  <c r="AA37" i="1"/>
  <c r="AA29" i="1"/>
  <c r="N14" i="1"/>
  <c r="T14" i="1" s="1"/>
  <c r="AA21" i="1"/>
  <c r="AD27" i="1" l="1"/>
  <c r="AC25" i="1"/>
  <c r="AC16" i="1"/>
  <c r="AC38" i="1"/>
  <c r="AC33" i="1"/>
  <c r="AC14" i="1"/>
  <c r="AC17" i="1"/>
  <c r="AC36" i="1"/>
  <c r="AC32" i="1"/>
  <c r="O33" i="7"/>
  <c r="AC28" i="1"/>
  <c r="AC24" i="1"/>
  <c r="AC34" i="1"/>
  <c r="AC18" i="1"/>
  <c r="AC39" i="1"/>
  <c r="AC21" i="1"/>
  <c r="AC23" i="1"/>
  <c r="AC26" i="1"/>
  <c r="AC22" i="1"/>
  <c r="AC37" i="1"/>
  <c r="AC27" i="1"/>
  <c r="T32" i="1"/>
  <c r="U32" i="1" s="1"/>
  <c r="T15" i="1"/>
  <c r="U15" i="1" s="1"/>
  <c r="T34" i="1"/>
  <c r="V34" i="1" s="1"/>
  <c r="X34" i="1" s="1"/>
  <c r="T22" i="1"/>
  <c r="V22" i="1" s="1"/>
  <c r="X22" i="1" s="1"/>
  <c r="T21" i="1"/>
  <c r="V21" i="1" s="1"/>
  <c r="X21" i="1" s="1"/>
  <c r="T40" i="1"/>
  <c r="U40" i="1" s="1"/>
  <c r="O38" i="7" s="1"/>
  <c r="AB41" i="1"/>
  <c r="N43" i="1"/>
  <c r="N42" i="1"/>
  <c r="AA44" i="1"/>
  <c r="N44" i="1"/>
  <c r="AB43" i="1"/>
  <c r="N45" i="1"/>
  <c r="AB45" i="1"/>
  <c r="AA42" i="1"/>
  <c r="AA41" i="1"/>
  <c r="N41" i="1"/>
  <c r="AB44" i="1"/>
  <c r="AC15" i="1"/>
  <c r="AA43" i="1"/>
  <c r="U26" i="1"/>
  <c r="U39" i="1"/>
  <c r="AB42" i="1"/>
  <c r="AC30" i="1"/>
  <c r="U14" i="1"/>
  <c r="O20" i="7" s="1"/>
  <c r="V14" i="1"/>
  <c r="V18" i="1"/>
  <c r="X18" i="1" s="1"/>
  <c r="AG13" i="1"/>
  <c r="U28" i="1"/>
  <c r="V36" i="1"/>
  <c r="X36" i="1" s="1"/>
  <c r="U17" i="1"/>
  <c r="V17" i="1"/>
  <c r="X17" i="1" s="1"/>
  <c r="U24" i="1"/>
  <c r="V24" i="1"/>
  <c r="X24" i="1" s="1"/>
  <c r="U20" i="1"/>
  <c r="V20" i="1"/>
  <c r="X20" i="1" s="1"/>
  <c r="V31" i="1"/>
  <c r="X31" i="1" s="1"/>
  <c r="U31" i="1"/>
  <c r="V30" i="1"/>
  <c r="X30" i="1" s="1"/>
  <c r="U30" i="1"/>
  <c r="V23" i="1"/>
  <c r="X23" i="1" s="1"/>
  <c r="U23" i="1"/>
  <c r="U33" i="1"/>
  <c r="V33" i="1"/>
  <c r="X33" i="1" s="1"/>
  <c r="U16" i="1"/>
  <c r="V16" i="1"/>
  <c r="X16" i="1" s="1"/>
  <c r="V19" i="1"/>
  <c r="X19" i="1" s="1"/>
  <c r="U19" i="1"/>
  <c r="O26" i="7" s="1"/>
  <c r="V35" i="1"/>
  <c r="X35" i="1" s="1"/>
  <c r="U35" i="1"/>
  <c r="U25" i="1"/>
  <c r="V25" i="1"/>
  <c r="X25" i="1" s="1"/>
  <c r="V29" i="1"/>
  <c r="X29" i="1" s="1"/>
  <c r="U29" i="1"/>
  <c r="O32" i="7" s="1"/>
  <c r="V37" i="1"/>
  <c r="X37" i="1" s="1"/>
  <c r="AC35" i="1"/>
  <c r="U38" i="1"/>
  <c r="AC29" i="1"/>
  <c r="AC20" i="1"/>
  <c r="U27" i="1"/>
  <c r="O27" i="7"/>
  <c r="AC19" i="1"/>
  <c r="AC31" i="1"/>
  <c r="AD28" i="1" l="1"/>
  <c r="X14" i="1"/>
  <c r="Y15" i="1" s="1"/>
  <c r="W15" i="1"/>
  <c r="AF15" i="1" s="1"/>
  <c r="AC45" i="1"/>
  <c r="AC42" i="1"/>
  <c r="O39" i="7"/>
  <c r="AC43" i="1"/>
  <c r="AC44" i="1"/>
  <c r="U21" i="1"/>
  <c r="V32" i="1"/>
  <c r="V15" i="1"/>
  <c r="V40" i="1"/>
  <c r="U34" i="1"/>
  <c r="T41" i="1"/>
  <c r="V41" i="1" s="1"/>
  <c r="X41" i="1" s="1"/>
  <c r="U22" i="1"/>
  <c r="T42" i="1"/>
  <c r="U42" i="1" s="1"/>
  <c r="T43" i="1"/>
  <c r="V43" i="1" s="1"/>
  <c r="X43" i="1" s="1"/>
  <c r="T45" i="1"/>
  <c r="V45" i="1" s="1"/>
  <c r="X45" i="1" s="1"/>
  <c r="T44" i="1"/>
  <c r="V44" i="1" s="1"/>
  <c r="X44" i="1" s="1"/>
  <c r="AC41" i="1"/>
  <c r="AH13" i="1"/>
  <c r="AE13" i="1"/>
  <c r="AD29" i="1" l="1"/>
  <c r="W16" i="1"/>
  <c r="X15" i="1"/>
  <c r="Y16" i="1" s="1"/>
  <c r="Y17" i="1" s="1"/>
  <c r="Y18" i="1" s="1"/>
  <c r="Y19" i="1" s="1"/>
  <c r="Y20" i="1" s="1"/>
  <c r="Y21" i="1" s="1"/>
  <c r="Y22" i="1" s="1"/>
  <c r="Y23" i="1" s="1"/>
  <c r="Y24" i="1" s="1"/>
  <c r="Y25" i="1" s="1"/>
  <c r="Y26" i="1" s="1"/>
  <c r="Y27" i="1" s="1"/>
  <c r="Y28" i="1" s="1"/>
  <c r="Y29" i="1" s="1"/>
  <c r="Y30" i="1" s="1"/>
  <c r="Y31" i="1" s="1"/>
  <c r="Y32" i="1" s="1"/>
  <c r="X32" i="1"/>
  <c r="X40" i="1"/>
  <c r="AG14" i="1"/>
  <c r="AH14" i="1" s="1"/>
  <c r="U44" i="1"/>
  <c r="U45" i="1"/>
  <c r="U43" i="1"/>
  <c r="V42" i="1"/>
  <c r="U41" i="1"/>
  <c r="AE14" i="1"/>
  <c r="W17" i="1" l="1"/>
  <c r="AF16" i="1"/>
  <c r="AD30" i="1"/>
  <c r="Y33" i="1"/>
  <c r="Y34" i="1" s="1"/>
  <c r="Y35" i="1" s="1"/>
  <c r="Y36" i="1" s="1"/>
  <c r="Y37" i="1" s="1"/>
  <c r="Y38" i="1" s="1"/>
  <c r="Y39" i="1" s="1"/>
  <c r="Y40" i="1" s="1"/>
  <c r="Y41" i="1" s="1"/>
  <c r="Y42" i="1" s="1"/>
  <c r="X42" i="1"/>
  <c r="AG15" i="1"/>
  <c r="AH15" i="1" s="1"/>
  <c r="AE15" i="1"/>
  <c r="O22" i="7" s="1"/>
  <c r="O23" i="7" s="1"/>
  <c r="AG16" i="1"/>
  <c r="AD31" i="1" l="1"/>
  <c r="W18" i="1"/>
  <c r="AF17" i="1"/>
  <c r="AG17" i="1" s="1"/>
  <c r="Y43" i="1"/>
  <c r="Y44" i="1" s="1"/>
  <c r="Y45" i="1" s="1"/>
  <c r="AE16" i="1"/>
  <c r="AH16" i="1"/>
  <c r="W19" i="1" l="1"/>
  <c r="AF18" i="1"/>
  <c r="AG18" i="1" s="1"/>
  <c r="AD32" i="1"/>
  <c r="AH17" i="1"/>
  <c r="AE17" i="1"/>
  <c r="AD33" i="1" l="1"/>
  <c r="W20" i="1"/>
  <c r="AF19" i="1"/>
  <c r="AG19" i="1" s="1"/>
  <c r="AE18" i="1"/>
  <c r="AH18" i="1"/>
  <c r="W21" i="1" l="1"/>
  <c r="AF20" i="1"/>
  <c r="AG20" i="1" s="1"/>
  <c r="AD34" i="1"/>
  <c r="AE19" i="1"/>
  <c r="AH19" i="1"/>
  <c r="AD35" i="1" l="1"/>
  <c r="W22" i="1"/>
  <c r="AF21" i="1"/>
  <c r="AH20" i="1"/>
  <c r="AE20" i="1"/>
  <c r="O28" i="7" s="1"/>
  <c r="O29" i="7" s="1"/>
  <c r="AG21" i="1"/>
  <c r="W23" i="1" l="1"/>
  <c r="AF22" i="1"/>
  <c r="AG22" i="1" s="1"/>
  <c r="AD36" i="1"/>
  <c r="AH21" i="1"/>
  <c r="AE21" i="1"/>
  <c r="AD37" i="1" l="1"/>
  <c r="W24" i="1"/>
  <c r="AF23" i="1"/>
  <c r="AG23" i="1" s="1"/>
  <c r="AH22" i="1"/>
  <c r="AE22" i="1"/>
  <c r="W25" i="1" l="1"/>
  <c r="AF24" i="1"/>
  <c r="AG24" i="1" s="1"/>
  <c r="AD38" i="1"/>
  <c r="AH23" i="1"/>
  <c r="AE23" i="1"/>
  <c r="AD39" i="1" l="1"/>
  <c r="W26" i="1"/>
  <c r="AF25" i="1"/>
  <c r="AE24" i="1"/>
  <c r="AH24" i="1"/>
  <c r="AG25" i="1"/>
  <c r="W27" i="1" l="1"/>
  <c r="AF26" i="1"/>
  <c r="AD40" i="1"/>
  <c r="AE25" i="1"/>
  <c r="AH25" i="1"/>
  <c r="AG26" i="1"/>
  <c r="AD41" i="1" l="1"/>
  <c r="W28" i="1"/>
  <c r="AF27" i="1"/>
  <c r="AE26" i="1"/>
  <c r="AH26" i="1"/>
  <c r="AG27" i="1"/>
  <c r="W29" i="1" l="1"/>
  <c r="AF28" i="1"/>
  <c r="AG28" i="1" s="1"/>
  <c r="AD42" i="1"/>
  <c r="AH27" i="1"/>
  <c r="AE27" i="1"/>
  <c r="AD43" i="1" l="1"/>
  <c r="W30" i="1"/>
  <c r="AF29" i="1"/>
  <c r="AE28" i="1"/>
  <c r="AH28" i="1"/>
  <c r="AG29" i="1"/>
  <c r="W31" i="1" l="1"/>
  <c r="AF30" i="1"/>
  <c r="AG30" i="1" s="1"/>
  <c r="AD44" i="1"/>
  <c r="AH29" i="1"/>
  <c r="AE29" i="1"/>
  <c r="AD45" i="1" l="1"/>
  <c r="W32" i="1"/>
  <c r="AF31" i="1"/>
  <c r="AE30" i="1"/>
  <c r="O34" i="7" s="1"/>
  <c r="O35" i="7" s="1"/>
  <c r="AH30" i="1"/>
  <c r="W33" i="1" l="1"/>
  <c r="AF32" i="1"/>
  <c r="AG32" i="1" s="1"/>
  <c r="AG31" i="1"/>
  <c r="AH31" i="1" s="1"/>
  <c r="AE31" i="1"/>
  <c r="W34" i="1" l="1"/>
  <c r="AF33" i="1"/>
  <c r="AG33" i="1" s="1"/>
  <c r="AE32" i="1"/>
  <c r="AH32" i="1"/>
  <c r="W35" i="1" l="1"/>
  <c r="AF34" i="1"/>
  <c r="AE33" i="1"/>
  <c r="AH33" i="1"/>
  <c r="AG34" i="1"/>
  <c r="W36" i="1" l="1"/>
  <c r="AF35" i="1"/>
  <c r="AG35" i="1" s="1"/>
  <c r="AE34" i="1"/>
  <c r="AH34" i="1"/>
  <c r="W37" i="1" l="1"/>
  <c r="AF36" i="1"/>
  <c r="AH35" i="1"/>
  <c r="AE35" i="1"/>
  <c r="W38" i="1" l="1"/>
  <c r="AF37" i="1"/>
  <c r="AG36" i="1"/>
  <c r="AH36" i="1" s="1"/>
  <c r="AE36" i="1"/>
  <c r="AG37" i="1"/>
  <c r="W39" i="1" l="1"/>
  <c r="AF38" i="1"/>
  <c r="AH37" i="1"/>
  <c r="AE37" i="1"/>
  <c r="AG38" i="1"/>
  <c r="W40" i="1" l="1"/>
  <c r="AF39" i="1"/>
  <c r="AG39" i="1" s="1"/>
  <c r="AH38" i="1"/>
  <c r="AE38" i="1"/>
  <c r="W41" i="1" l="1"/>
  <c r="AF40" i="1"/>
  <c r="AE39" i="1"/>
  <c r="AH39" i="1"/>
  <c r="W42" i="1" l="1"/>
  <c r="AF41" i="1"/>
  <c r="AG40" i="1"/>
  <c r="AH40" i="1" s="1"/>
  <c r="AE40" i="1"/>
  <c r="W43" i="1" l="1"/>
  <c r="AF42" i="1"/>
  <c r="AG42" i="1" s="1"/>
  <c r="AG41" i="1"/>
  <c r="AH41" i="1" s="1"/>
  <c r="AE41" i="1"/>
  <c r="O40" i="7" s="1"/>
  <c r="O41" i="7" s="1"/>
  <c r="W44" i="1" l="1"/>
  <c r="AF43" i="1"/>
  <c r="AG43" i="1" s="1"/>
  <c r="AE42" i="1"/>
  <c r="AH42" i="1"/>
  <c r="W45" i="1" l="1"/>
  <c r="AF45" i="1" s="1"/>
  <c r="AF44" i="1"/>
  <c r="AG44" i="1" s="1"/>
  <c r="AE43" i="1"/>
  <c r="AH43" i="1"/>
  <c r="AH44" i="1" l="1"/>
  <c r="AE44" i="1"/>
  <c r="AG45" i="1"/>
  <c r="AE45" i="1" l="1"/>
  <c r="AH4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<sst xmlns="http://schemas.openxmlformats.org/spreadsheetml/2006/main" count="145" uniqueCount="116">
  <si>
    <t>Monthly Rent</t>
  </si>
  <si>
    <t>Monthly Other</t>
  </si>
  <si>
    <t>Sale Price</t>
  </si>
  <si>
    <t>Monthly HOA</t>
  </si>
  <si>
    <t>Annual Tax</t>
  </si>
  <si>
    <t>Loan Term</t>
  </si>
  <si>
    <t>Monthly P&amp;I</t>
  </si>
  <si>
    <t>Loan Amount</t>
  </si>
  <si>
    <t>Monthly Escrow</t>
  </si>
  <si>
    <t>Total Monthly Ownership Costs</t>
  </si>
  <si>
    <t>Home Value</t>
  </si>
  <si>
    <t>Loan Value</t>
  </si>
  <si>
    <t>Ownership Equity (%)</t>
  </si>
  <si>
    <t>Total Needed to Close</t>
  </si>
  <si>
    <t>Annual P&amp;I</t>
  </si>
  <si>
    <t>Total Annual Ownership Costs</t>
  </si>
  <si>
    <t>Purchase Funds Opportunity Cost</t>
  </si>
  <si>
    <t>Annual Renters Insurance</t>
  </si>
  <si>
    <t>Mortgage Insurance</t>
  </si>
  <si>
    <t>Accrued Annual Ownership Cash Difference (w/ TVM)</t>
  </si>
  <si>
    <t>Total Accumulated Cash</t>
  </si>
  <si>
    <t>Rent Details</t>
  </si>
  <si>
    <t>Monthly Ownership Cash Diff</t>
  </si>
  <si>
    <t>Equity</t>
  </si>
  <si>
    <t>Monthly Costs excl. P&amp;I</t>
  </si>
  <si>
    <t>Down Payment ($)</t>
  </si>
  <si>
    <t>Down Payment (%)</t>
  </si>
  <si>
    <t>Closing Costs (Out of Pocket)</t>
  </si>
  <si>
    <t>Closing Costs (In Loan)</t>
  </si>
  <si>
    <t>PMI Term (yrs)</t>
  </si>
  <si>
    <t>Annual Maintenance (%)</t>
  </si>
  <si>
    <t>Annual Maintenance ($)</t>
  </si>
  <si>
    <t>Annual Insurance</t>
  </si>
  <si>
    <t>Key Metrics</t>
  </si>
  <si>
    <t>Monthly Ownership Costs</t>
  </si>
  <si>
    <t>Monthly Rent Costs</t>
  </si>
  <si>
    <t>Inflation</t>
  </si>
  <si>
    <t>Total Cash Difference</t>
  </si>
  <si>
    <t>Annual Rent Increase</t>
  </si>
  <si>
    <t>Annual Rent</t>
  </si>
  <si>
    <t>Monthly Non-rent Costs of Renting</t>
  </si>
  <si>
    <t>Annual Non-rent Costs of Renting</t>
  </si>
  <si>
    <t>Total Annual Rent Cost</t>
  </si>
  <si>
    <t>Total Monthly Rent Cost</t>
  </si>
  <si>
    <t>Annual Maintenance Costs</t>
  </si>
  <si>
    <t xml:space="preserve">Monthly PMI </t>
  </si>
  <si>
    <t>Annual Ownership Expense Difference</t>
  </si>
  <si>
    <t>Monthly Cash Flow Difference</t>
  </si>
  <si>
    <t>Transaction Details</t>
  </si>
  <si>
    <t>Ownership Expenses</t>
  </si>
  <si>
    <t>Assumptions</t>
  </si>
  <si>
    <t>N/A</t>
  </si>
  <si>
    <t>Total Accumulated Rent Cost</t>
  </si>
  <si>
    <t>Total Accumulated Rent Cost (Neg)</t>
  </si>
  <si>
    <t>Annual Home Appreciation</t>
  </si>
  <si>
    <t>Loan Value (negative)</t>
  </si>
  <si>
    <t>Format for report</t>
  </si>
  <si>
    <t>Add APR (pfft)</t>
  </si>
  <si>
    <t>Conventional</t>
  </si>
  <si>
    <t>FHA</t>
  </si>
  <si>
    <t>Type</t>
  </si>
  <si>
    <t>Monthly Pmt</t>
  </si>
  <si>
    <t>Down Pmt</t>
  </si>
  <si>
    <t>Add loan type (for mortgage insurance estimates)</t>
  </si>
  <si>
    <t>Rate/Yr</t>
  </si>
  <si>
    <t>Monthly Cash Difference</t>
  </si>
  <si>
    <t>Total Value of Ownership</t>
  </si>
  <si>
    <t>Annual Tax, Insurance, &amp; HOA</t>
  </si>
  <si>
    <t>Discount</t>
  </si>
  <si>
    <t>Monthly Utilities (if different)</t>
  </si>
  <si>
    <t>3-2-1</t>
  </si>
  <si>
    <t>2-1</t>
  </si>
  <si>
    <t>1-0</t>
  </si>
  <si>
    <t>Loan Type</t>
  </si>
  <si>
    <t>Years</t>
  </si>
  <si>
    <t>Rate Buydown</t>
  </si>
  <si>
    <t>Annual P&amp;I Paid by 3-2-1 Buydown</t>
  </si>
  <si>
    <t>Annual P&amp;I Paid by 2-1 Buydown</t>
  </si>
  <si>
    <t>Annual P&amp;I Paid by 1-0 Buydown</t>
  </si>
  <si>
    <t>Loan Rate</t>
  </si>
  <si>
    <t>Ownership Difference Increase</t>
  </si>
  <si>
    <t>Monthly Ownership Costs incl. Maintenance</t>
  </si>
  <si>
    <t>Monthly Rent Cost</t>
  </si>
  <si>
    <t>Savings/Mo</t>
  </si>
  <si>
    <t>Annual Income</t>
  </si>
  <si>
    <t>Monthly Income Term (Yrs)</t>
  </si>
  <si>
    <t>TVM</t>
  </si>
  <si>
    <t>For Version 4.1:</t>
  </si>
  <si>
    <t>Monthly Extra to Mortgage</t>
  </si>
  <si>
    <t>Extra to Mortgage (monthly)</t>
  </si>
  <si>
    <t>Total Monthly Payment</t>
  </si>
  <si>
    <t>Total Mortgage Payment</t>
  </si>
  <si>
    <t>Property Income</t>
  </si>
  <si>
    <t>Monthly Income</t>
  </si>
  <si>
    <t>Realtor®</t>
  </si>
  <si>
    <t>Realtor® Name</t>
  </si>
  <si>
    <t>RealtorEmail@Domain.com</t>
  </si>
  <si>
    <t>999-999-9999</t>
  </si>
  <si>
    <t>www.RealtorWebsite.com</t>
  </si>
  <si>
    <t>Year</t>
  </si>
  <si>
    <t>Total Ownership Wealth</t>
  </si>
  <si>
    <t>Total Ownership Difference</t>
  </si>
  <si>
    <t>End of Year 1 Snapshot</t>
  </si>
  <si>
    <t>Monthly Cash Flow Diff.</t>
  </si>
  <si>
    <t>Total Acumulated Ownership Costs
(w/ TVM)</t>
  </si>
  <si>
    <t>End of Year 5 Snapshot</t>
  </si>
  <si>
    <t>End of Year 10 Snapshot</t>
  </si>
  <si>
    <t>End of Year 20 Snapshot</t>
  </si>
  <si>
    <t>End of Year 31 Snapshot</t>
  </si>
  <si>
    <t>Ownership Equity</t>
  </si>
  <si>
    <t>TheCPAMortgageGuy@gmail.com</t>
  </si>
  <si>
    <t>801-865-1867</t>
  </si>
  <si>
    <t>NMLS#2307504</t>
  </si>
  <si>
    <t>Summit Home Loans, LLC | NMLS# 1790749 Summit Home Loans is an Equal Housing Opportunity Lender | Restrictions and limitations may apply. | Information is accurate as of the date of printing and the offer is subject to change without notice. All rights reserved. This information is not intended to be an indication of loan qualification, loan approval or commitment to lend. Borrowers must occupy home as their primary residence and pay for ongoing maintenance including taxes and property insurance, otherwise the loan becomes due and payable. Loan also becomes due and payable when the last borrower, or eligible non-borrowing surviving spouse, dies, sells the home, permanently moves out, defaults on taxes, insurance payments, or maintenance, or does not otherwise comply with loan terms. Credit and collateral are subject to approval. Products offered by Summit Home Loans have not been endorsed by the FHA or HUD. Information contained in this advertisement is not from HUD or FHA and this advertisement was not approved by the Department or Government Agency.</t>
  </si>
  <si>
    <t>Dan Mullen, CPA</t>
  </si>
  <si>
    <t>Loan Officer/Business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</si>
</sst>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00%"/>
    <numFmt numFmtId="166" formatCode="_(&quot;$&quot;* #,##0_);_(&quot;$&quot;* \(#,##0\);_(&quot;$&quot;* &quot;-&quot;??_);_(@_)"/>
  </numFmts>
  <fonts count="11" x14ac:knownFonts="1">
    <font>
      <sz val="11"/>
      <color theme="1"/>
      <name val="Calibri"/>
      <family val="2"/>
      <scheme val="minor"/>
    </font>
    <font>
      <sz val="11"/>
      <color theme="1"/>
      <name val="Calibri"/>
      <family val="2"/>
      <scheme val="minor"/>
    </font>
    <font>
      <sz val="11"/>
      <color theme="1"/>
      <name val="Garamond"/>
      <family val="1"/>
    </font>
    <font>
      <b/>
      <sz val="11"/>
      <color theme="0"/>
      <name val="Garamond"/>
      <family val="1"/>
    </font>
    <font>
      <b/>
      <sz val="11"/>
      <color theme="1"/>
      <name val="Garamond"/>
      <family val="1"/>
    </font>
    <font>
      <b/>
      <sz val="11"/>
      <name val="Garamond"/>
      <family val="1"/>
    </font>
    <font>
      <u/>
      <sz val="11"/>
      <color theme="10"/>
      <name val="Garamond"/>
      <family val="1"/>
    </font>
    <font>
      <u/>
      <sz val="11"/>
      <color theme="11"/>
      <name val="Garamond"/>
      <family val="1"/>
    </font>
    <font>
      <sz val="9"/>
      <color theme="1"/>
      <name val="Garamond"/>
      <family val="1"/>
    </font>
    <font>
      <b/>
      <sz val="14"/>
      <color theme="1"/>
      <name val="Garamond"/>
      <family val="1"/>
    </font>
    <font>
      <sz val="12"/>
      <color theme="1"/>
      <name val="Garamond"/>
      <family val="1"/>
    </font>
  </fonts>
  <fills count="11">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970A1A"/>
        <bgColor indexed="64"/>
      </patternFill>
    </fill>
    <fill>
      <patternFill patternType="solid">
        <fgColor rgb="FF172C51"/>
        <bgColor indexed="64"/>
      </patternFill>
    </fill>
    <fill>
      <patternFill patternType="solid">
        <fgColor theme="1" tint="0.499984740745262"/>
        <bgColor indexed="64"/>
      </patternFill>
    </fill>
    <fill>
      <patternFill patternType="solid">
        <fgColor rgb="FF9BB3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rgb="FF002E6D"/>
      </right>
      <top/>
      <bottom/>
      <diagonal/>
    </border>
    <border>
      <left style="thick">
        <color rgb="FF970A1A"/>
      </left>
      <right style="thick">
        <color rgb="FF970A1A"/>
      </right>
      <top style="thick">
        <color rgb="FF970A1A"/>
      </top>
      <bottom/>
      <diagonal/>
    </border>
    <border>
      <left style="thick">
        <color rgb="FF970A1A"/>
      </left>
      <right style="thick">
        <color rgb="FF970A1A"/>
      </right>
      <top/>
      <bottom/>
      <diagonal/>
    </border>
    <border>
      <left style="thick">
        <color rgb="FF970A1A"/>
      </left>
      <right style="thick">
        <color rgb="FF970A1A"/>
      </right>
      <top/>
      <bottom style="thick">
        <color rgb="FF970A1A"/>
      </bottom>
      <diagonal/>
    </border>
    <border>
      <left style="thick">
        <color rgb="FF172C51"/>
      </left>
      <right style="thick">
        <color rgb="FF172C51"/>
      </right>
      <top style="thick">
        <color rgb="FF172C51"/>
      </top>
      <bottom/>
      <diagonal/>
    </border>
    <border>
      <left style="thick">
        <color rgb="FF172C51"/>
      </left>
      <right style="thick">
        <color rgb="FF172C51"/>
      </right>
      <top/>
      <bottom/>
      <diagonal/>
    </border>
    <border>
      <left style="thick">
        <color rgb="FF172C51"/>
      </left>
      <right style="thick">
        <color rgb="FF172C51"/>
      </right>
      <top/>
      <bottom style="thick">
        <color rgb="FF172C51"/>
      </bottom>
      <diagonal/>
    </border>
    <border>
      <left style="thick">
        <color rgb="FF800080"/>
      </left>
      <right style="thick">
        <color rgb="FF800080"/>
      </right>
      <top style="thick">
        <color rgb="FF800080"/>
      </top>
      <bottom/>
      <diagonal/>
    </border>
    <border>
      <left style="thick">
        <color rgb="FF800080"/>
      </left>
      <right style="thick">
        <color rgb="FF800080"/>
      </right>
      <top/>
      <bottom/>
      <diagonal/>
    </border>
    <border>
      <left style="thick">
        <color rgb="FF800080"/>
      </left>
      <right style="thick">
        <color rgb="FF800080"/>
      </right>
      <top/>
      <bottom style="thick">
        <color rgb="FF800080"/>
      </bottom>
      <diagonal/>
    </border>
    <border>
      <left style="thick">
        <color theme="7" tint="-0.24994659260841701"/>
      </left>
      <right style="thick">
        <color theme="7" tint="-0.24994659260841701"/>
      </right>
      <top style="thick">
        <color theme="7" tint="-0.24994659260841701"/>
      </top>
      <bottom/>
      <diagonal/>
    </border>
    <border>
      <left style="thick">
        <color theme="7" tint="-0.24994659260841701"/>
      </left>
      <right style="thick">
        <color theme="7" tint="-0.24994659260841701"/>
      </right>
      <top/>
      <bottom/>
      <diagonal/>
    </border>
    <border>
      <left style="thick">
        <color theme="7" tint="-0.24994659260841701"/>
      </left>
      <right style="thick">
        <color theme="7" tint="-0.24994659260841701"/>
      </right>
      <top/>
      <bottom style="thick">
        <color theme="7" tint="-0.2499465926084170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39">
    <xf numFmtId="0" fontId="0" fillId="0" borderId="0" xfId="0"/>
    <xf numFmtId="0" fontId="0" fillId="0" borderId="0" xfId="0" applyProtection="1">
      <protection locked="0"/>
    </xf>
    <xf numFmtId="166" fontId="2" fillId="0" borderId="0" xfId="1" applyNumberFormat="1" applyFont="1" applyAlignment="1" applyProtection="1">
      <alignment horizontal="center" vertical="center" wrapText="1"/>
    </xf>
    <xf numFmtId="9" fontId="2" fillId="0" borderId="0" xfId="2" applyFont="1" applyAlignment="1" applyProtection="1">
      <alignment horizontal="center" vertical="center" wrapText="1"/>
    </xf>
    <xf numFmtId="166" fontId="3" fillId="3" borderId="0" xfId="1" applyNumberFormat="1" applyFont="1" applyFill="1" applyProtection="1"/>
    <xf numFmtId="9" fontId="3" fillId="3" borderId="0" xfId="2" applyFont="1" applyFill="1" applyProtection="1"/>
    <xf numFmtId="166" fontId="2" fillId="0" borderId="0" xfId="1" applyNumberFormat="1" applyFont="1" applyProtection="1"/>
    <xf numFmtId="9" fontId="2" fillId="0" borderId="0" xfId="2" applyFont="1" applyProtection="1"/>
    <xf numFmtId="166" fontId="2" fillId="2" borderId="0" xfId="1" applyNumberFormat="1" applyFont="1" applyFill="1" applyProtection="1"/>
    <xf numFmtId="9" fontId="2" fillId="2" borderId="0" xfId="2" applyFont="1" applyFill="1" applyProtection="1"/>
    <xf numFmtId="0" fontId="2" fillId="0" borderId="0" xfId="0" applyFont="1"/>
    <xf numFmtId="166" fontId="2" fillId="0" borderId="7" xfId="1" applyNumberFormat="1" applyFont="1" applyBorder="1" applyProtection="1"/>
    <xf numFmtId="166" fontId="5" fillId="4" borderId="7" xfId="1" applyNumberFormat="1" applyFont="1" applyFill="1" applyBorder="1" applyProtection="1"/>
    <xf numFmtId="166" fontId="4" fillId="0" borderId="10" xfId="1" applyNumberFormat="1" applyFont="1" applyBorder="1" applyProtection="1"/>
    <xf numFmtId="166" fontId="2" fillId="0" borderId="5" xfId="1" applyNumberFormat="1" applyFont="1" applyBorder="1" applyProtection="1"/>
    <xf numFmtId="166" fontId="4" fillId="0" borderId="7" xfId="1" applyNumberFormat="1" applyFont="1" applyBorder="1" applyProtection="1"/>
    <xf numFmtId="166" fontId="3" fillId="3" borderId="0" xfId="1" applyNumberFormat="1" applyFont="1" applyFill="1" applyAlignment="1" applyProtection="1">
      <alignment horizontal="center"/>
    </xf>
    <xf numFmtId="164" fontId="2" fillId="0" borderId="11" xfId="2" applyNumberFormat="1" applyFont="1" applyBorder="1" applyProtection="1"/>
    <xf numFmtId="10" fontId="2" fillId="0" borderId="11" xfId="2" applyNumberFormat="1" applyFont="1" applyBorder="1" applyProtection="1"/>
    <xf numFmtId="164" fontId="2" fillId="0" borderId="0" xfId="2" applyNumberFormat="1" applyFont="1" applyBorder="1" applyProtection="1"/>
    <xf numFmtId="10" fontId="2" fillId="0" borderId="0" xfId="2" applyNumberFormat="1" applyFont="1" applyBorder="1" applyProtection="1"/>
    <xf numFmtId="164" fontId="2" fillId="0" borderId="9" xfId="2" applyNumberFormat="1" applyFont="1" applyBorder="1" applyProtection="1"/>
    <xf numFmtId="10" fontId="2" fillId="0" borderId="9" xfId="2" applyNumberFormat="1" applyFont="1" applyBorder="1" applyProtection="1"/>
    <xf numFmtId="166" fontId="4" fillId="0" borderId="9" xfId="1" applyNumberFormat="1" applyFont="1" applyBorder="1" applyAlignment="1" applyProtection="1">
      <alignment horizontal="center" vertical="center"/>
    </xf>
    <xf numFmtId="166" fontId="4" fillId="0" borderId="10" xfId="1" applyNumberFormat="1" applyFont="1" applyBorder="1" applyAlignment="1" applyProtection="1">
      <alignment horizontal="center" vertical="center"/>
    </xf>
    <xf numFmtId="166" fontId="4" fillId="6" borderId="5" xfId="1" applyNumberFormat="1" applyFont="1" applyFill="1" applyBorder="1" applyProtection="1"/>
    <xf numFmtId="166" fontId="4" fillId="6" borderId="7" xfId="1" applyNumberFormat="1" applyFont="1" applyFill="1" applyBorder="1" applyProtection="1"/>
    <xf numFmtId="166" fontId="4" fillId="6" borderId="10" xfId="1" applyNumberFormat="1" applyFont="1" applyFill="1" applyBorder="1" applyProtection="1"/>
    <xf numFmtId="0" fontId="0" fillId="0" borderId="0" xfId="0" applyAlignment="1">
      <alignment horizontal="center" vertical="center"/>
    </xf>
    <xf numFmtId="164" fontId="3" fillId="0" borderId="0" xfId="2" applyNumberFormat="1" applyFont="1" applyFill="1" applyBorder="1" applyProtection="1"/>
    <xf numFmtId="166" fontId="2" fillId="0" borderId="1" xfId="1" applyNumberFormat="1" applyFont="1" applyBorder="1" applyAlignment="1" applyProtection="1">
      <alignment horizontal="center"/>
    </xf>
    <xf numFmtId="10" fontId="2" fillId="0" borderId="1" xfId="2" applyNumberFormat="1" applyFont="1" applyBorder="1" applyAlignment="1" applyProtection="1">
      <alignment horizontal="center"/>
    </xf>
    <xf numFmtId="166" fontId="2" fillId="0" borderId="1" xfId="1" applyNumberFormat="1" applyFont="1" applyBorder="1" applyProtection="1"/>
    <xf numFmtId="14" fontId="2" fillId="0" borderId="1" xfId="1" quotePrefix="1" applyNumberFormat="1" applyFont="1" applyBorder="1" applyAlignment="1" applyProtection="1">
      <alignment horizontal="center"/>
    </xf>
    <xf numFmtId="166" fontId="2" fillId="0" borderId="1" xfId="1" quotePrefix="1" applyNumberFormat="1" applyFont="1" applyBorder="1" applyAlignment="1" applyProtection="1">
      <alignment horizontal="center"/>
    </xf>
    <xf numFmtId="0" fontId="2" fillId="0" borderId="1" xfId="1" applyNumberFormat="1" applyFont="1" applyBorder="1" applyAlignment="1" applyProtection="1">
      <alignment horizontal="center"/>
    </xf>
    <xf numFmtId="166" fontId="4" fillId="0" borderId="2" xfId="1" applyNumberFormat="1" applyFont="1" applyBorder="1" applyAlignment="1" applyProtection="1">
      <alignment horizontal="center"/>
    </xf>
    <xf numFmtId="166" fontId="4" fillId="0" borderId="15" xfId="1" applyNumberFormat="1" applyFont="1" applyBorder="1" applyAlignment="1" applyProtection="1">
      <alignment horizontal="center"/>
    </xf>
    <xf numFmtId="166" fontId="4" fillId="0" borderId="3" xfId="1" applyNumberFormat="1" applyFont="1" applyBorder="1" applyAlignment="1" applyProtection="1">
      <alignment horizontal="center"/>
    </xf>
    <xf numFmtId="166" fontId="2" fillId="0" borderId="0" xfId="1" applyNumberFormat="1" applyFont="1" applyFill="1" applyAlignment="1" applyProtection="1">
      <alignment horizontal="center" vertical="center" wrapText="1"/>
    </xf>
    <xf numFmtId="166" fontId="2" fillId="0" borderId="1" xfId="1" applyNumberFormat="1" applyFont="1" applyFill="1" applyBorder="1" applyProtection="1"/>
    <xf numFmtId="166" fontId="5" fillId="5" borderId="3" xfId="1" applyNumberFormat="1" applyFont="1" applyFill="1" applyBorder="1" applyProtection="1"/>
    <xf numFmtId="0" fontId="0" fillId="0" borderId="9" xfId="0" applyBorder="1" applyAlignment="1">
      <alignment horizontal="left" vertical="center"/>
    </xf>
    <xf numFmtId="0" fontId="0" fillId="0" borderId="0" xfId="0" applyAlignment="1">
      <alignment horizontal="left" vertical="center"/>
    </xf>
    <xf numFmtId="166" fontId="2" fillId="0" borderId="0" xfId="1" applyNumberFormat="1" applyFont="1" applyBorder="1" applyProtection="1"/>
    <xf numFmtId="166" fontId="3" fillId="7" borderId="1" xfId="1" applyNumberFormat="1" applyFont="1" applyFill="1" applyBorder="1" applyProtection="1">
      <protection locked="0"/>
    </xf>
    <xf numFmtId="166" fontId="3" fillId="8" borderId="1" xfId="1" applyNumberFormat="1" applyFont="1" applyFill="1" applyBorder="1" applyProtection="1">
      <protection locked="0"/>
    </xf>
    <xf numFmtId="164" fontId="3" fillId="8" borderId="1" xfId="2" applyNumberFormat="1" applyFont="1" applyFill="1" applyBorder="1" applyProtection="1">
      <protection locked="0"/>
    </xf>
    <xf numFmtId="166" fontId="3" fillId="8" borderId="1" xfId="1" applyNumberFormat="1" applyFont="1" applyFill="1" applyBorder="1" applyAlignment="1" applyProtection="1">
      <alignment horizontal="center"/>
      <protection locked="0"/>
    </xf>
    <xf numFmtId="165" fontId="3" fillId="8" borderId="1" xfId="2" applyNumberFormat="1" applyFont="1" applyFill="1" applyBorder="1" applyProtection="1">
      <protection locked="0"/>
    </xf>
    <xf numFmtId="0" fontId="3" fillId="8" borderId="1" xfId="1" applyNumberFormat="1" applyFont="1" applyFill="1" applyBorder="1" applyProtection="1">
      <protection locked="0"/>
    </xf>
    <xf numFmtId="10" fontId="3" fillId="8" borderId="1" xfId="2" applyNumberFormat="1" applyFont="1" applyFill="1" applyBorder="1" applyProtection="1">
      <protection locked="0"/>
    </xf>
    <xf numFmtId="164" fontId="3" fillId="7" borderId="1" xfId="2" applyNumberFormat="1" applyFont="1" applyFill="1" applyBorder="1" applyProtection="1">
      <protection locked="0"/>
    </xf>
    <xf numFmtId="164" fontId="3" fillId="10" borderId="1" xfId="2" applyNumberFormat="1" applyFont="1" applyFill="1" applyBorder="1" applyProtection="1">
      <protection locked="0"/>
    </xf>
    <xf numFmtId="0" fontId="2" fillId="0" borderId="4" xfId="0" applyFont="1" applyBorder="1"/>
    <xf numFmtId="0" fontId="2" fillId="0" borderId="6" xfId="0" applyFont="1" applyBorder="1"/>
    <xf numFmtId="0" fontId="2" fillId="0" borderId="13" xfId="0" applyFont="1" applyBorder="1"/>
    <xf numFmtId="0" fontId="2" fillId="0" borderId="8" xfId="0" applyFont="1" applyBorder="1"/>
    <xf numFmtId="0" fontId="5" fillId="5" borderId="2" xfId="0" applyFont="1" applyFill="1" applyBorder="1"/>
    <xf numFmtId="0" fontId="2" fillId="0" borderId="14" xfId="0" applyFont="1" applyBorder="1"/>
    <xf numFmtId="0" fontId="2" fillId="0" borderId="12" xfId="0" applyFont="1" applyBorder="1"/>
    <xf numFmtId="166" fontId="2" fillId="0" borderId="17" xfId="1" applyNumberFormat="1" applyFont="1" applyBorder="1" applyAlignment="1" applyProtection="1">
      <alignment horizontal="center" vertical="center" wrapText="1"/>
    </xf>
    <xf numFmtId="166" fontId="3" fillId="3" borderId="18" xfId="1" applyNumberFormat="1" applyFont="1" applyFill="1" applyBorder="1" applyProtection="1"/>
    <xf numFmtId="166" fontId="2" fillId="0" borderId="18" xfId="1" applyNumberFormat="1" applyFont="1" applyBorder="1" applyProtection="1"/>
    <xf numFmtId="166" fontId="2" fillId="2" borderId="18" xfId="1" applyNumberFormat="1" applyFont="1" applyFill="1" applyBorder="1" applyProtection="1"/>
    <xf numFmtId="166" fontId="2" fillId="0" borderId="19" xfId="1" applyNumberFormat="1" applyFont="1" applyBorder="1" applyProtection="1"/>
    <xf numFmtId="166" fontId="2" fillId="0" borderId="20" xfId="1" applyNumberFormat="1" applyFont="1" applyFill="1" applyBorder="1" applyAlignment="1" applyProtection="1">
      <alignment horizontal="center" vertical="center" wrapText="1"/>
    </xf>
    <xf numFmtId="166" fontId="3" fillId="3" borderId="21" xfId="1" applyNumberFormat="1" applyFont="1" applyFill="1" applyBorder="1" applyProtection="1"/>
    <xf numFmtId="166" fontId="2" fillId="0" borderId="21" xfId="1" applyNumberFormat="1" applyFont="1" applyBorder="1" applyProtection="1"/>
    <xf numFmtId="166" fontId="2" fillId="2" borderId="21" xfId="1" applyNumberFormat="1" applyFont="1" applyFill="1" applyBorder="1" applyProtection="1"/>
    <xf numFmtId="166" fontId="2" fillId="0" borderId="22" xfId="1" applyNumberFormat="1" applyFont="1" applyBorder="1" applyProtection="1"/>
    <xf numFmtId="166" fontId="3" fillId="3" borderId="18" xfId="1" applyNumberFormat="1" applyFont="1" applyFill="1" applyBorder="1" applyAlignment="1" applyProtection="1">
      <alignment horizontal="center"/>
    </xf>
    <xf numFmtId="166" fontId="2" fillId="0" borderId="24" xfId="1" applyNumberFormat="1" applyFont="1" applyBorder="1" applyProtection="1"/>
    <xf numFmtId="166" fontId="2" fillId="2" borderId="24" xfId="1" applyNumberFormat="1" applyFont="1" applyFill="1" applyBorder="1" applyProtection="1"/>
    <xf numFmtId="166" fontId="2" fillId="0" borderId="25" xfId="1" applyNumberFormat="1" applyFont="1" applyBorder="1" applyProtection="1"/>
    <xf numFmtId="166" fontId="2" fillId="0" borderId="23" xfId="1" applyNumberFormat="1" applyFont="1" applyBorder="1" applyAlignment="1" applyProtection="1">
      <alignment horizontal="center" vertical="center" wrapText="1"/>
    </xf>
    <xf numFmtId="166" fontId="3" fillId="3" borderId="24" xfId="1" applyNumberFormat="1" applyFont="1" applyFill="1" applyBorder="1" applyProtection="1"/>
    <xf numFmtId="166" fontId="2" fillId="0" borderId="26" xfId="1" applyNumberFormat="1" applyFont="1" applyBorder="1" applyAlignment="1" applyProtection="1">
      <alignment horizontal="center" vertical="center" wrapText="1"/>
    </xf>
    <xf numFmtId="166" fontId="3" fillId="3" borderId="27" xfId="1" applyNumberFormat="1" applyFont="1" applyFill="1" applyBorder="1" applyProtection="1"/>
    <xf numFmtId="166" fontId="2" fillId="0" borderId="27" xfId="1" applyNumberFormat="1" applyFont="1" applyBorder="1" applyProtection="1"/>
    <xf numFmtId="166" fontId="2" fillId="2" borderId="27" xfId="1" applyNumberFormat="1" applyFont="1" applyFill="1" applyBorder="1" applyProtection="1"/>
    <xf numFmtId="166" fontId="2" fillId="0" borderId="28" xfId="1" applyNumberFormat="1" applyFont="1" applyBorder="1" applyProtection="1"/>
    <xf numFmtId="0" fontId="2" fillId="0" borderId="0" xfId="0" applyFont="1" applyAlignment="1">
      <alignment horizontal="left"/>
    </xf>
    <xf numFmtId="166" fontId="2" fillId="0" borderId="20" xfId="1" applyNumberFormat="1" applyFont="1" applyBorder="1" applyAlignment="1" applyProtection="1">
      <alignment horizontal="center" vertical="center" wrapText="1"/>
    </xf>
    <xf numFmtId="166" fontId="3" fillId="3" borderId="21" xfId="1" applyNumberFormat="1" applyFont="1" applyFill="1" applyBorder="1" applyAlignment="1" applyProtection="1">
      <alignment horizontal="center"/>
    </xf>
    <xf numFmtId="166" fontId="2" fillId="0" borderId="0" xfId="0" applyNumberFormat="1" applyFont="1"/>
    <xf numFmtId="0" fontId="2" fillId="0" borderId="0" xfId="0" applyFont="1" applyAlignment="1">
      <alignment horizontal="center"/>
    </xf>
    <xf numFmtId="0" fontId="2" fillId="0" borderId="0" xfId="0" applyFont="1" applyAlignment="1">
      <alignment horizontal="center" vertical="center" wrapText="1"/>
    </xf>
    <xf numFmtId="166" fontId="2" fillId="0" borderId="20" xfId="0" applyNumberFormat="1" applyFont="1" applyBorder="1" applyAlignment="1">
      <alignment horizontal="center" vertical="center" wrapText="1"/>
    </xf>
    <xf numFmtId="0" fontId="3" fillId="3" borderId="0" xfId="0" applyFont="1" applyFill="1"/>
    <xf numFmtId="166" fontId="3" fillId="3" borderId="21" xfId="0" applyNumberFormat="1" applyFont="1" applyFill="1" applyBorder="1"/>
    <xf numFmtId="166" fontId="3" fillId="3" borderId="21" xfId="0" applyNumberFormat="1" applyFont="1" applyFill="1" applyBorder="1" applyAlignment="1">
      <alignment horizontal="center"/>
    </xf>
    <xf numFmtId="166" fontId="3" fillId="3" borderId="16" xfId="0" applyNumberFormat="1" applyFont="1" applyFill="1" applyBorder="1" applyAlignment="1">
      <alignment horizontal="center"/>
    </xf>
    <xf numFmtId="166" fontId="2" fillId="0" borderId="21" xfId="0" applyNumberFormat="1" applyFont="1" applyBorder="1"/>
    <xf numFmtId="0" fontId="2" fillId="2" borderId="0" xfId="0" applyFont="1" applyFill="1"/>
    <xf numFmtId="166" fontId="2" fillId="2" borderId="21" xfId="0" applyNumberFormat="1" applyFont="1" applyFill="1" applyBorder="1"/>
    <xf numFmtId="166" fontId="2" fillId="2" borderId="0" xfId="0" applyNumberFormat="1" applyFont="1" applyFill="1"/>
    <xf numFmtId="166" fontId="2" fillId="0" borderId="22" xfId="0" applyNumberFormat="1" applyFont="1" applyBorder="1"/>
    <xf numFmtId="0" fontId="4" fillId="5" borderId="8" xfId="0" applyFont="1" applyFill="1" applyBorder="1"/>
    <xf numFmtId="166" fontId="4" fillId="5" borderId="10" xfId="1" applyNumberFormat="1" applyFont="1" applyFill="1" applyBorder="1" applyProtection="1"/>
    <xf numFmtId="0" fontId="4" fillId="0" borderId="4" xfId="0" applyFont="1" applyBorder="1" applyAlignment="1">
      <alignment horizontal="center"/>
    </xf>
    <xf numFmtId="0" fontId="4" fillId="0" borderId="5"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8" fillId="0" borderId="0" xfId="0" applyFont="1" applyAlignment="1">
      <alignment horizontal="left" vertical="center" wrapText="1"/>
    </xf>
    <xf numFmtId="0" fontId="3" fillId="9" borderId="2" xfId="0" applyFont="1" applyFill="1" applyBorder="1" applyAlignment="1">
      <alignment horizontal="center"/>
    </xf>
    <xf numFmtId="0" fontId="3" fillId="9" borderId="3" xfId="0" applyFont="1" applyFill="1" applyBorder="1" applyAlignment="1">
      <alignment horizontal="center"/>
    </xf>
    <xf numFmtId="0" fontId="3" fillId="9" borderId="1" xfId="0" applyFont="1" applyFill="1" applyBorder="1" applyAlignment="1">
      <alignment horizontal="center"/>
    </xf>
    <xf numFmtId="0" fontId="2" fillId="0" borderId="0" xfId="0" applyFont="1" applyAlignment="1">
      <alignment horizontal="left"/>
    </xf>
    <xf numFmtId="0" fontId="6" fillId="0" borderId="0" xfId="3" applyAlignment="1">
      <alignment horizontal="left"/>
    </xf>
    <xf numFmtId="0" fontId="10"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166" fontId="4" fillId="0" borderId="4" xfId="1" applyNumberFormat="1" applyFont="1" applyBorder="1" applyAlignment="1" applyProtection="1">
      <alignment horizontal="center" vertical="center"/>
    </xf>
    <xf numFmtId="166" fontId="4" fillId="0" borderId="11" xfId="1" applyNumberFormat="1" applyFont="1" applyBorder="1" applyAlignment="1" applyProtection="1">
      <alignment horizontal="center" vertical="center"/>
    </xf>
    <xf numFmtId="166" fontId="4" fillId="0" borderId="5" xfId="1" applyNumberFormat="1" applyFont="1" applyBorder="1" applyAlignment="1" applyProtection="1">
      <alignment horizontal="center" vertical="center"/>
    </xf>
    <xf numFmtId="166" fontId="2" fillId="0" borderId="8" xfId="1" applyNumberFormat="1" applyFont="1" applyBorder="1" applyAlignment="1" applyProtection="1">
      <alignment horizontal="center"/>
    </xf>
    <xf numFmtId="166" fontId="2" fillId="0" borderId="9" xfId="1" applyNumberFormat="1" applyFont="1" applyBorder="1" applyAlignment="1" applyProtection="1">
      <alignment horizontal="center"/>
    </xf>
    <xf numFmtId="166" fontId="2" fillId="0" borderId="6" xfId="1" applyNumberFormat="1" applyFont="1" applyBorder="1" applyAlignment="1" applyProtection="1">
      <alignment horizontal="center"/>
    </xf>
    <xf numFmtId="166" fontId="2" fillId="0" borderId="0" xfId="1" applyNumberFormat="1" applyFont="1" applyBorder="1" applyAlignment="1" applyProtection="1">
      <alignment horizontal="center"/>
    </xf>
    <xf numFmtId="166" fontId="2" fillId="0" borderId="4" xfId="1" applyNumberFormat="1" applyFont="1" applyBorder="1" applyAlignment="1" applyProtection="1">
      <alignment horizontal="center"/>
    </xf>
    <xf numFmtId="166" fontId="2" fillId="0" borderId="11" xfId="1" applyNumberFormat="1" applyFont="1" applyBorder="1" applyAlignment="1" applyProtection="1">
      <alignment horizontal="center"/>
    </xf>
    <xf numFmtId="166" fontId="4" fillId="0" borderId="8" xfId="1" applyNumberFormat="1" applyFont="1" applyBorder="1" applyAlignment="1" applyProtection="1">
      <alignment horizontal="center" vertical="center"/>
    </xf>
    <xf numFmtId="166" fontId="4" fillId="0" borderId="9" xfId="1" applyNumberFormat="1" applyFont="1" applyBorder="1" applyAlignment="1" applyProtection="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2" fillId="0" borderId="8" xfId="0" applyFont="1" applyBorder="1" applyAlignment="1">
      <alignment horizontal="left"/>
    </xf>
    <xf numFmtId="0" fontId="2" fillId="0" borderId="10"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center"/>
    </xf>
    <xf numFmtId="0" fontId="2" fillId="0" borderId="10"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xf>
  </cellXfs>
  <cellStyles count="5">
    <cellStyle name="Currency" xfId="1" builtinId="4"/>
    <cellStyle name="Followed Hyperlink" xfId="4" builtinId="9" customBuiltin="1"/>
    <cellStyle name="Hyperlink" xfId="3" builtinId="8" customBuiltin="1"/>
    <cellStyle name="Normal" xfId="0" builtinId="0"/>
    <cellStyle name="Percent" xfId="2" builtinId="5"/>
  </cellStyles>
  <dxfs count="0"/>
  <tableStyles count="0" defaultTableStyle="TableStyleMedium2" defaultPivotStyle="PivotStyleLight16"/>
  <colors>
    <mruColors>
      <color rgb="FF172C51"/>
      <color rgb="FF800080"/>
      <color rgb="FF970A1A"/>
      <color rgb="FF9BB3FF"/>
      <color rgb="FF890A4D"/>
      <color rgb="FF5E6738"/>
      <color rgb="FFC08C03"/>
      <color rgb="FF4B7B8B"/>
      <color rgb="FFBC5B22"/>
      <color rgb="FF4881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400" b="1">
                <a:solidFill>
                  <a:sysClr val="windowText" lastClr="000000"/>
                </a:solidFill>
                <a:latin typeface="Garamond" panose="02020404030301010803" pitchFamily="18" charset="0"/>
              </a:rPr>
              <a:t>Monthly Cash Flow Comparison</a:t>
            </a:r>
          </a:p>
        </c:rich>
      </c:tx>
      <c:layout>
        <c:manualLayout>
          <c:xMode val="edge"/>
          <c:yMode val="edge"/>
          <c:x val="0.27584260578106989"/>
          <c:y val="2.0105637178912037E-2"/>
        </c:manualLayout>
      </c:layout>
      <c:overlay val="0"/>
      <c:spPr>
        <a:noFill/>
        <a:ln cap="rnd">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238426394888248"/>
          <c:y val="0.15469029913548557"/>
          <c:w val="0.86289777646294663"/>
          <c:h val="0.65581497878406492"/>
        </c:manualLayout>
      </c:layout>
      <c:lineChart>
        <c:grouping val="standard"/>
        <c:varyColors val="0"/>
        <c:ser>
          <c:idx val="0"/>
          <c:order val="0"/>
          <c:tx>
            <c:v>Monthly Rent Costs</c:v>
          </c:tx>
          <c:spPr>
            <a:ln w="19050" cap="rnd">
              <a:solidFill>
                <a:srgbClr val="970A1A"/>
              </a:solidFill>
              <a:round/>
            </a:ln>
            <a:effectLst/>
          </c:spPr>
          <c:marker>
            <c:symbol val="none"/>
          </c:marker>
          <c:dLbls>
            <c:dLbl>
              <c:idx val="0"/>
              <c:layout>
                <c:manualLayout>
                  <c:x val="-4.4490836160270053E-2"/>
                  <c:y val="3.19982674555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A8-45DF-9ACB-E09B199495A9}"/>
                </c:ext>
              </c:extLst>
            </c:dLbl>
            <c:dLbl>
              <c:idx val="1"/>
              <c:delete val="1"/>
              <c:extLst>
                <c:ext xmlns:c15="http://schemas.microsoft.com/office/drawing/2012/chart" uri="{CE6537A1-D6FC-4f65-9D91-7224C49458BB}"/>
                <c:ext xmlns:c16="http://schemas.microsoft.com/office/drawing/2014/chart" uri="{C3380CC4-5D6E-409C-BE32-E72D297353CC}">
                  <c16:uniqueId val="{00000001-F297-4D5E-9D24-7AEB6E47D877}"/>
                </c:ext>
              </c:extLst>
            </c:dLbl>
            <c:dLbl>
              <c:idx val="2"/>
              <c:delete val="1"/>
              <c:extLst>
                <c:ext xmlns:c15="http://schemas.microsoft.com/office/drawing/2012/chart" uri="{CE6537A1-D6FC-4f65-9D91-7224C49458BB}"/>
                <c:ext xmlns:c16="http://schemas.microsoft.com/office/drawing/2014/chart" uri="{C3380CC4-5D6E-409C-BE32-E72D297353CC}">
                  <c16:uniqueId val="{00000002-F297-4D5E-9D24-7AEB6E47D877}"/>
                </c:ext>
              </c:extLst>
            </c:dLbl>
            <c:dLbl>
              <c:idx val="3"/>
              <c:delete val="1"/>
              <c:extLst>
                <c:ext xmlns:c15="http://schemas.microsoft.com/office/drawing/2012/chart" uri="{CE6537A1-D6FC-4f65-9D91-7224C49458BB}"/>
                <c:ext xmlns:c16="http://schemas.microsoft.com/office/drawing/2014/chart" uri="{C3380CC4-5D6E-409C-BE32-E72D297353CC}">
                  <c16:uniqueId val="{00000003-F297-4D5E-9D24-7AEB6E47D877}"/>
                </c:ext>
              </c:extLst>
            </c:dLbl>
            <c:dLbl>
              <c:idx val="4"/>
              <c:delete val="1"/>
              <c:extLst>
                <c:ext xmlns:c15="http://schemas.microsoft.com/office/drawing/2012/chart" uri="{CE6537A1-D6FC-4f65-9D91-7224C49458BB}"/>
                <c:ext xmlns:c16="http://schemas.microsoft.com/office/drawing/2014/chart" uri="{C3380CC4-5D6E-409C-BE32-E72D297353CC}">
                  <c16:uniqueId val="{00000000-16A2-4454-8B9B-8DDC93B0EF84}"/>
                </c:ext>
              </c:extLst>
            </c:dLbl>
            <c:dLbl>
              <c:idx val="6"/>
              <c:delete val="1"/>
              <c:extLst>
                <c:ext xmlns:c15="http://schemas.microsoft.com/office/drawing/2012/chart" uri="{CE6537A1-D6FC-4f65-9D91-7224C49458BB}"/>
                <c:ext xmlns:c16="http://schemas.microsoft.com/office/drawing/2014/chart" uri="{C3380CC4-5D6E-409C-BE32-E72D297353CC}">
                  <c16:uniqueId val="{00000005-F297-4D5E-9D24-7AEB6E47D877}"/>
                </c:ext>
              </c:extLst>
            </c:dLbl>
            <c:dLbl>
              <c:idx val="7"/>
              <c:delete val="1"/>
              <c:extLst>
                <c:ext xmlns:c15="http://schemas.microsoft.com/office/drawing/2012/chart" uri="{CE6537A1-D6FC-4f65-9D91-7224C49458BB}"/>
                <c:ext xmlns:c16="http://schemas.microsoft.com/office/drawing/2014/chart" uri="{C3380CC4-5D6E-409C-BE32-E72D297353CC}">
                  <c16:uniqueId val="{00000006-F297-4D5E-9D24-7AEB6E47D877}"/>
                </c:ext>
              </c:extLst>
            </c:dLbl>
            <c:dLbl>
              <c:idx val="8"/>
              <c:delete val="1"/>
              <c:extLst>
                <c:ext xmlns:c15="http://schemas.microsoft.com/office/drawing/2012/chart" uri="{CE6537A1-D6FC-4f65-9D91-7224C49458BB}"/>
                <c:ext xmlns:c16="http://schemas.microsoft.com/office/drawing/2014/chart" uri="{C3380CC4-5D6E-409C-BE32-E72D297353CC}">
                  <c16:uniqueId val="{00000007-F297-4D5E-9D24-7AEB6E47D877}"/>
                </c:ext>
              </c:extLst>
            </c:dLbl>
            <c:dLbl>
              <c:idx val="9"/>
              <c:delete val="1"/>
              <c:extLst>
                <c:ext xmlns:c15="http://schemas.microsoft.com/office/drawing/2012/chart" uri="{CE6537A1-D6FC-4f65-9D91-7224C49458BB}"/>
                <c:ext xmlns:c16="http://schemas.microsoft.com/office/drawing/2014/chart" uri="{C3380CC4-5D6E-409C-BE32-E72D297353CC}">
                  <c16:uniqueId val="{00000001-16A2-4454-8B9B-8DDC93B0EF84}"/>
                </c:ext>
              </c:extLst>
            </c:dLbl>
            <c:dLbl>
              <c:idx val="11"/>
              <c:delete val="1"/>
              <c:extLst>
                <c:ext xmlns:c15="http://schemas.microsoft.com/office/drawing/2012/chart" uri="{CE6537A1-D6FC-4f65-9D91-7224C49458BB}"/>
                <c:ext xmlns:c16="http://schemas.microsoft.com/office/drawing/2014/chart" uri="{C3380CC4-5D6E-409C-BE32-E72D297353CC}">
                  <c16:uniqueId val="{00000009-F297-4D5E-9D24-7AEB6E47D877}"/>
                </c:ext>
              </c:extLst>
            </c:dLbl>
            <c:dLbl>
              <c:idx val="12"/>
              <c:delete val="1"/>
              <c:extLst>
                <c:ext xmlns:c15="http://schemas.microsoft.com/office/drawing/2012/chart" uri="{CE6537A1-D6FC-4f65-9D91-7224C49458BB}"/>
                <c:ext xmlns:c16="http://schemas.microsoft.com/office/drawing/2014/chart" uri="{C3380CC4-5D6E-409C-BE32-E72D297353CC}">
                  <c16:uniqueId val="{0000000A-F297-4D5E-9D24-7AEB6E47D877}"/>
                </c:ext>
              </c:extLst>
            </c:dLbl>
            <c:dLbl>
              <c:idx val="13"/>
              <c:delete val="1"/>
              <c:extLst>
                <c:ext xmlns:c15="http://schemas.microsoft.com/office/drawing/2012/chart" uri="{CE6537A1-D6FC-4f65-9D91-7224C49458BB}"/>
                <c:ext xmlns:c16="http://schemas.microsoft.com/office/drawing/2014/chart" uri="{C3380CC4-5D6E-409C-BE32-E72D297353CC}">
                  <c16:uniqueId val="{0000000B-F297-4D5E-9D24-7AEB6E47D877}"/>
                </c:ext>
              </c:extLst>
            </c:dLbl>
            <c:dLbl>
              <c:idx val="14"/>
              <c:delete val="1"/>
              <c:extLst>
                <c:ext xmlns:c15="http://schemas.microsoft.com/office/drawing/2012/chart" uri="{CE6537A1-D6FC-4f65-9D91-7224C49458BB}"/>
                <c:ext xmlns:c16="http://schemas.microsoft.com/office/drawing/2014/chart" uri="{C3380CC4-5D6E-409C-BE32-E72D297353CC}">
                  <c16:uniqueId val="{00000002-16A2-4454-8B9B-8DDC93B0EF84}"/>
                </c:ext>
              </c:extLst>
            </c:dLbl>
            <c:dLbl>
              <c:idx val="16"/>
              <c:delete val="1"/>
              <c:extLst>
                <c:ext xmlns:c15="http://schemas.microsoft.com/office/drawing/2012/chart" uri="{CE6537A1-D6FC-4f65-9D91-7224C49458BB}"/>
                <c:ext xmlns:c16="http://schemas.microsoft.com/office/drawing/2014/chart" uri="{C3380CC4-5D6E-409C-BE32-E72D297353CC}">
                  <c16:uniqueId val="{0000000D-F297-4D5E-9D24-7AEB6E47D877}"/>
                </c:ext>
              </c:extLst>
            </c:dLbl>
            <c:dLbl>
              <c:idx val="17"/>
              <c:delete val="1"/>
              <c:extLst>
                <c:ext xmlns:c15="http://schemas.microsoft.com/office/drawing/2012/chart" uri="{CE6537A1-D6FC-4f65-9D91-7224C49458BB}"/>
                <c:ext xmlns:c16="http://schemas.microsoft.com/office/drawing/2014/chart" uri="{C3380CC4-5D6E-409C-BE32-E72D297353CC}">
                  <c16:uniqueId val="{0000000E-F297-4D5E-9D24-7AEB6E47D877}"/>
                </c:ext>
              </c:extLst>
            </c:dLbl>
            <c:dLbl>
              <c:idx val="18"/>
              <c:delete val="1"/>
              <c:extLst>
                <c:ext xmlns:c15="http://schemas.microsoft.com/office/drawing/2012/chart" uri="{CE6537A1-D6FC-4f65-9D91-7224C49458BB}"/>
                <c:ext xmlns:c16="http://schemas.microsoft.com/office/drawing/2014/chart" uri="{C3380CC4-5D6E-409C-BE32-E72D297353CC}">
                  <c16:uniqueId val="{0000000F-F297-4D5E-9D24-7AEB6E47D877}"/>
                </c:ext>
              </c:extLst>
            </c:dLbl>
            <c:dLbl>
              <c:idx val="19"/>
              <c:delete val="1"/>
              <c:extLst>
                <c:ext xmlns:c15="http://schemas.microsoft.com/office/drawing/2012/chart" uri="{CE6537A1-D6FC-4f65-9D91-7224C49458BB}"/>
                <c:ext xmlns:c16="http://schemas.microsoft.com/office/drawing/2014/chart" uri="{C3380CC4-5D6E-409C-BE32-E72D297353CC}">
                  <c16:uniqueId val="{00000003-16A2-4454-8B9B-8DDC93B0EF84}"/>
                </c:ext>
              </c:extLst>
            </c:dLbl>
            <c:dLbl>
              <c:idx val="21"/>
              <c:delete val="1"/>
              <c:extLst>
                <c:ext xmlns:c15="http://schemas.microsoft.com/office/drawing/2012/chart" uri="{CE6537A1-D6FC-4f65-9D91-7224C49458BB}"/>
                <c:ext xmlns:c16="http://schemas.microsoft.com/office/drawing/2014/chart" uri="{C3380CC4-5D6E-409C-BE32-E72D297353CC}">
                  <c16:uniqueId val="{00000011-F297-4D5E-9D24-7AEB6E47D877}"/>
                </c:ext>
              </c:extLst>
            </c:dLbl>
            <c:dLbl>
              <c:idx val="22"/>
              <c:delete val="1"/>
              <c:extLst>
                <c:ext xmlns:c15="http://schemas.microsoft.com/office/drawing/2012/chart" uri="{CE6537A1-D6FC-4f65-9D91-7224C49458BB}"/>
                <c:ext xmlns:c16="http://schemas.microsoft.com/office/drawing/2014/chart" uri="{C3380CC4-5D6E-409C-BE32-E72D297353CC}">
                  <c16:uniqueId val="{00000012-F297-4D5E-9D24-7AEB6E47D877}"/>
                </c:ext>
              </c:extLst>
            </c:dLbl>
            <c:dLbl>
              <c:idx val="23"/>
              <c:delete val="1"/>
              <c:extLst>
                <c:ext xmlns:c15="http://schemas.microsoft.com/office/drawing/2012/chart" uri="{CE6537A1-D6FC-4f65-9D91-7224C49458BB}"/>
                <c:ext xmlns:c16="http://schemas.microsoft.com/office/drawing/2014/chart" uri="{C3380CC4-5D6E-409C-BE32-E72D297353CC}">
                  <c16:uniqueId val="{00000013-F297-4D5E-9D24-7AEB6E47D877}"/>
                </c:ext>
              </c:extLst>
            </c:dLbl>
            <c:dLbl>
              <c:idx val="24"/>
              <c:delete val="1"/>
              <c:extLst>
                <c:ext xmlns:c15="http://schemas.microsoft.com/office/drawing/2012/chart" uri="{CE6537A1-D6FC-4f65-9D91-7224C49458BB}"/>
                <c:ext xmlns:c16="http://schemas.microsoft.com/office/drawing/2014/chart" uri="{C3380CC4-5D6E-409C-BE32-E72D297353CC}">
                  <c16:uniqueId val="{00000004-16A2-4454-8B9B-8DDC93B0EF84}"/>
                </c:ext>
              </c:extLst>
            </c:dLbl>
            <c:dLbl>
              <c:idx val="26"/>
              <c:delete val="1"/>
              <c:extLst>
                <c:ext xmlns:c15="http://schemas.microsoft.com/office/drawing/2012/chart" uri="{CE6537A1-D6FC-4f65-9D91-7224C49458BB}"/>
                <c:ext xmlns:c16="http://schemas.microsoft.com/office/drawing/2014/chart" uri="{C3380CC4-5D6E-409C-BE32-E72D297353CC}">
                  <c16:uniqueId val="{00000015-F297-4D5E-9D24-7AEB6E47D877}"/>
                </c:ext>
              </c:extLst>
            </c:dLbl>
            <c:dLbl>
              <c:idx val="27"/>
              <c:delete val="1"/>
              <c:extLst>
                <c:ext xmlns:c15="http://schemas.microsoft.com/office/drawing/2012/chart" uri="{CE6537A1-D6FC-4f65-9D91-7224C49458BB}"/>
                <c:ext xmlns:c16="http://schemas.microsoft.com/office/drawing/2014/chart" uri="{C3380CC4-5D6E-409C-BE32-E72D297353CC}">
                  <c16:uniqueId val="{00000016-F297-4D5E-9D24-7AEB6E47D877}"/>
                </c:ext>
              </c:extLst>
            </c:dLbl>
            <c:dLbl>
              <c:idx val="28"/>
              <c:delete val="1"/>
              <c:extLst>
                <c:ext xmlns:c15="http://schemas.microsoft.com/office/drawing/2012/chart" uri="{CE6537A1-D6FC-4f65-9D91-7224C49458BB}"/>
                <c:ext xmlns:c16="http://schemas.microsoft.com/office/drawing/2014/chart" uri="{C3380CC4-5D6E-409C-BE32-E72D297353CC}">
                  <c16:uniqueId val="{00000017-F297-4D5E-9D24-7AEB6E47D877}"/>
                </c:ext>
              </c:extLst>
            </c:dLbl>
            <c:dLbl>
              <c:idx val="29"/>
              <c:delete val="1"/>
              <c:extLst>
                <c:ext xmlns:c15="http://schemas.microsoft.com/office/drawing/2012/chart" uri="{CE6537A1-D6FC-4f65-9D91-7224C49458BB}"/>
                <c:ext xmlns:c16="http://schemas.microsoft.com/office/drawing/2014/chart" uri="{C3380CC4-5D6E-409C-BE32-E72D297353CC}">
                  <c16:uniqueId val="{00000005-16A2-4454-8B9B-8DDC93B0EF84}"/>
                </c:ext>
              </c:extLst>
            </c:dLbl>
            <c:dLbl>
              <c:idx val="31"/>
              <c:delete val="1"/>
              <c:extLst>
                <c:ext xmlns:c15="http://schemas.microsoft.com/office/drawing/2012/chart" uri="{CE6537A1-D6FC-4f65-9D91-7224C49458BB}"/>
                <c:ext xmlns:c16="http://schemas.microsoft.com/office/drawing/2014/chart" uri="{C3380CC4-5D6E-409C-BE32-E72D297353CC}">
                  <c16:uniqueId val="{00000019-F297-4D5E-9D24-7AEB6E47D877}"/>
                </c:ext>
              </c:extLst>
            </c:dLbl>
            <c:dLbl>
              <c:idx val="32"/>
              <c:delete val="1"/>
              <c:extLst>
                <c:ext xmlns:c15="http://schemas.microsoft.com/office/drawing/2012/chart" uri="{CE6537A1-D6FC-4f65-9D91-7224C49458BB}"/>
                <c:ext xmlns:c16="http://schemas.microsoft.com/office/drawing/2014/chart" uri="{C3380CC4-5D6E-409C-BE32-E72D297353CC}">
                  <c16:uniqueId val="{0000001A-F297-4D5E-9D24-7AEB6E47D877}"/>
                </c:ext>
              </c:extLst>
            </c:dLbl>
            <c:dLbl>
              <c:idx val="33"/>
              <c:delete val="1"/>
              <c:extLst>
                <c:ext xmlns:c15="http://schemas.microsoft.com/office/drawing/2012/chart" uri="{CE6537A1-D6FC-4f65-9D91-7224C49458BB}"/>
                <c:ext xmlns:c16="http://schemas.microsoft.com/office/drawing/2014/chart" uri="{C3380CC4-5D6E-409C-BE32-E72D297353CC}">
                  <c16:uniqueId val="{0000001B-F297-4D5E-9D24-7AEB6E47D877}"/>
                </c:ext>
              </c:extLst>
            </c:dLbl>
            <c:dLbl>
              <c:idx val="34"/>
              <c:delete val="1"/>
              <c:extLst>
                <c:ext xmlns:c15="http://schemas.microsoft.com/office/drawing/2012/chart" uri="{CE6537A1-D6FC-4f65-9D91-7224C49458BB}"/>
                <c:ext xmlns:c16="http://schemas.microsoft.com/office/drawing/2014/chart" uri="{C3380CC4-5D6E-409C-BE32-E72D297353CC}">
                  <c16:uniqueId val="{00000006-16A2-4454-8B9B-8DDC93B0EF84}"/>
                </c:ext>
              </c:extLst>
            </c:dLbl>
            <c:spPr>
              <a:solidFill>
                <a:schemeClr val="lt1"/>
              </a:solidFill>
              <a:ln>
                <a:solidFill>
                  <a:srgbClr val="970A1A"/>
                </a:solidFill>
              </a:ln>
              <a:effectLst/>
            </c:spPr>
            <c:txPr>
              <a:bodyPr rot="0" spcFirstLastPara="1" vertOverflow="clip" horzOverflow="clip" vert="horz" wrap="square" lIns="36576" tIns="18288" rIns="36576" bIns="18288" anchor="ctr" anchorCtr="1">
                <a:spAutoFit/>
              </a:bodyPr>
              <a:lstStyle/>
              <a:p>
                <a:pPr>
                  <a:defRPr sz="700" b="1" i="0" u="none" strike="noStrike" kern="1200" baseline="0">
                    <a:solidFill>
                      <a:srgbClr val="970A1A"/>
                    </a:solidFill>
                    <a:latin typeface="Garamond" panose="02020404030301010803" pitchFamily="18"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Data!$B$10:$B$45</c:f>
              <c:numCache>
                <c:formatCode>General</c:formatCode>
                <c:ptCount val="3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cat>
          <c:val>
            <c:numRef>
              <c:f>Data!$K$10:$K$45</c:f>
              <c:numCache>
                <c:formatCode>_("$"* #,##0_);_("$"* \(#,##0\);_("$"* "-"??_);_(@_)</c:formatCode>
                <c:ptCount val="36"/>
                <c:pt idx="0">
                  <c:v>2913</c:v>
                </c:pt>
                <c:pt idx="1">
                  <c:v>3014.9549999999999</c:v>
                </c:pt>
                <c:pt idx="2">
                  <c:v>3120.4784249999998</c:v>
                </c:pt>
                <c:pt idx="3">
                  <c:v>3229.6951698749999</c:v>
                </c:pt>
                <c:pt idx="4">
                  <c:v>3342.7345008206248</c:v>
                </c:pt>
                <c:pt idx="5">
                  <c:v>3459.7302083493464</c:v>
                </c:pt>
                <c:pt idx="6">
                  <c:v>3580.820765641573</c:v>
                </c:pt>
                <c:pt idx="7">
                  <c:v>3706.1494924390281</c:v>
                </c:pt>
                <c:pt idx="8">
                  <c:v>3835.8647246743935</c:v>
                </c:pt>
                <c:pt idx="9">
                  <c:v>3970.1199900379966</c:v>
                </c:pt>
                <c:pt idx="10">
                  <c:v>4109.074189689326</c:v>
                </c:pt>
                <c:pt idx="11">
                  <c:v>4252.8917863284523</c:v>
                </c:pt>
                <c:pt idx="12">
                  <c:v>4401.742998849948</c:v>
                </c:pt>
                <c:pt idx="13">
                  <c:v>4555.804003809696</c:v>
                </c:pt>
                <c:pt idx="14">
                  <c:v>4715.2571439430349</c:v>
                </c:pt>
                <c:pt idx="15">
                  <c:v>4880.2911439810405</c:v>
                </c:pt>
                <c:pt idx="16">
                  <c:v>5051.1013340203763</c:v>
                </c:pt>
                <c:pt idx="17">
                  <c:v>5227.88988071109</c:v>
                </c:pt>
                <c:pt idx="18">
                  <c:v>5410.8660265359777</c:v>
                </c:pt>
                <c:pt idx="19">
                  <c:v>5600.2463374647368</c:v>
                </c:pt>
                <c:pt idx="20">
                  <c:v>5796.2549592760015</c:v>
                </c:pt>
                <c:pt idx="21">
                  <c:v>5999.1238828506612</c:v>
                </c:pt>
                <c:pt idx="22">
                  <c:v>6209.0932187504341</c:v>
                </c:pt>
                <c:pt idx="23">
                  <c:v>6426.4114814066997</c:v>
                </c:pt>
                <c:pt idx="24">
                  <c:v>6651.3358832559343</c:v>
                </c:pt>
                <c:pt idx="25">
                  <c:v>6884.1326391698904</c:v>
                </c:pt>
                <c:pt idx="26">
                  <c:v>7125.0772815408354</c:v>
                </c:pt>
                <c:pt idx="27">
                  <c:v>7374.454986394765</c:v>
                </c:pt>
                <c:pt idx="28">
                  <c:v>7632.5609109185816</c:v>
                </c:pt>
                <c:pt idx="29">
                  <c:v>7899.7005428007315</c:v>
                </c:pt>
                <c:pt idx="30">
                  <c:v>8176.1900617987558</c:v>
                </c:pt>
                <c:pt idx="31">
                  <c:v>8462.3567139617116</c:v>
                </c:pt>
                <c:pt idx="32">
                  <c:v>8758.5391989503714</c:v>
                </c:pt>
                <c:pt idx="33">
                  <c:v>9065.0880709136345</c:v>
                </c:pt>
                <c:pt idx="34">
                  <c:v>9382.366153395611</c:v>
                </c:pt>
                <c:pt idx="35">
                  <c:v>9710.7489687644556</c:v>
                </c:pt>
              </c:numCache>
            </c:numRef>
          </c:val>
          <c:smooth val="0"/>
          <c:extLst>
            <c:ext xmlns:c16="http://schemas.microsoft.com/office/drawing/2014/chart" uri="{C3380CC4-5D6E-409C-BE32-E72D297353CC}">
              <c16:uniqueId val="{0000001C-F297-4D5E-9D24-7AEB6E47D877}"/>
            </c:ext>
          </c:extLst>
        </c:ser>
        <c:ser>
          <c:idx val="1"/>
          <c:order val="1"/>
          <c:tx>
            <c:v>Monthly Ownership Costs</c:v>
          </c:tx>
          <c:spPr>
            <a:ln w="19050" cap="rnd">
              <a:solidFill>
                <a:srgbClr val="00B050"/>
              </a:solidFill>
              <a:round/>
            </a:ln>
            <a:effectLst/>
          </c:spPr>
          <c:marker>
            <c:symbol val="none"/>
          </c:marker>
          <c:dLbls>
            <c:dLbl>
              <c:idx val="0"/>
              <c:layout>
                <c:manualLayout>
                  <c:x val="-4.5126347374508075E-2"/>
                  <c:y val="-4.48107568414826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A8-45DF-9ACB-E09B199495A9}"/>
                </c:ext>
              </c:extLst>
            </c:dLbl>
            <c:dLbl>
              <c:idx val="1"/>
              <c:delete val="1"/>
              <c:extLst>
                <c:ext xmlns:c15="http://schemas.microsoft.com/office/drawing/2012/chart" uri="{CE6537A1-D6FC-4f65-9D91-7224C49458BB}"/>
                <c:ext xmlns:c16="http://schemas.microsoft.com/office/drawing/2014/chart" uri="{C3380CC4-5D6E-409C-BE32-E72D297353CC}">
                  <c16:uniqueId val="{0000001E-F297-4D5E-9D24-7AEB6E47D877}"/>
                </c:ext>
              </c:extLst>
            </c:dLbl>
            <c:dLbl>
              <c:idx val="2"/>
              <c:delete val="1"/>
              <c:extLst>
                <c:ext xmlns:c15="http://schemas.microsoft.com/office/drawing/2012/chart" uri="{CE6537A1-D6FC-4f65-9D91-7224C49458BB}"/>
                <c:ext xmlns:c16="http://schemas.microsoft.com/office/drawing/2014/chart" uri="{C3380CC4-5D6E-409C-BE32-E72D297353CC}">
                  <c16:uniqueId val="{0000001F-F297-4D5E-9D24-7AEB6E47D877}"/>
                </c:ext>
              </c:extLst>
            </c:dLbl>
            <c:dLbl>
              <c:idx val="3"/>
              <c:delete val="1"/>
              <c:extLst>
                <c:ext xmlns:c15="http://schemas.microsoft.com/office/drawing/2012/chart" uri="{CE6537A1-D6FC-4f65-9D91-7224C49458BB}"/>
                <c:ext xmlns:c16="http://schemas.microsoft.com/office/drawing/2014/chart" uri="{C3380CC4-5D6E-409C-BE32-E72D297353CC}">
                  <c16:uniqueId val="{00000020-F297-4D5E-9D24-7AEB6E47D877}"/>
                </c:ext>
              </c:extLst>
            </c:dLbl>
            <c:dLbl>
              <c:idx val="4"/>
              <c:delete val="1"/>
              <c:extLst>
                <c:ext xmlns:c15="http://schemas.microsoft.com/office/drawing/2012/chart" uri="{CE6537A1-D6FC-4f65-9D91-7224C49458BB}"/>
                <c:ext xmlns:c16="http://schemas.microsoft.com/office/drawing/2014/chart" uri="{C3380CC4-5D6E-409C-BE32-E72D297353CC}">
                  <c16:uniqueId val="{00000007-16A2-4454-8B9B-8DDC93B0EF84}"/>
                </c:ext>
              </c:extLst>
            </c:dLbl>
            <c:dLbl>
              <c:idx val="6"/>
              <c:delete val="1"/>
              <c:extLst>
                <c:ext xmlns:c15="http://schemas.microsoft.com/office/drawing/2012/chart" uri="{CE6537A1-D6FC-4f65-9D91-7224C49458BB}"/>
                <c:ext xmlns:c16="http://schemas.microsoft.com/office/drawing/2014/chart" uri="{C3380CC4-5D6E-409C-BE32-E72D297353CC}">
                  <c16:uniqueId val="{00000022-F297-4D5E-9D24-7AEB6E47D877}"/>
                </c:ext>
              </c:extLst>
            </c:dLbl>
            <c:dLbl>
              <c:idx val="7"/>
              <c:delete val="1"/>
              <c:extLst>
                <c:ext xmlns:c15="http://schemas.microsoft.com/office/drawing/2012/chart" uri="{CE6537A1-D6FC-4f65-9D91-7224C49458BB}"/>
                <c:ext xmlns:c16="http://schemas.microsoft.com/office/drawing/2014/chart" uri="{C3380CC4-5D6E-409C-BE32-E72D297353CC}">
                  <c16:uniqueId val="{00000023-F297-4D5E-9D24-7AEB6E47D877}"/>
                </c:ext>
              </c:extLst>
            </c:dLbl>
            <c:dLbl>
              <c:idx val="8"/>
              <c:delete val="1"/>
              <c:extLst>
                <c:ext xmlns:c15="http://schemas.microsoft.com/office/drawing/2012/chart" uri="{CE6537A1-D6FC-4f65-9D91-7224C49458BB}"/>
                <c:ext xmlns:c16="http://schemas.microsoft.com/office/drawing/2014/chart" uri="{C3380CC4-5D6E-409C-BE32-E72D297353CC}">
                  <c16:uniqueId val="{00000024-F297-4D5E-9D24-7AEB6E47D877}"/>
                </c:ext>
              </c:extLst>
            </c:dLbl>
            <c:dLbl>
              <c:idx val="9"/>
              <c:delete val="1"/>
              <c:extLst>
                <c:ext xmlns:c15="http://schemas.microsoft.com/office/drawing/2012/chart" uri="{CE6537A1-D6FC-4f65-9D91-7224C49458BB}"/>
                <c:ext xmlns:c16="http://schemas.microsoft.com/office/drawing/2014/chart" uri="{C3380CC4-5D6E-409C-BE32-E72D297353CC}">
                  <c16:uniqueId val="{00000008-16A2-4454-8B9B-8DDC93B0EF84}"/>
                </c:ext>
              </c:extLst>
            </c:dLbl>
            <c:dLbl>
              <c:idx val="11"/>
              <c:delete val="1"/>
              <c:extLst>
                <c:ext xmlns:c15="http://schemas.microsoft.com/office/drawing/2012/chart" uri="{CE6537A1-D6FC-4f65-9D91-7224C49458BB}"/>
                <c:ext xmlns:c16="http://schemas.microsoft.com/office/drawing/2014/chart" uri="{C3380CC4-5D6E-409C-BE32-E72D297353CC}">
                  <c16:uniqueId val="{00000026-F297-4D5E-9D24-7AEB6E47D877}"/>
                </c:ext>
              </c:extLst>
            </c:dLbl>
            <c:dLbl>
              <c:idx val="12"/>
              <c:delete val="1"/>
              <c:extLst>
                <c:ext xmlns:c15="http://schemas.microsoft.com/office/drawing/2012/chart" uri="{CE6537A1-D6FC-4f65-9D91-7224C49458BB}"/>
                <c:ext xmlns:c16="http://schemas.microsoft.com/office/drawing/2014/chart" uri="{C3380CC4-5D6E-409C-BE32-E72D297353CC}">
                  <c16:uniqueId val="{00000027-F297-4D5E-9D24-7AEB6E47D877}"/>
                </c:ext>
              </c:extLst>
            </c:dLbl>
            <c:dLbl>
              <c:idx val="13"/>
              <c:delete val="1"/>
              <c:extLst>
                <c:ext xmlns:c15="http://schemas.microsoft.com/office/drawing/2012/chart" uri="{CE6537A1-D6FC-4f65-9D91-7224C49458BB}"/>
                <c:ext xmlns:c16="http://schemas.microsoft.com/office/drawing/2014/chart" uri="{C3380CC4-5D6E-409C-BE32-E72D297353CC}">
                  <c16:uniqueId val="{00000028-F297-4D5E-9D24-7AEB6E47D877}"/>
                </c:ext>
              </c:extLst>
            </c:dLbl>
            <c:dLbl>
              <c:idx val="14"/>
              <c:delete val="1"/>
              <c:extLst>
                <c:ext xmlns:c15="http://schemas.microsoft.com/office/drawing/2012/chart" uri="{CE6537A1-D6FC-4f65-9D91-7224C49458BB}"/>
                <c:ext xmlns:c16="http://schemas.microsoft.com/office/drawing/2014/chart" uri="{C3380CC4-5D6E-409C-BE32-E72D297353CC}">
                  <c16:uniqueId val="{00000009-16A2-4454-8B9B-8DDC93B0EF84}"/>
                </c:ext>
              </c:extLst>
            </c:dLbl>
            <c:dLbl>
              <c:idx val="16"/>
              <c:delete val="1"/>
              <c:extLst>
                <c:ext xmlns:c15="http://schemas.microsoft.com/office/drawing/2012/chart" uri="{CE6537A1-D6FC-4f65-9D91-7224C49458BB}"/>
                <c:ext xmlns:c16="http://schemas.microsoft.com/office/drawing/2014/chart" uri="{C3380CC4-5D6E-409C-BE32-E72D297353CC}">
                  <c16:uniqueId val="{0000002A-F297-4D5E-9D24-7AEB6E47D877}"/>
                </c:ext>
              </c:extLst>
            </c:dLbl>
            <c:dLbl>
              <c:idx val="17"/>
              <c:delete val="1"/>
              <c:extLst>
                <c:ext xmlns:c15="http://schemas.microsoft.com/office/drawing/2012/chart" uri="{CE6537A1-D6FC-4f65-9D91-7224C49458BB}"/>
                <c:ext xmlns:c16="http://schemas.microsoft.com/office/drawing/2014/chart" uri="{C3380CC4-5D6E-409C-BE32-E72D297353CC}">
                  <c16:uniqueId val="{0000002B-F297-4D5E-9D24-7AEB6E47D877}"/>
                </c:ext>
              </c:extLst>
            </c:dLbl>
            <c:dLbl>
              <c:idx val="18"/>
              <c:delete val="1"/>
              <c:extLst>
                <c:ext xmlns:c15="http://schemas.microsoft.com/office/drawing/2012/chart" uri="{CE6537A1-D6FC-4f65-9D91-7224C49458BB}"/>
                <c:ext xmlns:c16="http://schemas.microsoft.com/office/drawing/2014/chart" uri="{C3380CC4-5D6E-409C-BE32-E72D297353CC}">
                  <c16:uniqueId val="{0000002C-F297-4D5E-9D24-7AEB6E47D877}"/>
                </c:ext>
              </c:extLst>
            </c:dLbl>
            <c:dLbl>
              <c:idx val="19"/>
              <c:delete val="1"/>
              <c:extLst>
                <c:ext xmlns:c15="http://schemas.microsoft.com/office/drawing/2012/chart" uri="{CE6537A1-D6FC-4f65-9D91-7224C49458BB}"/>
                <c:ext xmlns:c16="http://schemas.microsoft.com/office/drawing/2014/chart" uri="{C3380CC4-5D6E-409C-BE32-E72D297353CC}">
                  <c16:uniqueId val="{0000000A-16A2-4454-8B9B-8DDC93B0EF84}"/>
                </c:ext>
              </c:extLst>
            </c:dLbl>
            <c:dLbl>
              <c:idx val="21"/>
              <c:delete val="1"/>
              <c:extLst>
                <c:ext xmlns:c15="http://schemas.microsoft.com/office/drawing/2012/chart" uri="{CE6537A1-D6FC-4f65-9D91-7224C49458BB}"/>
                <c:ext xmlns:c16="http://schemas.microsoft.com/office/drawing/2014/chart" uri="{C3380CC4-5D6E-409C-BE32-E72D297353CC}">
                  <c16:uniqueId val="{0000002E-F297-4D5E-9D24-7AEB6E47D877}"/>
                </c:ext>
              </c:extLst>
            </c:dLbl>
            <c:dLbl>
              <c:idx val="22"/>
              <c:delete val="1"/>
              <c:extLst>
                <c:ext xmlns:c15="http://schemas.microsoft.com/office/drawing/2012/chart" uri="{CE6537A1-D6FC-4f65-9D91-7224C49458BB}"/>
                <c:ext xmlns:c16="http://schemas.microsoft.com/office/drawing/2014/chart" uri="{C3380CC4-5D6E-409C-BE32-E72D297353CC}">
                  <c16:uniqueId val="{0000002F-F297-4D5E-9D24-7AEB6E47D877}"/>
                </c:ext>
              </c:extLst>
            </c:dLbl>
            <c:dLbl>
              <c:idx val="23"/>
              <c:delete val="1"/>
              <c:extLst>
                <c:ext xmlns:c15="http://schemas.microsoft.com/office/drawing/2012/chart" uri="{CE6537A1-D6FC-4f65-9D91-7224C49458BB}"/>
                <c:ext xmlns:c16="http://schemas.microsoft.com/office/drawing/2014/chart" uri="{C3380CC4-5D6E-409C-BE32-E72D297353CC}">
                  <c16:uniqueId val="{00000030-F297-4D5E-9D24-7AEB6E47D877}"/>
                </c:ext>
              </c:extLst>
            </c:dLbl>
            <c:dLbl>
              <c:idx val="24"/>
              <c:delete val="1"/>
              <c:extLst>
                <c:ext xmlns:c15="http://schemas.microsoft.com/office/drawing/2012/chart" uri="{CE6537A1-D6FC-4f65-9D91-7224C49458BB}"/>
                <c:ext xmlns:c16="http://schemas.microsoft.com/office/drawing/2014/chart" uri="{C3380CC4-5D6E-409C-BE32-E72D297353CC}">
                  <c16:uniqueId val="{0000000B-16A2-4454-8B9B-8DDC93B0EF84}"/>
                </c:ext>
              </c:extLst>
            </c:dLbl>
            <c:dLbl>
              <c:idx val="26"/>
              <c:delete val="1"/>
              <c:extLst>
                <c:ext xmlns:c15="http://schemas.microsoft.com/office/drawing/2012/chart" uri="{CE6537A1-D6FC-4f65-9D91-7224C49458BB}"/>
                <c:ext xmlns:c16="http://schemas.microsoft.com/office/drawing/2014/chart" uri="{C3380CC4-5D6E-409C-BE32-E72D297353CC}">
                  <c16:uniqueId val="{00000032-F297-4D5E-9D24-7AEB6E47D877}"/>
                </c:ext>
              </c:extLst>
            </c:dLbl>
            <c:dLbl>
              <c:idx val="27"/>
              <c:delete val="1"/>
              <c:extLst>
                <c:ext xmlns:c15="http://schemas.microsoft.com/office/drawing/2012/chart" uri="{CE6537A1-D6FC-4f65-9D91-7224C49458BB}"/>
                <c:ext xmlns:c16="http://schemas.microsoft.com/office/drawing/2014/chart" uri="{C3380CC4-5D6E-409C-BE32-E72D297353CC}">
                  <c16:uniqueId val="{00000033-F297-4D5E-9D24-7AEB6E47D877}"/>
                </c:ext>
              </c:extLst>
            </c:dLbl>
            <c:dLbl>
              <c:idx val="28"/>
              <c:delete val="1"/>
              <c:extLst>
                <c:ext xmlns:c15="http://schemas.microsoft.com/office/drawing/2012/chart" uri="{CE6537A1-D6FC-4f65-9D91-7224C49458BB}"/>
                <c:ext xmlns:c16="http://schemas.microsoft.com/office/drawing/2014/chart" uri="{C3380CC4-5D6E-409C-BE32-E72D297353CC}">
                  <c16:uniqueId val="{00000034-F297-4D5E-9D24-7AEB6E47D877}"/>
                </c:ext>
              </c:extLst>
            </c:dLbl>
            <c:dLbl>
              <c:idx val="29"/>
              <c:delete val="1"/>
              <c:extLst>
                <c:ext xmlns:c15="http://schemas.microsoft.com/office/drawing/2012/chart" uri="{CE6537A1-D6FC-4f65-9D91-7224C49458BB}"/>
                <c:ext xmlns:c16="http://schemas.microsoft.com/office/drawing/2014/chart" uri="{C3380CC4-5D6E-409C-BE32-E72D297353CC}">
                  <c16:uniqueId val="{0000000C-16A2-4454-8B9B-8DDC93B0EF84}"/>
                </c:ext>
              </c:extLst>
            </c:dLbl>
            <c:dLbl>
              <c:idx val="31"/>
              <c:delete val="1"/>
              <c:extLst>
                <c:ext xmlns:c15="http://schemas.microsoft.com/office/drawing/2012/chart" uri="{CE6537A1-D6FC-4f65-9D91-7224C49458BB}"/>
                <c:ext xmlns:c16="http://schemas.microsoft.com/office/drawing/2014/chart" uri="{C3380CC4-5D6E-409C-BE32-E72D297353CC}">
                  <c16:uniqueId val="{00000036-F297-4D5E-9D24-7AEB6E47D877}"/>
                </c:ext>
              </c:extLst>
            </c:dLbl>
            <c:dLbl>
              <c:idx val="32"/>
              <c:delete val="1"/>
              <c:extLst>
                <c:ext xmlns:c15="http://schemas.microsoft.com/office/drawing/2012/chart" uri="{CE6537A1-D6FC-4f65-9D91-7224C49458BB}"/>
                <c:ext xmlns:c16="http://schemas.microsoft.com/office/drawing/2014/chart" uri="{C3380CC4-5D6E-409C-BE32-E72D297353CC}">
                  <c16:uniqueId val="{00000037-F297-4D5E-9D24-7AEB6E47D877}"/>
                </c:ext>
              </c:extLst>
            </c:dLbl>
            <c:dLbl>
              <c:idx val="33"/>
              <c:delete val="1"/>
              <c:extLst>
                <c:ext xmlns:c15="http://schemas.microsoft.com/office/drawing/2012/chart" uri="{CE6537A1-D6FC-4f65-9D91-7224C49458BB}"/>
                <c:ext xmlns:c16="http://schemas.microsoft.com/office/drawing/2014/chart" uri="{C3380CC4-5D6E-409C-BE32-E72D297353CC}">
                  <c16:uniqueId val="{00000038-F297-4D5E-9D24-7AEB6E47D877}"/>
                </c:ext>
              </c:extLst>
            </c:dLbl>
            <c:dLbl>
              <c:idx val="34"/>
              <c:delete val="1"/>
              <c:extLst>
                <c:ext xmlns:c15="http://schemas.microsoft.com/office/drawing/2012/chart" uri="{CE6537A1-D6FC-4f65-9D91-7224C49458BB}"/>
                <c:ext xmlns:c16="http://schemas.microsoft.com/office/drawing/2014/chart" uri="{C3380CC4-5D6E-409C-BE32-E72D297353CC}">
                  <c16:uniqueId val="{0000000D-16A2-4454-8B9B-8DDC93B0EF84}"/>
                </c:ext>
              </c:extLst>
            </c:dLbl>
            <c:spPr>
              <a:solidFill>
                <a:schemeClr val="lt1"/>
              </a:solidFill>
              <a:ln>
                <a:solidFill>
                  <a:srgbClr val="00B050"/>
                </a:solidFill>
              </a:ln>
              <a:effectLst/>
            </c:spPr>
            <c:txPr>
              <a:bodyPr rot="0" spcFirstLastPara="1" vertOverflow="clip" horzOverflow="clip" vert="horz" wrap="square" lIns="36576" tIns="18288" rIns="36576" bIns="18288" anchor="ctr" anchorCtr="1">
                <a:spAutoFit/>
              </a:bodyPr>
              <a:lstStyle/>
              <a:p>
                <a:pPr>
                  <a:defRPr sz="700" b="1" i="0" u="none" strike="noStrike" kern="1200" baseline="0">
                    <a:solidFill>
                      <a:srgbClr val="00B050"/>
                    </a:solidFill>
                    <a:latin typeface="Garamond" panose="02020404030301010803" pitchFamily="18" charset="0"/>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numRef>
              <c:f>Data!$B$10:$B$45</c:f>
              <c:numCache>
                <c:formatCode>General</c:formatCode>
                <c:ptCount val="3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cat>
          <c:val>
            <c:numRef>
              <c:f>Data!$T$10:$T$45</c:f>
              <c:numCache>
                <c:formatCode>_("$"* #,##0_);_("$"* \(#,##0\);_("$"* "-"??_);_(@_)</c:formatCode>
                <c:ptCount val="36"/>
                <c:pt idx="0">
                  <c:v>3683.4454637535659</c:v>
                </c:pt>
                <c:pt idx="1">
                  <c:v>3699.7948387535657</c:v>
                </c:pt>
                <c:pt idx="2">
                  <c:v>3716.7164418785665</c:v>
                </c:pt>
                <c:pt idx="3">
                  <c:v>3596.2303011129407</c:v>
                </c:pt>
                <c:pt idx="4">
                  <c:v>3614.3571454205194</c:v>
                </c:pt>
                <c:pt idx="5">
                  <c:v>3633.1184292788625</c:v>
                </c:pt>
                <c:pt idx="6">
                  <c:v>3652.5363580722478</c:v>
                </c:pt>
                <c:pt idx="7">
                  <c:v>3672.6339143734017</c:v>
                </c:pt>
                <c:pt idx="8">
                  <c:v>3693.4348851450959</c:v>
                </c:pt>
                <c:pt idx="9">
                  <c:v>3714.9638898937992</c:v>
                </c:pt>
                <c:pt idx="10">
                  <c:v>3737.2464098087075</c:v>
                </c:pt>
                <c:pt idx="11">
                  <c:v>3760.3088179206375</c:v>
                </c:pt>
                <c:pt idx="12">
                  <c:v>3784.1784103164846</c:v>
                </c:pt>
                <c:pt idx="13">
                  <c:v>3808.8834384461866</c:v>
                </c:pt>
                <c:pt idx="14">
                  <c:v>3834.4531425604287</c:v>
                </c:pt>
                <c:pt idx="15">
                  <c:v>3860.9177863186687</c:v>
                </c:pt>
                <c:pt idx="16">
                  <c:v>3888.308692608447</c:v>
                </c:pt>
                <c:pt idx="17">
                  <c:v>3916.6582806183683</c:v>
                </c:pt>
                <c:pt idx="18">
                  <c:v>3946.0001042086355</c:v>
                </c:pt>
                <c:pt idx="19">
                  <c:v>3976.3688916245633</c:v>
                </c:pt>
                <c:pt idx="20">
                  <c:v>4007.8005866000481</c:v>
                </c:pt>
                <c:pt idx="21">
                  <c:v>4040.3323908996754</c:v>
                </c:pt>
                <c:pt idx="22">
                  <c:v>4074.0028083497891</c:v>
                </c:pt>
                <c:pt idx="23">
                  <c:v>4108.8516904106564</c:v>
                </c:pt>
                <c:pt idx="24">
                  <c:v>4144.9202833436548</c:v>
                </c:pt>
                <c:pt idx="25">
                  <c:v>4182.2512770293079</c:v>
                </c:pt>
                <c:pt idx="26">
                  <c:v>4220.8888554939585</c:v>
                </c:pt>
                <c:pt idx="27">
                  <c:v>4260.8787492048723</c:v>
                </c:pt>
                <c:pt idx="28">
                  <c:v>4302.2682891956674</c:v>
                </c:pt>
                <c:pt idx="29">
                  <c:v>4345.106463086141</c:v>
                </c:pt>
                <c:pt idx="30">
                  <c:v>4389.443973062781</c:v>
                </c:pt>
                <c:pt idx="31">
                  <c:v>1357.0128321350378</c:v>
                </c:pt>
                <c:pt idx="32">
                  <c:v>1404.5082812597641</c:v>
                </c:pt>
                <c:pt idx="33">
                  <c:v>1453.6660711038555</c:v>
                </c:pt>
                <c:pt idx="34">
                  <c:v>1504.5443835924905</c:v>
                </c:pt>
                <c:pt idx="35">
                  <c:v>1557.2034370182275</c:v>
                </c:pt>
              </c:numCache>
            </c:numRef>
          </c:val>
          <c:smooth val="0"/>
          <c:extLst>
            <c:ext xmlns:c16="http://schemas.microsoft.com/office/drawing/2014/chart" uri="{C3380CC4-5D6E-409C-BE32-E72D297353CC}">
              <c16:uniqueId val="{00000039-F297-4D5E-9D24-7AEB6E47D877}"/>
            </c:ext>
          </c:extLst>
        </c:ser>
        <c:dLbls>
          <c:dLblPos val="ctr"/>
          <c:showLegendKey val="0"/>
          <c:showVal val="1"/>
          <c:showCatName val="0"/>
          <c:showSerName val="0"/>
          <c:showPercent val="0"/>
          <c:showBubbleSize val="0"/>
        </c:dLbls>
        <c:smooth val="0"/>
        <c:axId val="2104521744"/>
        <c:axId val="2104523408"/>
      </c:lineChart>
      <c:catAx>
        <c:axId val="210452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Garamond" panose="02020404030301010803" pitchFamily="18" charset="0"/>
                <a:ea typeface="+mn-ea"/>
                <a:cs typeface="+mn-cs"/>
              </a:defRPr>
            </a:pPr>
            <a:endParaRPr lang="en-US"/>
          </a:p>
        </c:txPr>
        <c:crossAx val="2104523408"/>
        <c:crosses val="autoZero"/>
        <c:auto val="1"/>
        <c:lblAlgn val="ctr"/>
        <c:lblOffset val="100"/>
        <c:noMultiLvlLbl val="0"/>
      </c:catAx>
      <c:valAx>
        <c:axId val="210452340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Garamond" panose="02020404030301010803" pitchFamily="18" charset="0"/>
                <a:ea typeface="+mn-ea"/>
                <a:cs typeface="+mn-cs"/>
              </a:defRPr>
            </a:pPr>
            <a:endParaRPr lang="en-US"/>
          </a:p>
        </c:txPr>
        <c:crossAx val="2104521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gradFill>
    <a:ln w="9525" cap="flat" cmpd="sng" algn="ctr">
      <a:solidFill>
        <a:schemeClr val="tx1">
          <a:lumMod val="50000"/>
          <a:lumOff val="50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25" r="0.25"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Garamond" panose="02020404030301010803" pitchFamily="18" charset="0"/>
                <a:ea typeface="+mn-ea"/>
                <a:cs typeface="+mn-cs"/>
              </a:defRPr>
            </a:pPr>
            <a:r>
              <a:rPr lang="en-US" sz="1400" b="1">
                <a:solidFill>
                  <a:sysClr val="windowText" lastClr="000000"/>
                </a:solidFill>
              </a:rPr>
              <a:t>Home Equity</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barChart>
        <c:barDir val="col"/>
        <c:grouping val="clustered"/>
        <c:varyColors val="0"/>
        <c:ser>
          <c:idx val="0"/>
          <c:order val="0"/>
          <c:tx>
            <c:v>Home Equity</c:v>
          </c:tx>
          <c:spPr>
            <a:solidFill>
              <a:srgbClr val="172C51"/>
            </a:solidFill>
            <a:ln w="19050">
              <a:solidFill>
                <a:srgbClr val="172C5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4679-4CA3-A5C3-B1D7C3C7A966}"/>
                </c:ext>
              </c:extLst>
            </c:dLbl>
            <c:dLbl>
              <c:idx val="2"/>
              <c:delete val="1"/>
              <c:extLst>
                <c:ext xmlns:c15="http://schemas.microsoft.com/office/drawing/2012/chart" uri="{CE6537A1-D6FC-4f65-9D91-7224C49458BB}"/>
                <c:ext xmlns:c16="http://schemas.microsoft.com/office/drawing/2014/chart" uri="{C3380CC4-5D6E-409C-BE32-E72D297353CC}">
                  <c16:uniqueId val="{00000002-4679-4CA3-A5C3-B1D7C3C7A966}"/>
                </c:ext>
              </c:extLst>
            </c:dLbl>
            <c:dLbl>
              <c:idx val="3"/>
              <c:delete val="1"/>
              <c:extLst>
                <c:ext xmlns:c15="http://schemas.microsoft.com/office/drawing/2012/chart" uri="{CE6537A1-D6FC-4f65-9D91-7224C49458BB}"/>
                <c:ext xmlns:c16="http://schemas.microsoft.com/office/drawing/2014/chart" uri="{C3380CC4-5D6E-409C-BE32-E72D297353CC}">
                  <c16:uniqueId val="{00000003-4679-4CA3-A5C3-B1D7C3C7A966}"/>
                </c:ext>
              </c:extLst>
            </c:dLbl>
            <c:dLbl>
              <c:idx val="4"/>
              <c:delete val="1"/>
              <c:extLst>
                <c:ext xmlns:c15="http://schemas.microsoft.com/office/drawing/2012/chart" uri="{CE6537A1-D6FC-4f65-9D91-7224C49458BB}"/>
                <c:ext xmlns:c16="http://schemas.microsoft.com/office/drawing/2014/chart" uri="{C3380CC4-5D6E-409C-BE32-E72D297353CC}">
                  <c16:uniqueId val="{00000004-4679-4CA3-A5C3-B1D7C3C7A966}"/>
                </c:ext>
              </c:extLst>
            </c:dLbl>
            <c:dLbl>
              <c:idx val="5"/>
              <c:layout>
                <c:manualLayout>
                  <c:x val="-3.1190901393374563E-17"/>
                  <c:y val="-1.59064331001099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79-4CA3-A5C3-B1D7C3C7A966}"/>
                </c:ext>
              </c:extLst>
            </c:dLbl>
            <c:dLbl>
              <c:idx val="6"/>
              <c:delete val="1"/>
              <c:extLst>
                <c:ext xmlns:c15="http://schemas.microsoft.com/office/drawing/2012/chart" uri="{CE6537A1-D6FC-4f65-9D91-7224C49458BB}"/>
                <c:ext xmlns:c16="http://schemas.microsoft.com/office/drawing/2014/chart" uri="{C3380CC4-5D6E-409C-BE32-E72D297353CC}">
                  <c16:uniqueId val="{00000006-4679-4CA3-A5C3-B1D7C3C7A966}"/>
                </c:ext>
              </c:extLst>
            </c:dLbl>
            <c:dLbl>
              <c:idx val="7"/>
              <c:delete val="1"/>
              <c:extLst>
                <c:ext xmlns:c15="http://schemas.microsoft.com/office/drawing/2012/chart" uri="{CE6537A1-D6FC-4f65-9D91-7224C49458BB}"/>
                <c:ext xmlns:c16="http://schemas.microsoft.com/office/drawing/2014/chart" uri="{C3380CC4-5D6E-409C-BE32-E72D297353CC}">
                  <c16:uniqueId val="{00000007-4679-4CA3-A5C3-B1D7C3C7A966}"/>
                </c:ext>
              </c:extLst>
            </c:dLbl>
            <c:dLbl>
              <c:idx val="8"/>
              <c:delete val="1"/>
              <c:extLst>
                <c:ext xmlns:c15="http://schemas.microsoft.com/office/drawing/2012/chart" uri="{CE6537A1-D6FC-4f65-9D91-7224C49458BB}"/>
                <c:ext xmlns:c16="http://schemas.microsoft.com/office/drawing/2014/chart" uri="{C3380CC4-5D6E-409C-BE32-E72D297353CC}">
                  <c16:uniqueId val="{00000008-4679-4CA3-A5C3-B1D7C3C7A966}"/>
                </c:ext>
              </c:extLst>
            </c:dLbl>
            <c:dLbl>
              <c:idx val="9"/>
              <c:delete val="1"/>
              <c:extLst>
                <c:ext xmlns:c15="http://schemas.microsoft.com/office/drawing/2012/chart" uri="{CE6537A1-D6FC-4f65-9D91-7224C49458BB}"/>
                <c:ext xmlns:c16="http://schemas.microsoft.com/office/drawing/2014/chart" uri="{C3380CC4-5D6E-409C-BE32-E72D297353CC}">
                  <c16:uniqueId val="{00000009-4679-4CA3-A5C3-B1D7C3C7A966}"/>
                </c:ext>
              </c:extLst>
            </c:dLbl>
            <c:dLbl>
              <c:idx val="10"/>
              <c:layout>
                <c:manualLayout>
                  <c:x val="-6.2381802786749125E-17"/>
                  <c:y val="-2.06783630301429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679-4CA3-A5C3-B1D7C3C7A966}"/>
                </c:ext>
              </c:extLst>
            </c:dLbl>
            <c:dLbl>
              <c:idx val="11"/>
              <c:delete val="1"/>
              <c:extLst>
                <c:ext xmlns:c15="http://schemas.microsoft.com/office/drawing/2012/chart" uri="{CE6537A1-D6FC-4f65-9D91-7224C49458BB}"/>
                <c:ext xmlns:c16="http://schemas.microsoft.com/office/drawing/2014/chart" uri="{C3380CC4-5D6E-409C-BE32-E72D297353CC}">
                  <c16:uniqueId val="{0000000B-4679-4CA3-A5C3-B1D7C3C7A966}"/>
                </c:ext>
              </c:extLst>
            </c:dLbl>
            <c:dLbl>
              <c:idx val="12"/>
              <c:delete val="1"/>
              <c:extLst>
                <c:ext xmlns:c15="http://schemas.microsoft.com/office/drawing/2012/chart" uri="{CE6537A1-D6FC-4f65-9D91-7224C49458BB}"/>
                <c:ext xmlns:c16="http://schemas.microsoft.com/office/drawing/2014/chart" uri="{C3380CC4-5D6E-409C-BE32-E72D297353CC}">
                  <c16:uniqueId val="{0000000C-4679-4CA3-A5C3-B1D7C3C7A966}"/>
                </c:ext>
              </c:extLst>
            </c:dLbl>
            <c:dLbl>
              <c:idx val="13"/>
              <c:delete val="1"/>
              <c:extLst>
                <c:ext xmlns:c15="http://schemas.microsoft.com/office/drawing/2012/chart" uri="{CE6537A1-D6FC-4f65-9D91-7224C49458BB}"/>
                <c:ext xmlns:c16="http://schemas.microsoft.com/office/drawing/2014/chart" uri="{C3380CC4-5D6E-409C-BE32-E72D297353CC}">
                  <c16:uniqueId val="{0000000D-4679-4CA3-A5C3-B1D7C3C7A966}"/>
                </c:ext>
              </c:extLst>
            </c:dLbl>
            <c:dLbl>
              <c:idx val="14"/>
              <c:delete val="1"/>
              <c:extLst>
                <c:ext xmlns:c15="http://schemas.microsoft.com/office/drawing/2012/chart" uri="{CE6537A1-D6FC-4f65-9D91-7224C49458BB}"/>
                <c:ext xmlns:c16="http://schemas.microsoft.com/office/drawing/2014/chart" uri="{C3380CC4-5D6E-409C-BE32-E72D297353CC}">
                  <c16:uniqueId val="{0000000E-4679-4CA3-A5C3-B1D7C3C7A966}"/>
                </c:ext>
              </c:extLst>
            </c:dLbl>
            <c:dLbl>
              <c:idx val="15"/>
              <c:layout>
                <c:manualLayout>
                  <c:x val="0"/>
                  <c:y val="-2.22690063401539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679-4CA3-A5C3-B1D7C3C7A966}"/>
                </c:ext>
              </c:extLst>
            </c:dLbl>
            <c:dLbl>
              <c:idx val="16"/>
              <c:delete val="1"/>
              <c:extLst>
                <c:ext xmlns:c15="http://schemas.microsoft.com/office/drawing/2012/chart" uri="{CE6537A1-D6FC-4f65-9D91-7224C49458BB}"/>
                <c:ext xmlns:c16="http://schemas.microsoft.com/office/drawing/2014/chart" uri="{C3380CC4-5D6E-409C-BE32-E72D297353CC}">
                  <c16:uniqueId val="{00000010-4679-4CA3-A5C3-B1D7C3C7A966}"/>
                </c:ext>
              </c:extLst>
            </c:dLbl>
            <c:dLbl>
              <c:idx val="17"/>
              <c:delete val="1"/>
              <c:extLst>
                <c:ext xmlns:c15="http://schemas.microsoft.com/office/drawing/2012/chart" uri="{CE6537A1-D6FC-4f65-9D91-7224C49458BB}"/>
                <c:ext xmlns:c16="http://schemas.microsoft.com/office/drawing/2014/chart" uri="{C3380CC4-5D6E-409C-BE32-E72D297353CC}">
                  <c16:uniqueId val="{00000011-4679-4CA3-A5C3-B1D7C3C7A966}"/>
                </c:ext>
              </c:extLst>
            </c:dLbl>
            <c:dLbl>
              <c:idx val="18"/>
              <c:delete val="1"/>
              <c:extLst>
                <c:ext xmlns:c15="http://schemas.microsoft.com/office/drawing/2012/chart" uri="{CE6537A1-D6FC-4f65-9D91-7224C49458BB}"/>
                <c:ext xmlns:c16="http://schemas.microsoft.com/office/drawing/2014/chart" uri="{C3380CC4-5D6E-409C-BE32-E72D297353CC}">
                  <c16:uniqueId val="{00000012-4679-4CA3-A5C3-B1D7C3C7A966}"/>
                </c:ext>
              </c:extLst>
            </c:dLbl>
            <c:dLbl>
              <c:idx val="19"/>
              <c:delete val="1"/>
              <c:extLst>
                <c:ext xmlns:c15="http://schemas.microsoft.com/office/drawing/2012/chart" uri="{CE6537A1-D6FC-4f65-9D91-7224C49458BB}"/>
                <c:ext xmlns:c16="http://schemas.microsoft.com/office/drawing/2014/chart" uri="{C3380CC4-5D6E-409C-BE32-E72D297353CC}">
                  <c16:uniqueId val="{00000013-4679-4CA3-A5C3-B1D7C3C7A966}"/>
                </c:ext>
              </c:extLst>
            </c:dLbl>
            <c:dLbl>
              <c:idx val="20"/>
              <c:layout>
                <c:manualLayout>
                  <c:x val="-6.2381802786749125E-17"/>
                  <c:y val="-2.38596496501649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679-4CA3-A5C3-B1D7C3C7A966}"/>
                </c:ext>
              </c:extLst>
            </c:dLbl>
            <c:dLbl>
              <c:idx val="21"/>
              <c:delete val="1"/>
              <c:extLst>
                <c:ext xmlns:c15="http://schemas.microsoft.com/office/drawing/2012/chart" uri="{CE6537A1-D6FC-4f65-9D91-7224C49458BB}"/>
                <c:ext xmlns:c16="http://schemas.microsoft.com/office/drawing/2014/chart" uri="{C3380CC4-5D6E-409C-BE32-E72D297353CC}">
                  <c16:uniqueId val="{00000015-4679-4CA3-A5C3-B1D7C3C7A966}"/>
                </c:ext>
              </c:extLst>
            </c:dLbl>
            <c:dLbl>
              <c:idx val="22"/>
              <c:delete val="1"/>
              <c:extLst>
                <c:ext xmlns:c15="http://schemas.microsoft.com/office/drawing/2012/chart" uri="{CE6537A1-D6FC-4f65-9D91-7224C49458BB}"/>
                <c:ext xmlns:c16="http://schemas.microsoft.com/office/drawing/2014/chart" uri="{C3380CC4-5D6E-409C-BE32-E72D297353CC}">
                  <c16:uniqueId val="{00000016-4679-4CA3-A5C3-B1D7C3C7A966}"/>
                </c:ext>
              </c:extLst>
            </c:dLbl>
            <c:dLbl>
              <c:idx val="23"/>
              <c:delete val="1"/>
              <c:extLst>
                <c:ext xmlns:c15="http://schemas.microsoft.com/office/drawing/2012/chart" uri="{CE6537A1-D6FC-4f65-9D91-7224C49458BB}"/>
                <c:ext xmlns:c16="http://schemas.microsoft.com/office/drawing/2014/chart" uri="{C3380CC4-5D6E-409C-BE32-E72D297353CC}">
                  <c16:uniqueId val="{00000017-4679-4CA3-A5C3-B1D7C3C7A966}"/>
                </c:ext>
              </c:extLst>
            </c:dLbl>
            <c:dLbl>
              <c:idx val="24"/>
              <c:delete val="1"/>
              <c:extLst>
                <c:ext xmlns:c15="http://schemas.microsoft.com/office/drawing/2012/chart" uri="{CE6537A1-D6FC-4f65-9D91-7224C49458BB}"/>
                <c:ext xmlns:c16="http://schemas.microsoft.com/office/drawing/2014/chart" uri="{C3380CC4-5D6E-409C-BE32-E72D297353CC}">
                  <c16:uniqueId val="{00000018-4679-4CA3-A5C3-B1D7C3C7A966}"/>
                </c:ext>
              </c:extLst>
            </c:dLbl>
            <c:dLbl>
              <c:idx val="25"/>
              <c:layout>
                <c:manualLayout>
                  <c:x val="-8.5067077399988414E-4"/>
                  <c:y val="-3.18128662002199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679-4CA3-A5C3-B1D7C3C7A966}"/>
                </c:ext>
              </c:extLst>
            </c:dLbl>
            <c:dLbl>
              <c:idx val="26"/>
              <c:delete val="1"/>
              <c:extLst>
                <c:ext xmlns:c15="http://schemas.microsoft.com/office/drawing/2012/chart" uri="{CE6537A1-D6FC-4f65-9D91-7224C49458BB}"/>
                <c:ext xmlns:c16="http://schemas.microsoft.com/office/drawing/2014/chart" uri="{C3380CC4-5D6E-409C-BE32-E72D297353CC}">
                  <c16:uniqueId val="{0000001A-4679-4CA3-A5C3-B1D7C3C7A966}"/>
                </c:ext>
              </c:extLst>
            </c:dLbl>
            <c:dLbl>
              <c:idx val="27"/>
              <c:delete val="1"/>
              <c:extLst>
                <c:ext xmlns:c15="http://schemas.microsoft.com/office/drawing/2012/chart" uri="{CE6537A1-D6FC-4f65-9D91-7224C49458BB}"/>
                <c:ext xmlns:c16="http://schemas.microsoft.com/office/drawing/2014/chart" uri="{C3380CC4-5D6E-409C-BE32-E72D297353CC}">
                  <c16:uniqueId val="{0000001B-4679-4CA3-A5C3-B1D7C3C7A966}"/>
                </c:ext>
              </c:extLst>
            </c:dLbl>
            <c:dLbl>
              <c:idx val="28"/>
              <c:delete val="1"/>
              <c:extLst>
                <c:ext xmlns:c15="http://schemas.microsoft.com/office/drawing/2012/chart" uri="{CE6537A1-D6FC-4f65-9D91-7224C49458BB}"/>
                <c:ext xmlns:c16="http://schemas.microsoft.com/office/drawing/2014/chart" uri="{C3380CC4-5D6E-409C-BE32-E72D297353CC}">
                  <c16:uniqueId val="{0000001C-4679-4CA3-A5C3-B1D7C3C7A966}"/>
                </c:ext>
              </c:extLst>
            </c:dLbl>
            <c:dLbl>
              <c:idx val="29"/>
              <c:delete val="1"/>
              <c:extLst>
                <c:ext xmlns:c15="http://schemas.microsoft.com/office/drawing/2012/chart" uri="{CE6537A1-D6FC-4f65-9D91-7224C49458BB}"/>
                <c:ext xmlns:c16="http://schemas.microsoft.com/office/drawing/2014/chart" uri="{C3380CC4-5D6E-409C-BE32-E72D297353CC}">
                  <c16:uniqueId val="{0000001D-4679-4CA3-A5C3-B1D7C3C7A966}"/>
                </c:ext>
              </c:extLst>
            </c:dLbl>
            <c:dLbl>
              <c:idx val="30"/>
              <c:layout>
                <c:manualLayout>
                  <c:x val="0"/>
                  <c:y val="-3.1812866200219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679-4CA3-A5C3-B1D7C3C7A966}"/>
                </c:ext>
              </c:extLst>
            </c:dLbl>
            <c:dLbl>
              <c:idx val="31"/>
              <c:delete val="1"/>
              <c:extLst>
                <c:ext xmlns:c15="http://schemas.microsoft.com/office/drawing/2012/chart" uri="{CE6537A1-D6FC-4f65-9D91-7224C49458BB}"/>
                <c:ext xmlns:c16="http://schemas.microsoft.com/office/drawing/2014/chart" uri="{C3380CC4-5D6E-409C-BE32-E72D297353CC}">
                  <c16:uniqueId val="{0000001F-4679-4CA3-A5C3-B1D7C3C7A966}"/>
                </c:ext>
              </c:extLst>
            </c:dLbl>
            <c:dLbl>
              <c:idx val="32"/>
              <c:delete val="1"/>
              <c:extLst>
                <c:ext xmlns:c15="http://schemas.microsoft.com/office/drawing/2012/chart" uri="{CE6537A1-D6FC-4f65-9D91-7224C49458BB}"/>
                <c:ext xmlns:c16="http://schemas.microsoft.com/office/drawing/2014/chart" uri="{C3380CC4-5D6E-409C-BE32-E72D297353CC}">
                  <c16:uniqueId val="{00000020-4679-4CA3-A5C3-B1D7C3C7A966}"/>
                </c:ext>
              </c:extLst>
            </c:dLbl>
            <c:dLbl>
              <c:idx val="33"/>
              <c:delete val="1"/>
              <c:extLst>
                <c:ext xmlns:c15="http://schemas.microsoft.com/office/drawing/2012/chart" uri="{CE6537A1-D6FC-4f65-9D91-7224C49458BB}"/>
                <c:ext xmlns:c16="http://schemas.microsoft.com/office/drawing/2014/chart" uri="{C3380CC4-5D6E-409C-BE32-E72D297353CC}">
                  <c16:uniqueId val="{00000021-4679-4CA3-A5C3-B1D7C3C7A966}"/>
                </c:ext>
              </c:extLst>
            </c:dLbl>
            <c:dLbl>
              <c:idx val="34"/>
              <c:delete val="1"/>
              <c:extLst>
                <c:ext xmlns:c15="http://schemas.microsoft.com/office/drawing/2012/chart" uri="{CE6537A1-D6FC-4f65-9D91-7224C49458BB}"/>
                <c:ext xmlns:c16="http://schemas.microsoft.com/office/drawing/2014/chart" uri="{C3380CC4-5D6E-409C-BE32-E72D297353CC}">
                  <c16:uniqueId val="{00000022-4679-4CA3-A5C3-B1D7C3C7A966}"/>
                </c:ext>
              </c:extLst>
            </c:dLbl>
            <c:dLbl>
              <c:idx val="35"/>
              <c:layout>
                <c:manualLayout>
                  <c:x val="0"/>
                  <c:y val="-1.11345031700769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CB-4993-AEDA-36D10A95F4D2}"/>
                </c:ext>
              </c:extLst>
            </c:dLbl>
            <c:spPr>
              <a:solidFill>
                <a:schemeClr val="bg1">
                  <a:lumMod val="95000"/>
                </a:schemeClr>
              </a:solidFill>
              <a:ln>
                <a:solidFill>
                  <a:srgbClr val="172C51"/>
                </a:solidFill>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rgbClr val="172C51"/>
                    </a:solidFill>
                    <a:latin typeface="Garamond" panose="02020404030301010803" pitchFamily="18"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numRef>
              <c:f>Data!$B$10:$B$45</c:f>
              <c:numCache>
                <c:formatCode>General</c:formatCode>
                <c:ptCount val="3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cat>
          <c:val>
            <c:numRef>
              <c:f>Data!$AB$10:$AB$45</c:f>
              <c:numCache>
                <c:formatCode>_("$"* #,##0_);_("$"* \(#,##0\);_("$"* "-"??_);_(@_)</c:formatCode>
                <c:ptCount val="36"/>
                <c:pt idx="0">
                  <c:v>23750</c:v>
                </c:pt>
                <c:pt idx="1">
                  <c:v>49492.453537762223</c:v>
                </c:pt>
                <c:pt idx="2">
                  <c:v>76524.158956781845</c:v>
                </c:pt>
                <c:pt idx="3">
                  <c:v>104912.94024569308</c:v>
                </c:pt>
                <c:pt idx="4">
                  <c:v>134730.40863766242</c:v>
                </c:pt>
                <c:pt idx="5">
                  <c:v>166052.18814311281</c:v>
                </c:pt>
                <c:pt idx="6">
                  <c:v>198958.15536212607</c:v>
                </c:pt>
                <c:pt idx="7">
                  <c:v>233532.69452873967</c:v>
                </c:pt>
                <c:pt idx="8">
                  <c:v>269864.96880541462</c:v>
                </c:pt>
                <c:pt idx="9">
                  <c:v>308049.20891671919</c:v>
                </c:pt>
                <c:pt idx="10">
                  <c:v>348185.02028710267</c:v>
                </c:pt>
                <c:pt idx="11">
                  <c:v>390377.70992888254</c:v>
                </c:pt>
                <c:pt idx="12">
                  <c:v>434738.63441363082</c:v>
                </c:pt>
                <c:pt idx="13">
                  <c:v>481385.57035345666</c:v>
                </c:pt>
                <c:pt idx="14">
                  <c:v>530443.10891868325</c:v>
                </c:pt>
                <c:pt idx="15">
                  <c:v>582043.07602560439</c:v>
                </c:pt>
                <c:pt idx="16">
                  <c:v>636324.97994290316</c:v>
                </c:pt>
                <c:pt idx="17">
                  <c:v>693436.48818848422</c:v>
                </c:pt>
                <c:pt idx="18">
                  <c:v>753533.93572051509</c:v>
                </c:pt>
                <c:pt idx="19">
                  <c:v>816782.86656804534</c:v>
                </c:pt>
                <c:pt idx="20">
                  <c:v>883358.6111983672</c:v>
                </c:pt>
                <c:pt idx="21">
                  <c:v>953446.90208105033</c:v>
                </c:pt>
                <c:pt idx="22">
                  <c:v>1027244.5300831242</c:v>
                </c:pt>
                <c:pt idx="23">
                  <c:v>1104960.0445170745</c:v>
                </c:pt>
                <c:pt idx="24">
                  <c:v>1186814.4998640651</c:v>
                </c:pt>
                <c:pt idx="25">
                  <c:v>1273042.2524101178</c:v>
                </c:pt>
                <c:pt idx="26">
                  <c:v>1363891.8102639373</c:v>
                </c:pt>
                <c:pt idx="27">
                  <c:v>1459626.7404727973</c:v>
                </c:pt>
                <c:pt idx="28">
                  <c:v>1560526.6372186579</c:v>
                </c:pt>
                <c:pt idx="29">
                  <c:v>1666888.155361787</c:v>
                </c:pt>
                <c:pt idx="30">
                  <c:v>1779026.1139050077</c:v>
                </c:pt>
                <c:pt idx="31">
                  <c:v>1859082.2890307342</c:v>
                </c:pt>
                <c:pt idx="32">
                  <c:v>1942740.992037117</c:v>
                </c:pt>
                <c:pt idx="33">
                  <c:v>2030164.3366787871</c:v>
                </c:pt>
                <c:pt idx="34">
                  <c:v>2121521.7318293322</c:v>
                </c:pt>
                <c:pt idx="35">
                  <c:v>2216990.2097616522</c:v>
                </c:pt>
              </c:numCache>
            </c:numRef>
          </c:val>
          <c:extLst>
            <c:ext xmlns:c16="http://schemas.microsoft.com/office/drawing/2014/chart" uri="{C3380CC4-5D6E-409C-BE32-E72D297353CC}">
              <c16:uniqueId val="{00000023-4679-4CA3-A5C3-B1D7C3C7A966}"/>
            </c:ext>
          </c:extLst>
        </c:ser>
        <c:dLbls>
          <c:dLblPos val="outEnd"/>
          <c:showLegendKey val="0"/>
          <c:showVal val="1"/>
          <c:showCatName val="0"/>
          <c:showSerName val="0"/>
          <c:showPercent val="0"/>
          <c:showBubbleSize val="0"/>
        </c:dLbls>
        <c:gapWidth val="219"/>
        <c:axId val="1404453696"/>
        <c:axId val="1447984544"/>
      </c:barChart>
      <c:catAx>
        <c:axId val="1404453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Garamond" panose="02020404030301010803" pitchFamily="18" charset="0"/>
                <a:ea typeface="+mn-ea"/>
                <a:cs typeface="+mn-cs"/>
              </a:defRPr>
            </a:pPr>
            <a:endParaRPr lang="en-US"/>
          </a:p>
        </c:txPr>
        <c:crossAx val="1447984544"/>
        <c:crosses val="autoZero"/>
        <c:auto val="1"/>
        <c:lblAlgn val="ctr"/>
        <c:lblOffset val="100"/>
        <c:noMultiLvlLbl val="0"/>
      </c:catAx>
      <c:valAx>
        <c:axId val="144798454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Garamond" panose="02020404030301010803" pitchFamily="18" charset="0"/>
                <a:ea typeface="+mn-ea"/>
                <a:cs typeface="+mn-cs"/>
              </a:defRPr>
            </a:pPr>
            <a:endParaRPr lang="en-US"/>
          </a:p>
        </c:txPr>
        <c:crossAx val="1404453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gradFill>
    <a:ln w="9525" cap="flat" cmpd="sng" algn="ctr">
      <a:solidFill>
        <a:schemeClr val="tx1">
          <a:lumMod val="50000"/>
          <a:lumOff val="50000"/>
        </a:schemeClr>
      </a:solidFill>
      <a:round/>
    </a:ln>
    <a:effectLst>
      <a:outerShdw blurRad="50800" dist="38100" dir="2700000" algn="tl" rotWithShape="0">
        <a:prstClr val="black">
          <a:alpha val="40000"/>
        </a:prstClr>
      </a:outerShdw>
    </a:effectLst>
  </c:spPr>
  <c:txPr>
    <a:bodyPr/>
    <a:lstStyle/>
    <a:p>
      <a:pPr>
        <a:defRPr sz="1100">
          <a:latin typeface="Garamond" panose="02020404030301010803" pitchFamily="18" charset="0"/>
        </a:defRPr>
      </a:pPr>
      <a:endParaRPr lang="en-US"/>
    </a:p>
  </c:txPr>
  <c:printSettings>
    <c:headerFooter/>
    <c:pageMargins b="0.75" l="0.25" r="0.25"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b="1">
                <a:latin typeface="Garamond" panose="02020404030301010803" pitchFamily="18" charset="0"/>
              </a:rPr>
              <a:t>Rent vs. Own (Cash</a:t>
            </a:r>
            <a:r>
              <a:rPr lang="en-US" sz="2000" b="1" baseline="0">
                <a:latin typeface="Garamond" panose="02020404030301010803" pitchFamily="18" charset="0"/>
              </a:rPr>
              <a:t> Flow Comparison)</a:t>
            </a:r>
            <a:endParaRPr lang="en-US" sz="2000" b="1">
              <a:latin typeface="Garamond" panose="02020404030301010803" pitchFamily="18" charset="0"/>
            </a:endParaRPr>
          </a:p>
        </c:rich>
      </c:tx>
      <c:layout>
        <c:manualLayout>
          <c:xMode val="edge"/>
          <c:yMode val="edge"/>
          <c:x val="0.26538957493639198"/>
          <c:y val="3.2476021969243776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Cost</c:v>
          </c:tx>
          <c:spPr>
            <a:ln w="38100" cap="rnd">
              <a:solidFill>
                <a:srgbClr val="970A1A"/>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1-13EE-4A44-A18C-D994242FB354}"/>
                </c:ext>
              </c:extLst>
            </c:dLbl>
            <c:dLbl>
              <c:idx val="2"/>
              <c:delete val="1"/>
              <c:extLst>
                <c:ext xmlns:c15="http://schemas.microsoft.com/office/drawing/2012/chart" uri="{CE6537A1-D6FC-4f65-9D91-7224C49458BB}"/>
                <c:ext xmlns:c16="http://schemas.microsoft.com/office/drawing/2014/chart" uri="{C3380CC4-5D6E-409C-BE32-E72D297353CC}">
                  <c16:uniqueId val="{00000002-13EE-4A44-A18C-D994242FB354}"/>
                </c:ext>
              </c:extLst>
            </c:dLbl>
            <c:dLbl>
              <c:idx val="3"/>
              <c:delete val="1"/>
              <c:extLst>
                <c:ext xmlns:c15="http://schemas.microsoft.com/office/drawing/2012/chart" uri="{CE6537A1-D6FC-4f65-9D91-7224C49458BB}"/>
                <c:ext xmlns:c16="http://schemas.microsoft.com/office/drawing/2014/chart" uri="{C3380CC4-5D6E-409C-BE32-E72D297353CC}">
                  <c16:uniqueId val="{00000003-13EE-4A44-A18C-D994242FB354}"/>
                </c:ext>
              </c:extLst>
            </c:dLbl>
            <c:dLbl>
              <c:idx val="5"/>
              <c:delete val="1"/>
              <c:extLst>
                <c:ext xmlns:c15="http://schemas.microsoft.com/office/drawing/2012/chart" uri="{CE6537A1-D6FC-4f65-9D91-7224C49458BB}"/>
                <c:ext xmlns:c16="http://schemas.microsoft.com/office/drawing/2014/chart" uri="{C3380CC4-5D6E-409C-BE32-E72D297353CC}">
                  <c16:uniqueId val="{00000004-13EE-4A44-A18C-D994242FB354}"/>
                </c:ext>
              </c:extLst>
            </c:dLbl>
            <c:dLbl>
              <c:idx val="6"/>
              <c:delete val="1"/>
              <c:extLst>
                <c:ext xmlns:c15="http://schemas.microsoft.com/office/drawing/2012/chart" uri="{CE6537A1-D6FC-4f65-9D91-7224C49458BB}"/>
                <c:ext xmlns:c16="http://schemas.microsoft.com/office/drawing/2014/chart" uri="{C3380CC4-5D6E-409C-BE32-E72D297353CC}">
                  <c16:uniqueId val="{00000005-13EE-4A44-A18C-D994242FB354}"/>
                </c:ext>
              </c:extLst>
            </c:dLbl>
            <c:dLbl>
              <c:idx val="7"/>
              <c:delete val="1"/>
              <c:extLst>
                <c:ext xmlns:c15="http://schemas.microsoft.com/office/drawing/2012/chart" uri="{CE6537A1-D6FC-4f65-9D91-7224C49458BB}"/>
                <c:ext xmlns:c16="http://schemas.microsoft.com/office/drawing/2014/chart" uri="{C3380CC4-5D6E-409C-BE32-E72D297353CC}">
                  <c16:uniqueId val="{00000006-13EE-4A44-A18C-D994242FB354}"/>
                </c:ext>
              </c:extLst>
            </c:dLbl>
            <c:dLbl>
              <c:idx val="8"/>
              <c:delete val="1"/>
              <c:extLst>
                <c:ext xmlns:c15="http://schemas.microsoft.com/office/drawing/2012/chart" uri="{CE6537A1-D6FC-4f65-9D91-7224C49458BB}"/>
                <c:ext xmlns:c16="http://schemas.microsoft.com/office/drawing/2014/chart" uri="{C3380CC4-5D6E-409C-BE32-E72D297353CC}">
                  <c16:uniqueId val="{00000007-13EE-4A44-A18C-D994242FB354}"/>
                </c:ext>
              </c:extLst>
            </c:dLbl>
            <c:dLbl>
              <c:idx val="10"/>
              <c:delete val="1"/>
              <c:extLst>
                <c:ext xmlns:c15="http://schemas.microsoft.com/office/drawing/2012/chart" uri="{CE6537A1-D6FC-4f65-9D91-7224C49458BB}"/>
                <c:ext xmlns:c16="http://schemas.microsoft.com/office/drawing/2014/chart" uri="{C3380CC4-5D6E-409C-BE32-E72D297353CC}">
                  <c16:uniqueId val="{00000008-13EE-4A44-A18C-D994242FB354}"/>
                </c:ext>
              </c:extLst>
            </c:dLbl>
            <c:dLbl>
              <c:idx val="11"/>
              <c:delete val="1"/>
              <c:extLst>
                <c:ext xmlns:c15="http://schemas.microsoft.com/office/drawing/2012/chart" uri="{CE6537A1-D6FC-4f65-9D91-7224C49458BB}"/>
                <c:ext xmlns:c16="http://schemas.microsoft.com/office/drawing/2014/chart" uri="{C3380CC4-5D6E-409C-BE32-E72D297353CC}">
                  <c16:uniqueId val="{00000009-13EE-4A44-A18C-D994242FB354}"/>
                </c:ext>
              </c:extLst>
            </c:dLbl>
            <c:dLbl>
              <c:idx val="12"/>
              <c:delete val="1"/>
              <c:extLst>
                <c:ext xmlns:c15="http://schemas.microsoft.com/office/drawing/2012/chart" uri="{CE6537A1-D6FC-4f65-9D91-7224C49458BB}"/>
                <c:ext xmlns:c16="http://schemas.microsoft.com/office/drawing/2014/chart" uri="{C3380CC4-5D6E-409C-BE32-E72D297353CC}">
                  <c16:uniqueId val="{0000000A-13EE-4A44-A18C-D994242FB354}"/>
                </c:ext>
              </c:extLst>
            </c:dLbl>
            <c:dLbl>
              <c:idx val="13"/>
              <c:delete val="1"/>
              <c:extLst>
                <c:ext xmlns:c15="http://schemas.microsoft.com/office/drawing/2012/chart" uri="{CE6537A1-D6FC-4f65-9D91-7224C49458BB}"/>
                <c:ext xmlns:c16="http://schemas.microsoft.com/office/drawing/2014/chart" uri="{C3380CC4-5D6E-409C-BE32-E72D297353CC}">
                  <c16:uniqueId val="{0000000B-13EE-4A44-A18C-D994242FB354}"/>
                </c:ext>
              </c:extLst>
            </c:dLbl>
            <c:dLbl>
              <c:idx val="15"/>
              <c:delete val="1"/>
              <c:extLst>
                <c:ext xmlns:c15="http://schemas.microsoft.com/office/drawing/2012/chart" uri="{CE6537A1-D6FC-4f65-9D91-7224C49458BB}"/>
                <c:ext xmlns:c16="http://schemas.microsoft.com/office/drawing/2014/chart" uri="{C3380CC4-5D6E-409C-BE32-E72D297353CC}">
                  <c16:uniqueId val="{0000000C-13EE-4A44-A18C-D994242FB354}"/>
                </c:ext>
              </c:extLst>
            </c:dLbl>
            <c:dLbl>
              <c:idx val="16"/>
              <c:delete val="1"/>
              <c:extLst>
                <c:ext xmlns:c15="http://schemas.microsoft.com/office/drawing/2012/chart" uri="{CE6537A1-D6FC-4f65-9D91-7224C49458BB}"/>
                <c:ext xmlns:c16="http://schemas.microsoft.com/office/drawing/2014/chart" uri="{C3380CC4-5D6E-409C-BE32-E72D297353CC}">
                  <c16:uniqueId val="{0000000D-13EE-4A44-A18C-D994242FB354}"/>
                </c:ext>
              </c:extLst>
            </c:dLbl>
            <c:dLbl>
              <c:idx val="17"/>
              <c:delete val="1"/>
              <c:extLst>
                <c:ext xmlns:c15="http://schemas.microsoft.com/office/drawing/2012/chart" uri="{CE6537A1-D6FC-4f65-9D91-7224C49458BB}"/>
                <c:ext xmlns:c16="http://schemas.microsoft.com/office/drawing/2014/chart" uri="{C3380CC4-5D6E-409C-BE32-E72D297353CC}">
                  <c16:uniqueId val="{0000000E-13EE-4A44-A18C-D994242FB354}"/>
                </c:ext>
              </c:extLst>
            </c:dLbl>
            <c:dLbl>
              <c:idx val="18"/>
              <c:delete val="1"/>
              <c:extLst>
                <c:ext xmlns:c15="http://schemas.microsoft.com/office/drawing/2012/chart" uri="{CE6537A1-D6FC-4f65-9D91-7224C49458BB}"/>
                <c:ext xmlns:c16="http://schemas.microsoft.com/office/drawing/2014/chart" uri="{C3380CC4-5D6E-409C-BE32-E72D297353CC}">
                  <c16:uniqueId val="{0000000F-13EE-4A44-A18C-D994242FB354}"/>
                </c:ext>
              </c:extLst>
            </c:dLbl>
            <c:dLbl>
              <c:idx val="20"/>
              <c:delete val="1"/>
              <c:extLst>
                <c:ext xmlns:c15="http://schemas.microsoft.com/office/drawing/2012/chart" uri="{CE6537A1-D6FC-4f65-9D91-7224C49458BB}"/>
                <c:ext xmlns:c16="http://schemas.microsoft.com/office/drawing/2014/chart" uri="{C3380CC4-5D6E-409C-BE32-E72D297353CC}">
                  <c16:uniqueId val="{00000010-13EE-4A44-A18C-D994242FB354}"/>
                </c:ext>
              </c:extLst>
            </c:dLbl>
            <c:dLbl>
              <c:idx val="21"/>
              <c:delete val="1"/>
              <c:extLst>
                <c:ext xmlns:c15="http://schemas.microsoft.com/office/drawing/2012/chart" uri="{CE6537A1-D6FC-4f65-9D91-7224C49458BB}"/>
                <c:ext xmlns:c16="http://schemas.microsoft.com/office/drawing/2014/chart" uri="{C3380CC4-5D6E-409C-BE32-E72D297353CC}">
                  <c16:uniqueId val="{00000011-13EE-4A44-A18C-D994242FB354}"/>
                </c:ext>
              </c:extLst>
            </c:dLbl>
            <c:dLbl>
              <c:idx val="22"/>
              <c:delete val="1"/>
              <c:extLst>
                <c:ext xmlns:c15="http://schemas.microsoft.com/office/drawing/2012/chart" uri="{CE6537A1-D6FC-4f65-9D91-7224C49458BB}"/>
                <c:ext xmlns:c16="http://schemas.microsoft.com/office/drawing/2014/chart" uri="{C3380CC4-5D6E-409C-BE32-E72D297353CC}">
                  <c16:uniqueId val="{00000012-13EE-4A44-A18C-D994242FB354}"/>
                </c:ext>
              </c:extLst>
            </c:dLbl>
            <c:dLbl>
              <c:idx val="23"/>
              <c:delete val="1"/>
              <c:extLst>
                <c:ext xmlns:c15="http://schemas.microsoft.com/office/drawing/2012/chart" uri="{CE6537A1-D6FC-4f65-9D91-7224C49458BB}"/>
                <c:ext xmlns:c16="http://schemas.microsoft.com/office/drawing/2014/chart" uri="{C3380CC4-5D6E-409C-BE32-E72D297353CC}">
                  <c16:uniqueId val="{00000013-13EE-4A44-A18C-D994242FB354}"/>
                </c:ext>
              </c:extLst>
            </c:dLbl>
            <c:dLbl>
              <c:idx val="25"/>
              <c:delete val="1"/>
              <c:extLst>
                <c:ext xmlns:c15="http://schemas.microsoft.com/office/drawing/2012/chart" uri="{CE6537A1-D6FC-4f65-9D91-7224C49458BB}"/>
                <c:ext xmlns:c16="http://schemas.microsoft.com/office/drawing/2014/chart" uri="{C3380CC4-5D6E-409C-BE32-E72D297353CC}">
                  <c16:uniqueId val="{00000014-13EE-4A44-A18C-D994242FB354}"/>
                </c:ext>
              </c:extLst>
            </c:dLbl>
            <c:dLbl>
              <c:idx val="26"/>
              <c:delete val="1"/>
              <c:extLst>
                <c:ext xmlns:c15="http://schemas.microsoft.com/office/drawing/2012/chart" uri="{CE6537A1-D6FC-4f65-9D91-7224C49458BB}"/>
                <c:ext xmlns:c16="http://schemas.microsoft.com/office/drawing/2014/chart" uri="{C3380CC4-5D6E-409C-BE32-E72D297353CC}">
                  <c16:uniqueId val="{00000015-13EE-4A44-A18C-D994242FB354}"/>
                </c:ext>
              </c:extLst>
            </c:dLbl>
            <c:dLbl>
              <c:idx val="27"/>
              <c:delete val="1"/>
              <c:extLst>
                <c:ext xmlns:c15="http://schemas.microsoft.com/office/drawing/2012/chart" uri="{CE6537A1-D6FC-4f65-9D91-7224C49458BB}"/>
                <c:ext xmlns:c16="http://schemas.microsoft.com/office/drawing/2014/chart" uri="{C3380CC4-5D6E-409C-BE32-E72D297353CC}">
                  <c16:uniqueId val="{00000016-13EE-4A44-A18C-D994242FB354}"/>
                </c:ext>
              </c:extLst>
            </c:dLbl>
            <c:dLbl>
              <c:idx val="28"/>
              <c:delete val="1"/>
              <c:extLst>
                <c:ext xmlns:c15="http://schemas.microsoft.com/office/drawing/2012/chart" uri="{CE6537A1-D6FC-4f65-9D91-7224C49458BB}"/>
                <c:ext xmlns:c16="http://schemas.microsoft.com/office/drawing/2014/chart" uri="{C3380CC4-5D6E-409C-BE32-E72D297353CC}">
                  <c16:uniqueId val="{00000017-13EE-4A44-A18C-D994242FB354}"/>
                </c:ext>
              </c:extLst>
            </c:dLbl>
            <c:dLbl>
              <c:idx val="30"/>
              <c:delete val="1"/>
              <c:extLst>
                <c:ext xmlns:c15="http://schemas.microsoft.com/office/drawing/2012/chart" uri="{CE6537A1-D6FC-4f65-9D91-7224C49458BB}"/>
                <c:ext xmlns:c16="http://schemas.microsoft.com/office/drawing/2014/chart" uri="{C3380CC4-5D6E-409C-BE32-E72D297353CC}">
                  <c16:uniqueId val="{00000018-13EE-4A44-A18C-D994242FB354}"/>
                </c:ext>
              </c:extLst>
            </c:dLbl>
            <c:dLbl>
              <c:idx val="31"/>
              <c:delete val="1"/>
              <c:extLst>
                <c:ext xmlns:c15="http://schemas.microsoft.com/office/drawing/2012/chart" uri="{CE6537A1-D6FC-4f65-9D91-7224C49458BB}"/>
                <c:ext xmlns:c16="http://schemas.microsoft.com/office/drawing/2014/chart" uri="{C3380CC4-5D6E-409C-BE32-E72D297353CC}">
                  <c16:uniqueId val="{00000019-13EE-4A44-A18C-D994242FB354}"/>
                </c:ext>
              </c:extLst>
            </c:dLbl>
            <c:dLbl>
              <c:idx val="32"/>
              <c:delete val="1"/>
              <c:extLst>
                <c:ext xmlns:c15="http://schemas.microsoft.com/office/drawing/2012/chart" uri="{CE6537A1-D6FC-4f65-9D91-7224C49458BB}"/>
                <c:ext xmlns:c16="http://schemas.microsoft.com/office/drawing/2014/chart" uri="{C3380CC4-5D6E-409C-BE32-E72D297353CC}">
                  <c16:uniqueId val="{0000001A-13EE-4A44-A18C-D994242FB354}"/>
                </c:ext>
              </c:extLst>
            </c:dLbl>
            <c:dLbl>
              <c:idx val="33"/>
              <c:delete val="1"/>
              <c:extLst>
                <c:ext xmlns:c15="http://schemas.microsoft.com/office/drawing/2012/chart" uri="{CE6537A1-D6FC-4f65-9D91-7224C49458BB}"/>
                <c:ext xmlns:c16="http://schemas.microsoft.com/office/drawing/2014/chart" uri="{C3380CC4-5D6E-409C-BE32-E72D297353CC}">
                  <c16:uniqueId val="{0000001B-13EE-4A44-A18C-D994242FB354}"/>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Garamond" panose="02020404030301010803" pitchFamily="18"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Data!$K$11:$K$45</c:f>
              <c:numCache>
                <c:formatCode>_("$"* #,##0_);_("$"* \(#,##0\);_("$"* "-"??_);_(@_)</c:formatCode>
                <c:ptCount val="35"/>
                <c:pt idx="0">
                  <c:v>3014.9549999999999</c:v>
                </c:pt>
                <c:pt idx="1">
                  <c:v>3120.4784249999998</c:v>
                </c:pt>
                <c:pt idx="2">
                  <c:v>3229.6951698749999</c:v>
                </c:pt>
                <c:pt idx="3">
                  <c:v>3342.7345008206248</c:v>
                </c:pt>
                <c:pt idx="4">
                  <c:v>3459.7302083493464</c:v>
                </c:pt>
                <c:pt idx="5">
                  <c:v>3580.820765641573</c:v>
                </c:pt>
                <c:pt idx="6">
                  <c:v>3706.1494924390281</c:v>
                </c:pt>
                <c:pt idx="7">
                  <c:v>3835.8647246743935</c:v>
                </c:pt>
                <c:pt idx="8">
                  <c:v>3970.1199900379966</c:v>
                </c:pt>
                <c:pt idx="9">
                  <c:v>4109.074189689326</c:v>
                </c:pt>
                <c:pt idx="10">
                  <c:v>4252.8917863284523</c:v>
                </c:pt>
                <c:pt idx="11">
                  <c:v>4401.742998849948</c:v>
                </c:pt>
                <c:pt idx="12">
                  <c:v>4555.804003809696</c:v>
                </c:pt>
                <c:pt idx="13">
                  <c:v>4715.2571439430349</c:v>
                </c:pt>
                <c:pt idx="14">
                  <c:v>4880.2911439810405</c:v>
                </c:pt>
                <c:pt idx="15">
                  <c:v>5051.1013340203763</c:v>
                </c:pt>
                <c:pt idx="16">
                  <c:v>5227.88988071109</c:v>
                </c:pt>
                <c:pt idx="17">
                  <c:v>5410.8660265359777</c:v>
                </c:pt>
                <c:pt idx="18">
                  <c:v>5600.2463374647368</c:v>
                </c:pt>
                <c:pt idx="19">
                  <c:v>5796.2549592760015</c:v>
                </c:pt>
                <c:pt idx="20">
                  <c:v>5999.1238828506612</c:v>
                </c:pt>
                <c:pt idx="21">
                  <c:v>6209.0932187504341</c:v>
                </c:pt>
                <c:pt idx="22">
                  <c:v>6426.4114814066997</c:v>
                </c:pt>
                <c:pt idx="23">
                  <c:v>6651.3358832559343</c:v>
                </c:pt>
                <c:pt idx="24">
                  <c:v>6884.1326391698904</c:v>
                </c:pt>
                <c:pt idx="25">
                  <c:v>7125.0772815408354</c:v>
                </c:pt>
                <c:pt idx="26">
                  <c:v>7374.454986394765</c:v>
                </c:pt>
                <c:pt idx="27">
                  <c:v>7632.5609109185816</c:v>
                </c:pt>
                <c:pt idx="28">
                  <c:v>7899.7005428007315</c:v>
                </c:pt>
                <c:pt idx="29">
                  <c:v>8176.1900617987558</c:v>
                </c:pt>
                <c:pt idx="30">
                  <c:v>8462.3567139617116</c:v>
                </c:pt>
                <c:pt idx="31">
                  <c:v>8758.5391989503714</c:v>
                </c:pt>
                <c:pt idx="32">
                  <c:v>9065.0880709136345</c:v>
                </c:pt>
                <c:pt idx="33">
                  <c:v>9382.366153395611</c:v>
                </c:pt>
                <c:pt idx="34">
                  <c:v>9710.7489687644556</c:v>
                </c:pt>
              </c:numCache>
            </c:numRef>
          </c:val>
          <c:smooth val="0"/>
          <c:extLst>
            <c:ext xmlns:c16="http://schemas.microsoft.com/office/drawing/2014/chart" uri="{C3380CC4-5D6E-409C-BE32-E72D297353CC}">
              <c16:uniqueId val="{0000001C-13EE-4A44-A18C-D994242FB354}"/>
            </c:ext>
          </c:extLst>
        </c:ser>
        <c:dLbls>
          <c:dLblPos val="t"/>
          <c:showLegendKey val="0"/>
          <c:showVal val="1"/>
          <c:showCatName val="0"/>
          <c:showSerName val="0"/>
          <c:showPercent val="0"/>
          <c:showBubbleSize val="0"/>
        </c:dLbls>
        <c:smooth val="0"/>
        <c:axId val="2104521744"/>
        <c:axId val="2104523408"/>
      </c:lineChart>
      <c:catAx>
        <c:axId val="2104521744"/>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2104523408"/>
        <c:crosses val="autoZero"/>
        <c:auto val="1"/>
        <c:lblAlgn val="ctr"/>
        <c:lblOffset val="100"/>
        <c:noMultiLvlLbl val="0"/>
      </c:catAx>
      <c:valAx>
        <c:axId val="210452340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2104521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gradFill>
    <a:ln w="9525" cap="flat" cmpd="sng" algn="ctr">
      <a:solidFill>
        <a:schemeClr val="tx1">
          <a:lumMod val="50000"/>
          <a:lumOff val="50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25" r="0.25"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en-US" sz="2000" b="1">
                <a:solidFill>
                  <a:sysClr val="windowText" lastClr="000000"/>
                </a:solidFill>
                <a:latin typeface="Garamond" panose="02020404030301010803" pitchFamily="18" charset="0"/>
              </a:rPr>
              <a:t>Rent vs.</a:t>
            </a:r>
            <a:r>
              <a:rPr lang="en-US" sz="2000" b="1" baseline="0">
                <a:solidFill>
                  <a:sysClr val="windowText" lastClr="000000"/>
                </a:solidFill>
                <a:latin typeface="Garamond" panose="02020404030301010803" pitchFamily="18" charset="0"/>
              </a:rPr>
              <a:t> Own (Cash Flow Comparison)</a:t>
            </a:r>
            <a:endParaRPr lang="en-US" sz="2000" b="1">
              <a:solidFill>
                <a:sysClr val="windowText" lastClr="000000"/>
              </a:solidFill>
              <a:latin typeface="Garamond" panose="02020404030301010803" pitchFamily="18" charset="0"/>
            </a:endParaRPr>
          </a:p>
        </c:rich>
      </c:tx>
      <c:layout>
        <c:manualLayout>
          <c:xMode val="edge"/>
          <c:yMode val="edge"/>
          <c:x val="0.26641441293382595"/>
          <c:y val="3.0045990102824622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v>Monthly Rent Costs</c:v>
          </c:tx>
          <c:spPr>
            <a:ln w="38100" cap="rnd">
              <a:solidFill>
                <a:srgbClr val="970A1A"/>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9-9AC0-47CA-9F35-668479D23233}"/>
                </c:ext>
              </c:extLst>
            </c:dLbl>
            <c:dLbl>
              <c:idx val="2"/>
              <c:delete val="1"/>
              <c:extLst>
                <c:ext xmlns:c15="http://schemas.microsoft.com/office/drawing/2012/chart" uri="{CE6537A1-D6FC-4f65-9D91-7224C49458BB}"/>
                <c:ext xmlns:c16="http://schemas.microsoft.com/office/drawing/2014/chart" uri="{C3380CC4-5D6E-409C-BE32-E72D297353CC}">
                  <c16:uniqueId val="{0000000A-9AC0-47CA-9F35-668479D23233}"/>
                </c:ext>
              </c:extLst>
            </c:dLbl>
            <c:dLbl>
              <c:idx val="3"/>
              <c:delete val="1"/>
              <c:extLst>
                <c:ext xmlns:c15="http://schemas.microsoft.com/office/drawing/2012/chart" uri="{CE6537A1-D6FC-4f65-9D91-7224C49458BB}"/>
                <c:ext xmlns:c16="http://schemas.microsoft.com/office/drawing/2014/chart" uri="{C3380CC4-5D6E-409C-BE32-E72D297353CC}">
                  <c16:uniqueId val="{0000000B-9AC0-47CA-9F35-668479D23233}"/>
                </c:ext>
              </c:extLst>
            </c:dLbl>
            <c:dLbl>
              <c:idx val="4"/>
              <c:delete val="1"/>
              <c:extLst>
                <c:ext xmlns:c15="http://schemas.microsoft.com/office/drawing/2012/chart" uri="{CE6537A1-D6FC-4f65-9D91-7224C49458BB}"/>
                <c:ext xmlns:c16="http://schemas.microsoft.com/office/drawing/2014/chart" uri="{C3380CC4-5D6E-409C-BE32-E72D297353CC}">
                  <c16:uniqueId val="{00000001-4E9B-4081-A81F-CFAAB9290856}"/>
                </c:ext>
              </c:extLst>
            </c:dLbl>
            <c:dLbl>
              <c:idx val="6"/>
              <c:delete val="1"/>
              <c:extLst>
                <c:ext xmlns:c15="http://schemas.microsoft.com/office/drawing/2012/chart" uri="{CE6537A1-D6FC-4f65-9D91-7224C49458BB}"/>
                <c:ext xmlns:c16="http://schemas.microsoft.com/office/drawing/2014/chart" uri="{C3380CC4-5D6E-409C-BE32-E72D297353CC}">
                  <c16:uniqueId val="{0000000D-9AC0-47CA-9F35-668479D23233}"/>
                </c:ext>
              </c:extLst>
            </c:dLbl>
            <c:dLbl>
              <c:idx val="7"/>
              <c:delete val="1"/>
              <c:extLst>
                <c:ext xmlns:c15="http://schemas.microsoft.com/office/drawing/2012/chart" uri="{CE6537A1-D6FC-4f65-9D91-7224C49458BB}"/>
                <c:ext xmlns:c16="http://schemas.microsoft.com/office/drawing/2014/chart" uri="{C3380CC4-5D6E-409C-BE32-E72D297353CC}">
                  <c16:uniqueId val="{0000000E-9AC0-47CA-9F35-668479D23233}"/>
                </c:ext>
              </c:extLst>
            </c:dLbl>
            <c:dLbl>
              <c:idx val="8"/>
              <c:delete val="1"/>
              <c:extLst>
                <c:ext xmlns:c15="http://schemas.microsoft.com/office/drawing/2012/chart" uri="{CE6537A1-D6FC-4f65-9D91-7224C49458BB}"/>
                <c:ext xmlns:c16="http://schemas.microsoft.com/office/drawing/2014/chart" uri="{C3380CC4-5D6E-409C-BE32-E72D297353CC}">
                  <c16:uniqueId val="{0000000F-9AC0-47CA-9F35-668479D23233}"/>
                </c:ext>
              </c:extLst>
            </c:dLbl>
            <c:dLbl>
              <c:idx val="9"/>
              <c:delete val="1"/>
              <c:extLst>
                <c:ext xmlns:c15="http://schemas.microsoft.com/office/drawing/2012/chart" uri="{CE6537A1-D6FC-4f65-9D91-7224C49458BB}"/>
                <c:ext xmlns:c16="http://schemas.microsoft.com/office/drawing/2014/chart" uri="{C3380CC4-5D6E-409C-BE32-E72D297353CC}">
                  <c16:uniqueId val="{00000003-4E9B-4081-A81F-CFAAB9290856}"/>
                </c:ext>
              </c:extLst>
            </c:dLbl>
            <c:dLbl>
              <c:idx val="11"/>
              <c:delete val="1"/>
              <c:extLst>
                <c:ext xmlns:c15="http://schemas.microsoft.com/office/drawing/2012/chart" uri="{CE6537A1-D6FC-4f65-9D91-7224C49458BB}"/>
                <c:ext xmlns:c16="http://schemas.microsoft.com/office/drawing/2014/chart" uri="{C3380CC4-5D6E-409C-BE32-E72D297353CC}">
                  <c16:uniqueId val="{00000011-9AC0-47CA-9F35-668479D23233}"/>
                </c:ext>
              </c:extLst>
            </c:dLbl>
            <c:dLbl>
              <c:idx val="12"/>
              <c:delete val="1"/>
              <c:extLst>
                <c:ext xmlns:c15="http://schemas.microsoft.com/office/drawing/2012/chart" uri="{CE6537A1-D6FC-4f65-9D91-7224C49458BB}"/>
                <c:ext xmlns:c16="http://schemas.microsoft.com/office/drawing/2014/chart" uri="{C3380CC4-5D6E-409C-BE32-E72D297353CC}">
                  <c16:uniqueId val="{00000012-9AC0-47CA-9F35-668479D23233}"/>
                </c:ext>
              </c:extLst>
            </c:dLbl>
            <c:dLbl>
              <c:idx val="13"/>
              <c:delete val="1"/>
              <c:extLst>
                <c:ext xmlns:c15="http://schemas.microsoft.com/office/drawing/2012/chart" uri="{CE6537A1-D6FC-4f65-9D91-7224C49458BB}"/>
                <c:ext xmlns:c16="http://schemas.microsoft.com/office/drawing/2014/chart" uri="{C3380CC4-5D6E-409C-BE32-E72D297353CC}">
                  <c16:uniqueId val="{00000013-9AC0-47CA-9F35-668479D23233}"/>
                </c:ext>
              </c:extLst>
            </c:dLbl>
            <c:dLbl>
              <c:idx val="14"/>
              <c:delete val="1"/>
              <c:extLst>
                <c:ext xmlns:c15="http://schemas.microsoft.com/office/drawing/2012/chart" uri="{CE6537A1-D6FC-4f65-9D91-7224C49458BB}"/>
                <c:ext xmlns:c16="http://schemas.microsoft.com/office/drawing/2014/chart" uri="{C3380CC4-5D6E-409C-BE32-E72D297353CC}">
                  <c16:uniqueId val="{00000004-4E9B-4081-A81F-CFAAB9290856}"/>
                </c:ext>
              </c:extLst>
            </c:dLbl>
            <c:dLbl>
              <c:idx val="16"/>
              <c:delete val="1"/>
              <c:extLst>
                <c:ext xmlns:c15="http://schemas.microsoft.com/office/drawing/2012/chart" uri="{CE6537A1-D6FC-4f65-9D91-7224C49458BB}"/>
                <c:ext xmlns:c16="http://schemas.microsoft.com/office/drawing/2014/chart" uri="{C3380CC4-5D6E-409C-BE32-E72D297353CC}">
                  <c16:uniqueId val="{00000015-9AC0-47CA-9F35-668479D23233}"/>
                </c:ext>
              </c:extLst>
            </c:dLbl>
            <c:dLbl>
              <c:idx val="17"/>
              <c:delete val="1"/>
              <c:extLst>
                <c:ext xmlns:c15="http://schemas.microsoft.com/office/drawing/2012/chart" uri="{CE6537A1-D6FC-4f65-9D91-7224C49458BB}"/>
                <c:ext xmlns:c16="http://schemas.microsoft.com/office/drawing/2014/chart" uri="{C3380CC4-5D6E-409C-BE32-E72D297353CC}">
                  <c16:uniqueId val="{00000016-9AC0-47CA-9F35-668479D23233}"/>
                </c:ext>
              </c:extLst>
            </c:dLbl>
            <c:dLbl>
              <c:idx val="18"/>
              <c:delete val="1"/>
              <c:extLst>
                <c:ext xmlns:c15="http://schemas.microsoft.com/office/drawing/2012/chart" uri="{CE6537A1-D6FC-4f65-9D91-7224C49458BB}"/>
                <c:ext xmlns:c16="http://schemas.microsoft.com/office/drawing/2014/chart" uri="{C3380CC4-5D6E-409C-BE32-E72D297353CC}">
                  <c16:uniqueId val="{00000017-9AC0-47CA-9F35-668479D23233}"/>
                </c:ext>
              </c:extLst>
            </c:dLbl>
            <c:dLbl>
              <c:idx val="19"/>
              <c:delete val="1"/>
              <c:extLst>
                <c:ext xmlns:c15="http://schemas.microsoft.com/office/drawing/2012/chart" uri="{CE6537A1-D6FC-4f65-9D91-7224C49458BB}"/>
                <c:ext xmlns:c16="http://schemas.microsoft.com/office/drawing/2014/chart" uri="{C3380CC4-5D6E-409C-BE32-E72D297353CC}">
                  <c16:uniqueId val="{00000005-4E9B-4081-A81F-CFAAB9290856}"/>
                </c:ext>
              </c:extLst>
            </c:dLbl>
            <c:dLbl>
              <c:idx val="21"/>
              <c:delete val="1"/>
              <c:extLst>
                <c:ext xmlns:c15="http://schemas.microsoft.com/office/drawing/2012/chart" uri="{CE6537A1-D6FC-4f65-9D91-7224C49458BB}"/>
                <c:ext xmlns:c16="http://schemas.microsoft.com/office/drawing/2014/chart" uri="{C3380CC4-5D6E-409C-BE32-E72D297353CC}">
                  <c16:uniqueId val="{00000019-9AC0-47CA-9F35-668479D23233}"/>
                </c:ext>
              </c:extLst>
            </c:dLbl>
            <c:dLbl>
              <c:idx val="22"/>
              <c:delete val="1"/>
              <c:extLst>
                <c:ext xmlns:c15="http://schemas.microsoft.com/office/drawing/2012/chart" uri="{CE6537A1-D6FC-4f65-9D91-7224C49458BB}"/>
                <c:ext xmlns:c16="http://schemas.microsoft.com/office/drawing/2014/chart" uri="{C3380CC4-5D6E-409C-BE32-E72D297353CC}">
                  <c16:uniqueId val="{0000001A-9AC0-47CA-9F35-668479D23233}"/>
                </c:ext>
              </c:extLst>
            </c:dLbl>
            <c:dLbl>
              <c:idx val="23"/>
              <c:delete val="1"/>
              <c:extLst>
                <c:ext xmlns:c15="http://schemas.microsoft.com/office/drawing/2012/chart" uri="{CE6537A1-D6FC-4f65-9D91-7224C49458BB}"/>
                <c:ext xmlns:c16="http://schemas.microsoft.com/office/drawing/2014/chart" uri="{C3380CC4-5D6E-409C-BE32-E72D297353CC}">
                  <c16:uniqueId val="{0000001B-9AC0-47CA-9F35-668479D23233}"/>
                </c:ext>
              </c:extLst>
            </c:dLbl>
            <c:dLbl>
              <c:idx val="24"/>
              <c:delete val="1"/>
              <c:extLst>
                <c:ext xmlns:c15="http://schemas.microsoft.com/office/drawing/2012/chart" uri="{CE6537A1-D6FC-4f65-9D91-7224C49458BB}"/>
                <c:ext xmlns:c16="http://schemas.microsoft.com/office/drawing/2014/chart" uri="{C3380CC4-5D6E-409C-BE32-E72D297353CC}">
                  <c16:uniqueId val="{00000006-4E9B-4081-A81F-CFAAB9290856}"/>
                </c:ext>
              </c:extLst>
            </c:dLbl>
            <c:dLbl>
              <c:idx val="26"/>
              <c:delete val="1"/>
              <c:extLst>
                <c:ext xmlns:c15="http://schemas.microsoft.com/office/drawing/2012/chart" uri="{CE6537A1-D6FC-4f65-9D91-7224C49458BB}"/>
                <c:ext xmlns:c16="http://schemas.microsoft.com/office/drawing/2014/chart" uri="{C3380CC4-5D6E-409C-BE32-E72D297353CC}">
                  <c16:uniqueId val="{0000001D-9AC0-47CA-9F35-668479D23233}"/>
                </c:ext>
              </c:extLst>
            </c:dLbl>
            <c:dLbl>
              <c:idx val="27"/>
              <c:delete val="1"/>
              <c:extLst>
                <c:ext xmlns:c15="http://schemas.microsoft.com/office/drawing/2012/chart" uri="{CE6537A1-D6FC-4f65-9D91-7224C49458BB}"/>
                <c:ext xmlns:c16="http://schemas.microsoft.com/office/drawing/2014/chart" uri="{C3380CC4-5D6E-409C-BE32-E72D297353CC}">
                  <c16:uniqueId val="{0000001E-9AC0-47CA-9F35-668479D23233}"/>
                </c:ext>
              </c:extLst>
            </c:dLbl>
            <c:dLbl>
              <c:idx val="28"/>
              <c:delete val="1"/>
              <c:extLst>
                <c:ext xmlns:c15="http://schemas.microsoft.com/office/drawing/2012/chart" uri="{CE6537A1-D6FC-4f65-9D91-7224C49458BB}"/>
                <c:ext xmlns:c16="http://schemas.microsoft.com/office/drawing/2014/chart" uri="{C3380CC4-5D6E-409C-BE32-E72D297353CC}">
                  <c16:uniqueId val="{0000001F-9AC0-47CA-9F35-668479D23233}"/>
                </c:ext>
              </c:extLst>
            </c:dLbl>
            <c:dLbl>
              <c:idx val="29"/>
              <c:delete val="1"/>
              <c:extLst>
                <c:ext xmlns:c15="http://schemas.microsoft.com/office/drawing/2012/chart" uri="{CE6537A1-D6FC-4f65-9D91-7224C49458BB}"/>
                <c:ext xmlns:c16="http://schemas.microsoft.com/office/drawing/2014/chart" uri="{C3380CC4-5D6E-409C-BE32-E72D297353CC}">
                  <c16:uniqueId val="{00000007-4E9B-4081-A81F-CFAAB9290856}"/>
                </c:ext>
              </c:extLst>
            </c:dLbl>
            <c:dLbl>
              <c:idx val="31"/>
              <c:delete val="1"/>
              <c:extLst>
                <c:ext xmlns:c15="http://schemas.microsoft.com/office/drawing/2012/chart" uri="{CE6537A1-D6FC-4f65-9D91-7224C49458BB}"/>
                <c:ext xmlns:c16="http://schemas.microsoft.com/office/drawing/2014/chart" uri="{C3380CC4-5D6E-409C-BE32-E72D297353CC}">
                  <c16:uniqueId val="{00000021-9AC0-47CA-9F35-668479D23233}"/>
                </c:ext>
              </c:extLst>
            </c:dLbl>
            <c:dLbl>
              <c:idx val="32"/>
              <c:delete val="1"/>
              <c:extLst>
                <c:ext xmlns:c15="http://schemas.microsoft.com/office/drawing/2012/chart" uri="{CE6537A1-D6FC-4f65-9D91-7224C49458BB}"/>
                <c:ext xmlns:c16="http://schemas.microsoft.com/office/drawing/2014/chart" uri="{C3380CC4-5D6E-409C-BE32-E72D297353CC}">
                  <c16:uniqueId val="{00000022-9AC0-47CA-9F35-668479D23233}"/>
                </c:ext>
              </c:extLst>
            </c:dLbl>
            <c:dLbl>
              <c:idx val="33"/>
              <c:delete val="1"/>
              <c:extLst>
                <c:ext xmlns:c15="http://schemas.microsoft.com/office/drawing/2012/chart" uri="{CE6537A1-D6FC-4f65-9D91-7224C49458BB}"/>
                <c:ext xmlns:c16="http://schemas.microsoft.com/office/drawing/2014/chart" uri="{C3380CC4-5D6E-409C-BE32-E72D297353CC}">
                  <c16:uniqueId val="{00000023-9AC0-47CA-9F35-668479D23233}"/>
                </c:ext>
              </c:extLst>
            </c:dLbl>
            <c:dLbl>
              <c:idx val="34"/>
              <c:delete val="1"/>
              <c:extLst>
                <c:ext xmlns:c15="http://schemas.microsoft.com/office/drawing/2012/chart" uri="{CE6537A1-D6FC-4f65-9D91-7224C49458BB}"/>
                <c:ext xmlns:c16="http://schemas.microsoft.com/office/drawing/2014/chart" uri="{C3380CC4-5D6E-409C-BE32-E72D297353CC}">
                  <c16:uniqueId val="{00000009-4E9B-4081-A81F-CFAAB9290856}"/>
                </c:ext>
              </c:extLst>
            </c:dLbl>
            <c:spPr>
              <a:solidFill>
                <a:schemeClr val="bg1">
                  <a:lumMod val="95000"/>
                </a:schemeClr>
              </a:solidFill>
              <a:ln>
                <a:solidFill>
                  <a:srgbClr val="970A1A"/>
                </a:solidFill>
              </a:ln>
              <a:effectLst/>
            </c:spPr>
            <c:txPr>
              <a:bodyPr rot="0" spcFirstLastPara="1" vertOverflow="clip" horzOverflow="clip" vert="horz" wrap="square" lIns="36576" tIns="18288" rIns="36576" bIns="18288" anchor="ctr" anchorCtr="1">
                <a:spAutoFit/>
              </a:bodyPr>
              <a:lstStyle/>
              <a:p>
                <a:pPr>
                  <a:defRPr sz="1200" b="1" i="0" u="none" strike="noStrike" kern="1200" baseline="0">
                    <a:solidFill>
                      <a:srgbClr val="970A1A"/>
                    </a:solidFill>
                    <a:latin typeface="Garamond" panose="02020404030301010803" pitchFamily="18"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Data!$B$10:$B$45</c:f>
              <c:numCache>
                <c:formatCode>General</c:formatCode>
                <c:ptCount val="3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cat>
          <c:val>
            <c:numRef>
              <c:f>Data!$K$10:$K$45</c:f>
              <c:numCache>
                <c:formatCode>_("$"* #,##0_);_("$"* \(#,##0\);_("$"* "-"??_);_(@_)</c:formatCode>
                <c:ptCount val="36"/>
                <c:pt idx="0">
                  <c:v>2913</c:v>
                </c:pt>
                <c:pt idx="1">
                  <c:v>3014.9549999999999</c:v>
                </c:pt>
                <c:pt idx="2">
                  <c:v>3120.4784249999998</c:v>
                </c:pt>
                <c:pt idx="3">
                  <c:v>3229.6951698749999</c:v>
                </c:pt>
                <c:pt idx="4">
                  <c:v>3342.7345008206248</c:v>
                </c:pt>
                <c:pt idx="5">
                  <c:v>3459.7302083493464</c:v>
                </c:pt>
                <c:pt idx="6">
                  <c:v>3580.820765641573</c:v>
                </c:pt>
                <c:pt idx="7">
                  <c:v>3706.1494924390281</c:v>
                </c:pt>
                <c:pt idx="8">
                  <c:v>3835.8647246743935</c:v>
                </c:pt>
                <c:pt idx="9">
                  <c:v>3970.1199900379966</c:v>
                </c:pt>
                <c:pt idx="10">
                  <c:v>4109.074189689326</c:v>
                </c:pt>
                <c:pt idx="11">
                  <c:v>4252.8917863284523</c:v>
                </c:pt>
                <c:pt idx="12">
                  <c:v>4401.742998849948</c:v>
                </c:pt>
                <c:pt idx="13">
                  <c:v>4555.804003809696</c:v>
                </c:pt>
                <c:pt idx="14">
                  <c:v>4715.2571439430349</c:v>
                </c:pt>
                <c:pt idx="15">
                  <c:v>4880.2911439810405</c:v>
                </c:pt>
                <c:pt idx="16">
                  <c:v>5051.1013340203763</c:v>
                </c:pt>
                <c:pt idx="17">
                  <c:v>5227.88988071109</c:v>
                </c:pt>
                <c:pt idx="18">
                  <c:v>5410.8660265359777</c:v>
                </c:pt>
                <c:pt idx="19">
                  <c:v>5600.2463374647368</c:v>
                </c:pt>
                <c:pt idx="20">
                  <c:v>5796.2549592760015</c:v>
                </c:pt>
                <c:pt idx="21">
                  <c:v>5999.1238828506612</c:v>
                </c:pt>
                <c:pt idx="22">
                  <c:v>6209.0932187504341</c:v>
                </c:pt>
                <c:pt idx="23">
                  <c:v>6426.4114814066997</c:v>
                </c:pt>
                <c:pt idx="24">
                  <c:v>6651.3358832559343</c:v>
                </c:pt>
                <c:pt idx="25">
                  <c:v>6884.1326391698904</c:v>
                </c:pt>
                <c:pt idx="26">
                  <c:v>7125.0772815408354</c:v>
                </c:pt>
                <c:pt idx="27">
                  <c:v>7374.454986394765</c:v>
                </c:pt>
                <c:pt idx="28">
                  <c:v>7632.5609109185816</c:v>
                </c:pt>
                <c:pt idx="29">
                  <c:v>7899.7005428007315</c:v>
                </c:pt>
                <c:pt idx="30">
                  <c:v>8176.1900617987558</c:v>
                </c:pt>
                <c:pt idx="31">
                  <c:v>8462.3567139617116</c:v>
                </c:pt>
                <c:pt idx="32">
                  <c:v>8758.5391989503714</c:v>
                </c:pt>
                <c:pt idx="33">
                  <c:v>9065.0880709136345</c:v>
                </c:pt>
                <c:pt idx="34">
                  <c:v>9382.366153395611</c:v>
                </c:pt>
                <c:pt idx="35">
                  <c:v>9710.7489687644556</c:v>
                </c:pt>
              </c:numCache>
            </c:numRef>
          </c:val>
          <c:smooth val="0"/>
          <c:extLst>
            <c:ext xmlns:c16="http://schemas.microsoft.com/office/drawing/2014/chart" uri="{C3380CC4-5D6E-409C-BE32-E72D297353CC}">
              <c16:uniqueId val="{00000000-9AC0-47CA-9F35-668479D23233}"/>
            </c:ext>
          </c:extLst>
        </c:ser>
        <c:ser>
          <c:idx val="1"/>
          <c:order val="1"/>
          <c:tx>
            <c:v>Monthly Ownership Costs</c:v>
          </c:tx>
          <c:spPr>
            <a:ln w="38100" cap="rnd">
              <a:solidFill>
                <a:srgbClr val="172C51"/>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25-9AC0-47CA-9F35-668479D23233}"/>
                </c:ext>
              </c:extLst>
            </c:dLbl>
            <c:dLbl>
              <c:idx val="2"/>
              <c:delete val="1"/>
              <c:extLst>
                <c:ext xmlns:c15="http://schemas.microsoft.com/office/drawing/2012/chart" uri="{CE6537A1-D6FC-4f65-9D91-7224C49458BB}"/>
                <c:ext xmlns:c16="http://schemas.microsoft.com/office/drawing/2014/chart" uri="{C3380CC4-5D6E-409C-BE32-E72D297353CC}">
                  <c16:uniqueId val="{00000026-9AC0-47CA-9F35-668479D23233}"/>
                </c:ext>
              </c:extLst>
            </c:dLbl>
            <c:dLbl>
              <c:idx val="3"/>
              <c:delete val="1"/>
              <c:extLst>
                <c:ext xmlns:c15="http://schemas.microsoft.com/office/drawing/2012/chart" uri="{CE6537A1-D6FC-4f65-9D91-7224C49458BB}"/>
                <c:ext xmlns:c16="http://schemas.microsoft.com/office/drawing/2014/chart" uri="{C3380CC4-5D6E-409C-BE32-E72D297353CC}">
                  <c16:uniqueId val="{00000027-9AC0-47CA-9F35-668479D23233}"/>
                </c:ext>
              </c:extLst>
            </c:dLbl>
            <c:dLbl>
              <c:idx val="4"/>
              <c:delete val="1"/>
              <c:extLst>
                <c:ext xmlns:c15="http://schemas.microsoft.com/office/drawing/2012/chart" uri="{CE6537A1-D6FC-4f65-9D91-7224C49458BB}"/>
                <c:ext xmlns:c16="http://schemas.microsoft.com/office/drawing/2014/chart" uri="{C3380CC4-5D6E-409C-BE32-E72D297353CC}">
                  <c16:uniqueId val="{00000000-4E9B-4081-A81F-CFAAB9290856}"/>
                </c:ext>
              </c:extLst>
            </c:dLbl>
            <c:dLbl>
              <c:idx val="6"/>
              <c:delete val="1"/>
              <c:extLst>
                <c:ext xmlns:c15="http://schemas.microsoft.com/office/drawing/2012/chart" uri="{CE6537A1-D6FC-4f65-9D91-7224C49458BB}"/>
                <c:ext xmlns:c16="http://schemas.microsoft.com/office/drawing/2014/chart" uri="{C3380CC4-5D6E-409C-BE32-E72D297353CC}">
                  <c16:uniqueId val="{00000029-9AC0-47CA-9F35-668479D23233}"/>
                </c:ext>
              </c:extLst>
            </c:dLbl>
            <c:dLbl>
              <c:idx val="7"/>
              <c:delete val="1"/>
              <c:extLst>
                <c:ext xmlns:c15="http://schemas.microsoft.com/office/drawing/2012/chart" uri="{CE6537A1-D6FC-4f65-9D91-7224C49458BB}"/>
                <c:ext xmlns:c16="http://schemas.microsoft.com/office/drawing/2014/chart" uri="{C3380CC4-5D6E-409C-BE32-E72D297353CC}">
                  <c16:uniqueId val="{0000002A-9AC0-47CA-9F35-668479D23233}"/>
                </c:ext>
              </c:extLst>
            </c:dLbl>
            <c:dLbl>
              <c:idx val="8"/>
              <c:delete val="1"/>
              <c:extLst>
                <c:ext xmlns:c15="http://schemas.microsoft.com/office/drawing/2012/chart" uri="{CE6537A1-D6FC-4f65-9D91-7224C49458BB}"/>
                <c:ext xmlns:c16="http://schemas.microsoft.com/office/drawing/2014/chart" uri="{C3380CC4-5D6E-409C-BE32-E72D297353CC}">
                  <c16:uniqueId val="{0000002B-9AC0-47CA-9F35-668479D23233}"/>
                </c:ext>
              </c:extLst>
            </c:dLbl>
            <c:dLbl>
              <c:idx val="9"/>
              <c:delete val="1"/>
              <c:extLst>
                <c:ext xmlns:c15="http://schemas.microsoft.com/office/drawing/2012/chart" uri="{CE6537A1-D6FC-4f65-9D91-7224C49458BB}"/>
                <c:ext xmlns:c16="http://schemas.microsoft.com/office/drawing/2014/chart" uri="{C3380CC4-5D6E-409C-BE32-E72D297353CC}">
                  <c16:uniqueId val="{00000002-4E9B-4081-A81F-CFAAB9290856}"/>
                </c:ext>
              </c:extLst>
            </c:dLbl>
            <c:dLbl>
              <c:idx val="11"/>
              <c:delete val="1"/>
              <c:extLst>
                <c:ext xmlns:c15="http://schemas.microsoft.com/office/drawing/2012/chart" uri="{CE6537A1-D6FC-4f65-9D91-7224C49458BB}"/>
                <c:ext xmlns:c16="http://schemas.microsoft.com/office/drawing/2014/chart" uri="{C3380CC4-5D6E-409C-BE32-E72D297353CC}">
                  <c16:uniqueId val="{0000002C-9AC0-47CA-9F35-668479D23233}"/>
                </c:ext>
              </c:extLst>
            </c:dLbl>
            <c:dLbl>
              <c:idx val="12"/>
              <c:delete val="1"/>
              <c:extLst>
                <c:ext xmlns:c15="http://schemas.microsoft.com/office/drawing/2012/chart" uri="{CE6537A1-D6FC-4f65-9D91-7224C49458BB}"/>
                <c:ext xmlns:c16="http://schemas.microsoft.com/office/drawing/2014/chart" uri="{C3380CC4-5D6E-409C-BE32-E72D297353CC}">
                  <c16:uniqueId val="{0000002E-9AC0-47CA-9F35-668479D23233}"/>
                </c:ext>
              </c:extLst>
            </c:dLbl>
            <c:dLbl>
              <c:idx val="13"/>
              <c:delete val="1"/>
              <c:extLst>
                <c:ext xmlns:c15="http://schemas.microsoft.com/office/drawing/2012/chart" uri="{CE6537A1-D6FC-4f65-9D91-7224C49458BB}"/>
                <c:ext xmlns:c16="http://schemas.microsoft.com/office/drawing/2014/chart" uri="{C3380CC4-5D6E-409C-BE32-E72D297353CC}">
                  <c16:uniqueId val="{0000002F-9AC0-47CA-9F35-668479D23233}"/>
                </c:ext>
              </c:extLst>
            </c:dLbl>
            <c:dLbl>
              <c:idx val="14"/>
              <c:delete val="1"/>
              <c:extLst>
                <c:ext xmlns:c15="http://schemas.microsoft.com/office/drawing/2012/chart" uri="{CE6537A1-D6FC-4f65-9D91-7224C49458BB}"/>
                <c:ext xmlns:c16="http://schemas.microsoft.com/office/drawing/2014/chart" uri="{C3380CC4-5D6E-409C-BE32-E72D297353CC}">
                  <c16:uniqueId val="{0000000A-4E9B-4081-A81F-CFAAB9290856}"/>
                </c:ext>
              </c:extLst>
            </c:dLbl>
            <c:dLbl>
              <c:idx val="16"/>
              <c:delete val="1"/>
              <c:extLst>
                <c:ext xmlns:c15="http://schemas.microsoft.com/office/drawing/2012/chart" uri="{CE6537A1-D6FC-4f65-9D91-7224C49458BB}"/>
                <c:ext xmlns:c16="http://schemas.microsoft.com/office/drawing/2014/chart" uri="{C3380CC4-5D6E-409C-BE32-E72D297353CC}">
                  <c16:uniqueId val="{00000031-9AC0-47CA-9F35-668479D23233}"/>
                </c:ext>
              </c:extLst>
            </c:dLbl>
            <c:dLbl>
              <c:idx val="17"/>
              <c:delete val="1"/>
              <c:extLst>
                <c:ext xmlns:c15="http://schemas.microsoft.com/office/drawing/2012/chart" uri="{CE6537A1-D6FC-4f65-9D91-7224C49458BB}"/>
                <c:ext xmlns:c16="http://schemas.microsoft.com/office/drawing/2014/chart" uri="{C3380CC4-5D6E-409C-BE32-E72D297353CC}">
                  <c16:uniqueId val="{00000032-9AC0-47CA-9F35-668479D23233}"/>
                </c:ext>
              </c:extLst>
            </c:dLbl>
            <c:dLbl>
              <c:idx val="18"/>
              <c:delete val="1"/>
              <c:extLst>
                <c:ext xmlns:c15="http://schemas.microsoft.com/office/drawing/2012/chart" uri="{CE6537A1-D6FC-4f65-9D91-7224C49458BB}"/>
                <c:ext xmlns:c16="http://schemas.microsoft.com/office/drawing/2014/chart" uri="{C3380CC4-5D6E-409C-BE32-E72D297353CC}">
                  <c16:uniqueId val="{00000033-9AC0-47CA-9F35-668479D23233}"/>
                </c:ext>
              </c:extLst>
            </c:dLbl>
            <c:dLbl>
              <c:idx val="19"/>
              <c:delete val="1"/>
              <c:extLst>
                <c:ext xmlns:c15="http://schemas.microsoft.com/office/drawing/2012/chart" uri="{CE6537A1-D6FC-4f65-9D91-7224C49458BB}"/>
                <c:ext xmlns:c16="http://schemas.microsoft.com/office/drawing/2014/chart" uri="{C3380CC4-5D6E-409C-BE32-E72D297353CC}">
                  <c16:uniqueId val="{0000000B-4E9B-4081-A81F-CFAAB9290856}"/>
                </c:ext>
              </c:extLst>
            </c:dLbl>
            <c:dLbl>
              <c:idx val="21"/>
              <c:delete val="1"/>
              <c:extLst>
                <c:ext xmlns:c15="http://schemas.microsoft.com/office/drawing/2012/chart" uri="{CE6537A1-D6FC-4f65-9D91-7224C49458BB}"/>
                <c:ext xmlns:c16="http://schemas.microsoft.com/office/drawing/2014/chart" uri="{C3380CC4-5D6E-409C-BE32-E72D297353CC}">
                  <c16:uniqueId val="{00000035-9AC0-47CA-9F35-668479D23233}"/>
                </c:ext>
              </c:extLst>
            </c:dLbl>
            <c:dLbl>
              <c:idx val="22"/>
              <c:delete val="1"/>
              <c:extLst>
                <c:ext xmlns:c15="http://schemas.microsoft.com/office/drawing/2012/chart" uri="{CE6537A1-D6FC-4f65-9D91-7224C49458BB}"/>
                <c:ext xmlns:c16="http://schemas.microsoft.com/office/drawing/2014/chart" uri="{C3380CC4-5D6E-409C-BE32-E72D297353CC}">
                  <c16:uniqueId val="{00000036-9AC0-47CA-9F35-668479D23233}"/>
                </c:ext>
              </c:extLst>
            </c:dLbl>
            <c:dLbl>
              <c:idx val="23"/>
              <c:delete val="1"/>
              <c:extLst>
                <c:ext xmlns:c15="http://schemas.microsoft.com/office/drawing/2012/chart" uri="{CE6537A1-D6FC-4f65-9D91-7224C49458BB}"/>
                <c:ext xmlns:c16="http://schemas.microsoft.com/office/drawing/2014/chart" uri="{C3380CC4-5D6E-409C-BE32-E72D297353CC}">
                  <c16:uniqueId val="{00000037-9AC0-47CA-9F35-668479D23233}"/>
                </c:ext>
              </c:extLst>
            </c:dLbl>
            <c:dLbl>
              <c:idx val="24"/>
              <c:delete val="1"/>
              <c:extLst>
                <c:ext xmlns:c15="http://schemas.microsoft.com/office/drawing/2012/chart" uri="{CE6537A1-D6FC-4f65-9D91-7224C49458BB}"/>
                <c:ext xmlns:c16="http://schemas.microsoft.com/office/drawing/2014/chart" uri="{C3380CC4-5D6E-409C-BE32-E72D297353CC}">
                  <c16:uniqueId val="{0000000C-4E9B-4081-A81F-CFAAB9290856}"/>
                </c:ext>
              </c:extLst>
            </c:dLbl>
            <c:dLbl>
              <c:idx val="26"/>
              <c:delete val="1"/>
              <c:extLst>
                <c:ext xmlns:c15="http://schemas.microsoft.com/office/drawing/2012/chart" uri="{CE6537A1-D6FC-4f65-9D91-7224C49458BB}"/>
                <c:ext xmlns:c16="http://schemas.microsoft.com/office/drawing/2014/chart" uri="{C3380CC4-5D6E-409C-BE32-E72D297353CC}">
                  <c16:uniqueId val="{00000039-9AC0-47CA-9F35-668479D23233}"/>
                </c:ext>
              </c:extLst>
            </c:dLbl>
            <c:dLbl>
              <c:idx val="27"/>
              <c:delete val="1"/>
              <c:extLst>
                <c:ext xmlns:c15="http://schemas.microsoft.com/office/drawing/2012/chart" uri="{CE6537A1-D6FC-4f65-9D91-7224C49458BB}"/>
                <c:ext xmlns:c16="http://schemas.microsoft.com/office/drawing/2014/chart" uri="{C3380CC4-5D6E-409C-BE32-E72D297353CC}">
                  <c16:uniqueId val="{0000003A-9AC0-47CA-9F35-668479D23233}"/>
                </c:ext>
              </c:extLst>
            </c:dLbl>
            <c:dLbl>
              <c:idx val="28"/>
              <c:delete val="1"/>
              <c:extLst>
                <c:ext xmlns:c15="http://schemas.microsoft.com/office/drawing/2012/chart" uri="{CE6537A1-D6FC-4f65-9D91-7224C49458BB}"/>
                <c:ext xmlns:c16="http://schemas.microsoft.com/office/drawing/2014/chart" uri="{C3380CC4-5D6E-409C-BE32-E72D297353CC}">
                  <c16:uniqueId val="{0000003B-9AC0-47CA-9F35-668479D23233}"/>
                </c:ext>
              </c:extLst>
            </c:dLbl>
            <c:dLbl>
              <c:idx val="29"/>
              <c:delete val="1"/>
              <c:extLst>
                <c:ext xmlns:c15="http://schemas.microsoft.com/office/drawing/2012/chart" uri="{CE6537A1-D6FC-4f65-9D91-7224C49458BB}"/>
                <c:ext xmlns:c16="http://schemas.microsoft.com/office/drawing/2014/chart" uri="{C3380CC4-5D6E-409C-BE32-E72D297353CC}">
                  <c16:uniqueId val="{0000000D-4E9B-4081-A81F-CFAAB9290856}"/>
                </c:ext>
              </c:extLst>
            </c:dLbl>
            <c:dLbl>
              <c:idx val="31"/>
              <c:delete val="1"/>
              <c:extLst>
                <c:ext xmlns:c15="http://schemas.microsoft.com/office/drawing/2012/chart" uri="{CE6537A1-D6FC-4f65-9D91-7224C49458BB}"/>
                <c:ext xmlns:c16="http://schemas.microsoft.com/office/drawing/2014/chart" uri="{C3380CC4-5D6E-409C-BE32-E72D297353CC}">
                  <c16:uniqueId val="{0000003D-9AC0-47CA-9F35-668479D23233}"/>
                </c:ext>
              </c:extLst>
            </c:dLbl>
            <c:dLbl>
              <c:idx val="32"/>
              <c:delete val="1"/>
              <c:extLst>
                <c:ext xmlns:c15="http://schemas.microsoft.com/office/drawing/2012/chart" uri="{CE6537A1-D6FC-4f65-9D91-7224C49458BB}"/>
                <c:ext xmlns:c16="http://schemas.microsoft.com/office/drawing/2014/chart" uri="{C3380CC4-5D6E-409C-BE32-E72D297353CC}">
                  <c16:uniqueId val="{0000003E-9AC0-47CA-9F35-668479D23233}"/>
                </c:ext>
              </c:extLst>
            </c:dLbl>
            <c:dLbl>
              <c:idx val="33"/>
              <c:delete val="1"/>
              <c:extLst>
                <c:ext xmlns:c15="http://schemas.microsoft.com/office/drawing/2012/chart" uri="{CE6537A1-D6FC-4f65-9D91-7224C49458BB}"/>
                <c:ext xmlns:c16="http://schemas.microsoft.com/office/drawing/2014/chart" uri="{C3380CC4-5D6E-409C-BE32-E72D297353CC}">
                  <c16:uniqueId val="{0000003F-9AC0-47CA-9F35-668479D23233}"/>
                </c:ext>
              </c:extLst>
            </c:dLbl>
            <c:dLbl>
              <c:idx val="34"/>
              <c:delete val="1"/>
              <c:extLst>
                <c:ext xmlns:c15="http://schemas.microsoft.com/office/drawing/2012/chart" uri="{CE6537A1-D6FC-4f65-9D91-7224C49458BB}"/>
                <c:ext xmlns:c16="http://schemas.microsoft.com/office/drawing/2014/chart" uri="{C3380CC4-5D6E-409C-BE32-E72D297353CC}">
                  <c16:uniqueId val="{0000000E-4E9B-4081-A81F-CFAAB9290856}"/>
                </c:ext>
              </c:extLst>
            </c:dLbl>
            <c:spPr>
              <a:solidFill>
                <a:schemeClr val="bg1">
                  <a:lumMod val="95000"/>
                </a:schemeClr>
              </a:solidFill>
              <a:ln>
                <a:solidFill>
                  <a:srgbClr val="172C51"/>
                </a:solidFill>
              </a:ln>
              <a:effectLst/>
            </c:spPr>
            <c:txPr>
              <a:bodyPr rot="0" spcFirstLastPara="1" vertOverflow="clip" horzOverflow="clip" vert="horz" wrap="square" lIns="36576" tIns="18288" rIns="36576" bIns="18288" anchor="ctr" anchorCtr="1">
                <a:spAutoFit/>
              </a:bodyPr>
              <a:lstStyle/>
              <a:p>
                <a:pPr>
                  <a:defRPr sz="1200" b="1" i="0" u="none" strike="noStrike" kern="1200" baseline="0">
                    <a:solidFill>
                      <a:srgbClr val="172C51"/>
                    </a:solidFill>
                    <a:latin typeface="Garamond" panose="02020404030301010803" pitchFamily="18"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Data!$B$10:$B$45</c:f>
              <c:numCache>
                <c:formatCode>General</c:formatCode>
                <c:ptCount val="3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cat>
          <c:val>
            <c:numRef>
              <c:f>Data!$T$10:$T$45</c:f>
              <c:numCache>
                <c:formatCode>_("$"* #,##0_);_("$"* \(#,##0\);_("$"* "-"??_);_(@_)</c:formatCode>
                <c:ptCount val="36"/>
                <c:pt idx="0">
                  <c:v>3683.4454637535659</c:v>
                </c:pt>
                <c:pt idx="1">
                  <c:v>3699.7948387535657</c:v>
                </c:pt>
                <c:pt idx="2">
                  <c:v>3716.7164418785665</c:v>
                </c:pt>
                <c:pt idx="3">
                  <c:v>3596.2303011129407</c:v>
                </c:pt>
                <c:pt idx="4">
                  <c:v>3614.3571454205194</c:v>
                </c:pt>
                <c:pt idx="5">
                  <c:v>3633.1184292788625</c:v>
                </c:pt>
                <c:pt idx="6">
                  <c:v>3652.5363580722478</c:v>
                </c:pt>
                <c:pt idx="7">
                  <c:v>3672.6339143734017</c:v>
                </c:pt>
                <c:pt idx="8">
                  <c:v>3693.4348851450959</c:v>
                </c:pt>
                <c:pt idx="9">
                  <c:v>3714.9638898937992</c:v>
                </c:pt>
                <c:pt idx="10">
                  <c:v>3737.2464098087075</c:v>
                </c:pt>
                <c:pt idx="11">
                  <c:v>3760.3088179206375</c:v>
                </c:pt>
                <c:pt idx="12">
                  <c:v>3784.1784103164846</c:v>
                </c:pt>
                <c:pt idx="13">
                  <c:v>3808.8834384461866</c:v>
                </c:pt>
                <c:pt idx="14">
                  <c:v>3834.4531425604287</c:v>
                </c:pt>
                <c:pt idx="15">
                  <c:v>3860.9177863186687</c:v>
                </c:pt>
                <c:pt idx="16">
                  <c:v>3888.308692608447</c:v>
                </c:pt>
                <c:pt idx="17">
                  <c:v>3916.6582806183683</c:v>
                </c:pt>
                <c:pt idx="18">
                  <c:v>3946.0001042086355</c:v>
                </c:pt>
                <c:pt idx="19">
                  <c:v>3976.3688916245633</c:v>
                </c:pt>
                <c:pt idx="20">
                  <c:v>4007.8005866000481</c:v>
                </c:pt>
                <c:pt idx="21">
                  <c:v>4040.3323908996754</c:v>
                </c:pt>
                <c:pt idx="22">
                  <c:v>4074.0028083497891</c:v>
                </c:pt>
                <c:pt idx="23">
                  <c:v>4108.8516904106564</c:v>
                </c:pt>
                <c:pt idx="24">
                  <c:v>4144.9202833436548</c:v>
                </c:pt>
                <c:pt idx="25">
                  <c:v>4182.2512770293079</c:v>
                </c:pt>
                <c:pt idx="26">
                  <c:v>4220.8888554939585</c:v>
                </c:pt>
                <c:pt idx="27">
                  <c:v>4260.8787492048723</c:v>
                </c:pt>
                <c:pt idx="28">
                  <c:v>4302.2682891956674</c:v>
                </c:pt>
                <c:pt idx="29">
                  <c:v>4345.106463086141</c:v>
                </c:pt>
                <c:pt idx="30">
                  <c:v>4389.443973062781</c:v>
                </c:pt>
                <c:pt idx="31">
                  <c:v>1357.0128321350378</c:v>
                </c:pt>
                <c:pt idx="32">
                  <c:v>1404.5082812597641</c:v>
                </c:pt>
                <c:pt idx="33">
                  <c:v>1453.6660711038555</c:v>
                </c:pt>
                <c:pt idx="34">
                  <c:v>1504.5443835924905</c:v>
                </c:pt>
                <c:pt idx="35">
                  <c:v>1557.2034370182275</c:v>
                </c:pt>
              </c:numCache>
            </c:numRef>
          </c:val>
          <c:smooth val="0"/>
          <c:extLst>
            <c:ext xmlns:c16="http://schemas.microsoft.com/office/drawing/2014/chart" uri="{C3380CC4-5D6E-409C-BE32-E72D297353CC}">
              <c16:uniqueId val="{00000001-9AC0-47CA-9F35-668479D23233}"/>
            </c:ext>
          </c:extLst>
        </c:ser>
        <c:dLbls>
          <c:dLblPos val="t"/>
          <c:showLegendKey val="0"/>
          <c:showVal val="1"/>
          <c:showCatName val="0"/>
          <c:showSerName val="0"/>
          <c:showPercent val="0"/>
          <c:showBubbleSize val="0"/>
        </c:dLbls>
        <c:smooth val="0"/>
        <c:axId val="2104521744"/>
        <c:axId val="2104523408"/>
      </c:lineChart>
      <c:catAx>
        <c:axId val="210452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Garamond" panose="02020404030301010803" pitchFamily="18" charset="0"/>
                <a:ea typeface="+mn-ea"/>
                <a:cs typeface="+mn-cs"/>
              </a:defRPr>
            </a:pPr>
            <a:endParaRPr lang="en-US"/>
          </a:p>
        </c:txPr>
        <c:crossAx val="2104523408"/>
        <c:crosses val="autoZero"/>
        <c:auto val="1"/>
        <c:lblAlgn val="ctr"/>
        <c:lblOffset val="100"/>
        <c:noMultiLvlLbl val="0"/>
      </c:catAx>
      <c:valAx>
        <c:axId val="210452340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Garamond" panose="02020404030301010803" pitchFamily="18" charset="0"/>
                <a:ea typeface="+mn-ea"/>
                <a:cs typeface="+mn-cs"/>
              </a:defRPr>
            </a:pPr>
            <a:endParaRPr lang="en-US"/>
          </a:p>
        </c:txPr>
        <c:crossAx val="2104521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gradFill>
    <a:ln w="9525" cap="flat" cmpd="sng" algn="ctr">
      <a:solidFill>
        <a:schemeClr val="tx1">
          <a:lumMod val="50000"/>
          <a:lumOff val="50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25" r="0.25"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b="1">
                <a:latin typeface="Garamond" panose="02020404030301010803" pitchFamily="18" charset="0"/>
              </a:rPr>
              <a:t>Rent vs.</a:t>
            </a:r>
            <a:r>
              <a:rPr lang="en-US" sz="2000" b="1" baseline="0">
                <a:latin typeface="Garamond" panose="02020404030301010803" pitchFamily="18" charset="0"/>
              </a:rPr>
              <a:t> Own (Cash Flow Comparison)</a:t>
            </a:r>
            <a:endParaRPr lang="en-US" sz="2000" b="1">
              <a:latin typeface="Garamond" panose="02020404030301010803" pitchFamily="18" charset="0"/>
            </a:endParaRPr>
          </a:p>
        </c:rich>
      </c:tx>
      <c:layout>
        <c:manualLayout>
          <c:xMode val="edge"/>
          <c:yMode val="edge"/>
          <c:x val="0.26641441293382595"/>
          <c:y val="3.0045990102824622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Rent</c:v>
          </c:tx>
          <c:spPr>
            <a:ln w="38100" cap="rnd">
              <a:solidFill>
                <a:srgbClr val="172C51"/>
              </a:solidFill>
              <a:round/>
            </a:ln>
            <a:effectLst/>
          </c:spPr>
          <c:marker>
            <c:symbol val="none"/>
          </c:marker>
          <c:val>
            <c:numRef>
              <c:f>Data!$K$11:$K$45</c:f>
              <c:numCache>
                <c:formatCode>_("$"* #,##0_);_("$"* \(#,##0\);_("$"* "-"??_);_(@_)</c:formatCode>
                <c:ptCount val="35"/>
                <c:pt idx="0">
                  <c:v>3014.9549999999999</c:v>
                </c:pt>
                <c:pt idx="1">
                  <c:v>3120.4784249999998</c:v>
                </c:pt>
                <c:pt idx="2">
                  <c:v>3229.6951698749999</c:v>
                </c:pt>
                <c:pt idx="3">
                  <c:v>3342.7345008206248</c:v>
                </c:pt>
                <c:pt idx="4">
                  <c:v>3459.7302083493464</c:v>
                </c:pt>
                <c:pt idx="5">
                  <c:v>3580.820765641573</c:v>
                </c:pt>
                <c:pt idx="6">
                  <c:v>3706.1494924390281</c:v>
                </c:pt>
                <c:pt idx="7">
                  <c:v>3835.8647246743935</c:v>
                </c:pt>
                <c:pt idx="8">
                  <c:v>3970.1199900379966</c:v>
                </c:pt>
                <c:pt idx="9">
                  <c:v>4109.074189689326</c:v>
                </c:pt>
                <c:pt idx="10">
                  <c:v>4252.8917863284523</c:v>
                </c:pt>
                <c:pt idx="11">
                  <c:v>4401.742998849948</c:v>
                </c:pt>
                <c:pt idx="12">
                  <c:v>4555.804003809696</c:v>
                </c:pt>
                <c:pt idx="13">
                  <c:v>4715.2571439430349</c:v>
                </c:pt>
                <c:pt idx="14">
                  <c:v>4880.2911439810405</c:v>
                </c:pt>
                <c:pt idx="15">
                  <c:v>5051.1013340203763</c:v>
                </c:pt>
                <c:pt idx="16">
                  <c:v>5227.88988071109</c:v>
                </c:pt>
                <c:pt idx="17">
                  <c:v>5410.8660265359777</c:v>
                </c:pt>
                <c:pt idx="18">
                  <c:v>5600.2463374647368</c:v>
                </c:pt>
                <c:pt idx="19">
                  <c:v>5796.2549592760015</c:v>
                </c:pt>
                <c:pt idx="20">
                  <c:v>5999.1238828506612</c:v>
                </c:pt>
                <c:pt idx="21">
                  <c:v>6209.0932187504341</c:v>
                </c:pt>
                <c:pt idx="22">
                  <c:v>6426.4114814066997</c:v>
                </c:pt>
                <c:pt idx="23">
                  <c:v>6651.3358832559343</c:v>
                </c:pt>
                <c:pt idx="24">
                  <c:v>6884.1326391698904</c:v>
                </c:pt>
                <c:pt idx="25">
                  <c:v>7125.0772815408354</c:v>
                </c:pt>
                <c:pt idx="26">
                  <c:v>7374.454986394765</c:v>
                </c:pt>
                <c:pt idx="27">
                  <c:v>7632.5609109185816</c:v>
                </c:pt>
                <c:pt idx="28">
                  <c:v>7899.7005428007315</c:v>
                </c:pt>
                <c:pt idx="29">
                  <c:v>8176.1900617987558</c:v>
                </c:pt>
                <c:pt idx="30">
                  <c:v>8462.3567139617116</c:v>
                </c:pt>
                <c:pt idx="31">
                  <c:v>8758.5391989503714</c:v>
                </c:pt>
                <c:pt idx="32">
                  <c:v>9065.0880709136345</c:v>
                </c:pt>
                <c:pt idx="33">
                  <c:v>9382.366153395611</c:v>
                </c:pt>
                <c:pt idx="34">
                  <c:v>9710.7489687644556</c:v>
                </c:pt>
              </c:numCache>
            </c:numRef>
          </c:val>
          <c:smooth val="0"/>
          <c:extLst>
            <c:ext xmlns:c16="http://schemas.microsoft.com/office/drawing/2014/chart" uri="{C3380CC4-5D6E-409C-BE32-E72D297353CC}">
              <c16:uniqueId val="{0000001C-02DF-4F91-82C9-B5B473B13176}"/>
            </c:ext>
          </c:extLst>
        </c:ser>
        <c:ser>
          <c:idx val="1"/>
          <c:order val="1"/>
          <c:tx>
            <c:v>Own</c:v>
          </c:tx>
          <c:spPr>
            <a:ln w="38100" cap="rnd">
              <a:solidFill>
                <a:srgbClr val="970A1A"/>
              </a:solidFill>
              <a:round/>
            </a:ln>
            <a:effectLst/>
          </c:spPr>
          <c:marker>
            <c:symbol val="none"/>
          </c:marker>
          <c:val>
            <c:numRef>
              <c:f>Data!$T$11:$T$45</c:f>
              <c:numCache>
                <c:formatCode>_("$"* #,##0_);_("$"* \(#,##0\);_("$"* "-"??_);_(@_)</c:formatCode>
                <c:ptCount val="35"/>
                <c:pt idx="0">
                  <c:v>3699.7948387535657</c:v>
                </c:pt>
                <c:pt idx="1">
                  <c:v>3716.7164418785665</c:v>
                </c:pt>
                <c:pt idx="2">
                  <c:v>3596.2303011129407</c:v>
                </c:pt>
                <c:pt idx="3">
                  <c:v>3614.3571454205194</c:v>
                </c:pt>
                <c:pt idx="4">
                  <c:v>3633.1184292788625</c:v>
                </c:pt>
                <c:pt idx="5">
                  <c:v>3652.5363580722478</c:v>
                </c:pt>
                <c:pt idx="6">
                  <c:v>3672.6339143734017</c:v>
                </c:pt>
                <c:pt idx="7">
                  <c:v>3693.4348851450959</c:v>
                </c:pt>
                <c:pt idx="8">
                  <c:v>3714.9638898937992</c:v>
                </c:pt>
                <c:pt idx="9">
                  <c:v>3737.2464098087075</c:v>
                </c:pt>
                <c:pt idx="10">
                  <c:v>3760.3088179206375</c:v>
                </c:pt>
                <c:pt idx="11">
                  <c:v>3784.1784103164846</c:v>
                </c:pt>
                <c:pt idx="12">
                  <c:v>3808.8834384461866</c:v>
                </c:pt>
                <c:pt idx="13">
                  <c:v>3834.4531425604287</c:v>
                </c:pt>
                <c:pt idx="14">
                  <c:v>3860.9177863186687</c:v>
                </c:pt>
                <c:pt idx="15">
                  <c:v>3888.308692608447</c:v>
                </c:pt>
                <c:pt idx="16">
                  <c:v>3916.6582806183683</c:v>
                </c:pt>
                <c:pt idx="17">
                  <c:v>3946.0001042086355</c:v>
                </c:pt>
                <c:pt idx="18">
                  <c:v>3976.3688916245633</c:v>
                </c:pt>
                <c:pt idx="19">
                  <c:v>4007.8005866000481</c:v>
                </c:pt>
                <c:pt idx="20">
                  <c:v>4040.3323908996754</c:v>
                </c:pt>
                <c:pt idx="21">
                  <c:v>4074.0028083497891</c:v>
                </c:pt>
                <c:pt idx="22">
                  <c:v>4108.8516904106564</c:v>
                </c:pt>
                <c:pt idx="23">
                  <c:v>4144.9202833436548</c:v>
                </c:pt>
                <c:pt idx="24">
                  <c:v>4182.2512770293079</c:v>
                </c:pt>
                <c:pt idx="25">
                  <c:v>4220.8888554939585</c:v>
                </c:pt>
                <c:pt idx="26">
                  <c:v>4260.8787492048723</c:v>
                </c:pt>
                <c:pt idx="27">
                  <c:v>4302.2682891956674</c:v>
                </c:pt>
                <c:pt idx="28">
                  <c:v>4345.106463086141</c:v>
                </c:pt>
                <c:pt idx="29">
                  <c:v>4389.443973062781</c:v>
                </c:pt>
                <c:pt idx="30">
                  <c:v>1357.0128321350378</c:v>
                </c:pt>
                <c:pt idx="31">
                  <c:v>1404.5082812597641</c:v>
                </c:pt>
                <c:pt idx="32">
                  <c:v>1453.6660711038555</c:v>
                </c:pt>
                <c:pt idx="33">
                  <c:v>1504.5443835924905</c:v>
                </c:pt>
                <c:pt idx="34">
                  <c:v>1557.2034370182275</c:v>
                </c:pt>
              </c:numCache>
            </c:numRef>
          </c:val>
          <c:smooth val="0"/>
          <c:extLst>
            <c:ext xmlns:c16="http://schemas.microsoft.com/office/drawing/2014/chart" uri="{C3380CC4-5D6E-409C-BE32-E72D297353CC}">
              <c16:uniqueId val="{00000039-02DF-4F91-82C9-B5B473B13176}"/>
            </c:ext>
          </c:extLst>
        </c:ser>
        <c:dLbls>
          <c:showLegendKey val="0"/>
          <c:showVal val="0"/>
          <c:showCatName val="0"/>
          <c:showSerName val="0"/>
          <c:showPercent val="0"/>
          <c:showBubbleSize val="0"/>
        </c:dLbls>
        <c:smooth val="0"/>
        <c:axId val="2104521744"/>
        <c:axId val="2104523408"/>
      </c:lineChart>
      <c:catAx>
        <c:axId val="21045217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2104523408"/>
        <c:crosses val="autoZero"/>
        <c:auto val="1"/>
        <c:lblAlgn val="ctr"/>
        <c:lblOffset val="100"/>
        <c:noMultiLvlLbl val="0"/>
      </c:catAx>
      <c:valAx>
        <c:axId val="2104523408"/>
        <c:scaling>
          <c:orientation val="minMax"/>
        </c:scaling>
        <c:delete val="1"/>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crossAx val="2104521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gradFill>
    <a:ln w="9525" cap="flat" cmpd="sng" algn="ctr">
      <a:solidFill>
        <a:schemeClr val="tx1">
          <a:lumMod val="50000"/>
          <a:lumOff val="50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25" r="0.25"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Garamond" panose="02020404030301010803" pitchFamily="18" charset="0"/>
                <a:ea typeface="+mn-ea"/>
                <a:cs typeface="+mn-cs"/>
              </a:defRPr>
            </a:pPr>
            <a:r>
              <a:rPr lang="en-US" sz="2000" b="1">
                <a:solidFill>
                  <a:sysClr val="windowText" lastClr="000000"/>
                </a:solidFill>
              </a:rPr>
              <a:t>Home Equity</a:t>
            </a:r>
          </a:p>
        </c:rich>
      </c:tx>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barChart>
        <c:barDir val="col"/>
        <c:grouping val="clustered"/>
        <c:varyColors val="0"/>
        <c:ser>
          <c:idx val="0"/>
          <c:order val="0"/>
          <c:tx>
            <c:v>Home Equity</c:v>
          </c:tx>
          <c:spPr>
            <a:solidFill>
              <a:srgbClr val="172C51"/>
            </a:solidFill>
            <a:ln w="19050">
              <a:solidFill>
                <a:srgbClr val="172C5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EA7D-4DB2-B002-89C212E0CB8F}"/>
                </c:ext>
              </c:extLst>
            </c:dLbl>
            <c:dLbl>
              <c:idx val="2"/>
              <c:delete val="1"/>
              <c:extLst>
                <c:ext xmlns:c15="http://schemas.microsoft.com/office/drawing/2012/chart" uri="{CE6537A1-D6FC-4f65-9D91-7224C49458BB}"/>
                <c:ext xmlns:c16="http://schemas.microsoft.com/office/drawing/2014/chart" uri="{C3380CC4-5D6E-409C-BE32-E72D297353CC}">
                  <c16:uniqueId val="{00000000-EA7D-4DB2-B002-89C212E0CB8F}"/>
                </c:ext>
              </c:extLst>
            </c:dLbl>
            <c:dLbl>
              <c:idx val="3"/>
              <c:delete val="1"/>
              <c:extLst>
                <c:ext xmlns:c15="http://schemas.microsoft.com/office/drawing/2012/chart" uri="{CE6537A1-D6FC-4f65-9D91-7224C49458BB}"/>
                <c:ext xmlns:c16="http://schemas.microsoft.com/office/drawing/2014/chart" uri="{C3380CC4-5D6E-409C-BE32-E72D297353CC}">
                  <c16:uniqueId val="{00000002-EA7D-4DB2-B002-89C212E0CB8F}"/>
                </c:ext>
              </c:extLst>
            </c:dLbl>
            <c:dLbl>
              <c:idx val="4"/>
              <c:delete val="1"/>
              <c:extLst>
                <c:ext xmlns:c15="http://schemas.microsoft.com/office/drawing/2012/chart" uri="{CE6537A1-D6FC-4f65-9D91-7224C49458BB}"/>
                <c:ext xmlns:c16="http://schemas.microsoft.com/office/drawing/2014/chart" uri="{C3380CC4-5D6E-409C-BE32-E72D297353CC}">
                  <c16:uniqueId val="{00000021-EA7D-4DB2-B002-89C212E0CB8F}"/>
                </c:ext>
              </c:extLst>
            </c:dLbl>
            <c:dLbl>
              <c:idx val="5"/>
              <c:layout>
                <c:manualLayout>
                  <c:x val="-3.1190901393374563E-17"/>
                  <c:y val="-1.59064331001099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7D-4DB2-B002-89C212E0CB8F}"/>
                </c:ext>
              </c:extLst>
            </c:dLbl>
            <c:dLbl>
              <c:idx val="6"/>
              <c:delete val="1"/>
              <c:extLst>
                <c:ext xmlns:c15="http://schemas.microsoft.com/office/drawing/2012/chart" uri="{CE6537A1-D6FC-4f65-9D91-7224C49458BB}"/>
                <c:ext xmlns:c16="http://schemas.microsoft.com/office/drawing/2014/chart" uri="{C3380CC4-5D6E-409C-BE32-E72D297353CC}">
                  <c16:uniqueId val="{00000004-EA7D-4DB2-B002-89C212E0CB8F}"/>
                </c:ext>
              </c:extLst>
            </c:dLbl>
            <c:dLbl>
              <c:idx val="7"/>
              <c:delete val="1"/>
              <c:extLst>
                <c:ext xmlns:c15="http://schemas.microsoft.com/office/drawing/2012/chart" uri="{CE6537A1-D6FC-4f65-9D91-7224C49458BB}"/>
                <c:ext xmlns:c16="http://schemas.microsoft.com/office/drawing/2014/chart" uri="{C3380CC4-5D6E-409C-BE32-E72D297353CC}">
                  <c16:uniqueId val="{00000005-EA7D-4DB2-B002-89C212E0CB8F}"/>
                </c:ext>
              </c:extLst>
            </c:dLbl>
            <c:dLbl>
              <c:idx val="8"/>
              <c:delete val="1"/>
              <c:extLst>
                <c:ext xmlns:c15="http://schemas.microsoft.com/office/drawing/2012/chart" uri="{CE6537A1-D6FC-4f65-9D91-7224C49458BB}"/>
                <c:ext xmlns:c16="http://schemas.microsoft.com/office/drawing/2014/chart" uri="{C3380CC4-5D6E-409C-BE32-E72D297353CC}">
                  <c16:uniqueId val="{00000006-EA7D-4DB2-B002-89C212E0CB8F}"/>
                </c:ext>
              </c:extLst>
            </c:dLbl>
            <c:dLbl>
              <c:idx val="9"/>
              <c:delete val="1"/>
              <c:extLst>
                <c:ext xmlns:c15="http://schemas.microsoft.com/office/drawing/2012/chart" uri="{CE6537A1-D6FC-4f65-9D91-7224C49458BB}"/>
                <c:ext xmlns:c16="http://schemas.microsoft.com/office/drawing/2014/chart" uri="{C3380CC4-5D6E-409C-BE32-E72D297353CC}">
                  <c16:uniqueId val="{00000020-EA7D-4DB2-B002-89C212E0CB8F}"/>
                </c:ext>
              </c:extLst>
            </c:dLbl>
            <c:dLbl>
              <c:idx val="10"/>
              <c:layout>
                <c:manualLayout>
                  <c:x val="-6.2381802786749125E-17"/>
                  <c:y val="-2.06783630301429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7D-4DB2-B002-89C212E0CB8F}"/>
                </c:ext>
              </c:extLst>
            </c:dLbl>
            <c:dLbl>
              <c:idx val="11"/>
              <c:delete val="1"/>
              <c:extLst>
                <c:ext xmlns:c15="http://schemas.microsoft.com/office/drawing/2012/chart" uri="{CE6537A1-D6FC-4f65-9D91-7224C49458BB}"/>
                <c:ext xmlns:c16="http://schemas.microsoft.com/office/drawing/2014/chart" uri="{C3380CC4-5D6E-409C-BE32-E72D297353CC}">
                  <c16:uniqueId val="{00000007-EA7D-4DB2-B002-89C212E0CB8F}"/>
                </c:ext>
              </c:extLst>
            </c:dLbl>
            <c:dLbl>
              <c:idx val="12"/>
              <c:delete val="1"/>
              <c:extLst>
                <c:ext xmlns:c15="http://schemas.microsoft.com/office/drawing/2012/chart" uri="{CE6537A1-D6FC-4f65-9D91-7224C49458BB}"/>
                <c:ext xmlns:c16="http://schemas.microsoft.com/office/drawing/2014/chart" uri="{C3380CC4-5D6E-409C-BE32-E72D297353CC}">
                  <c16:uniqueId val="{00000009-EA7D-4DB2-B002-89C212E0CB8F}"/>
                </c:ext>
              </c:extLst>
            </c:dLbl>
            <c:dLbl>
              <c:idx val="13"/>
              <c:delete val="1"/>
              <c:extLst>
                <c:ext xmlns:c15="http://schemas.microsoft.com/office/drawing/2012/chart" uri="{CE6537A1-D6FC-4f65-9D91-7224C49458BB}"/>
                <c:ext xmlns:c16="http://schemas.microsoft.com/office/drawing/2014/chart" uri="{C3380CC4-5D6E-409C-BE32-E72D297353CC}">
                  <c16:uniqueId val="{0000000A-EA7D-4DB2-B002-89C212E0CB8F}"/>
                </c:ext>
              </c:extLst>
            </c:dLbl>
            <c:dLbl>
              <c:idx val="14"/>
              <c:delete val="1"/>
              <c:extLst>
                <c:ext xmlns:c15="http://schemas.microsoft.com/office/drawing/2012/chart" uri="{CE6537A1-D6FC-4f65-9D91-7224C49458BB}"/>
                <c:ext xmlns:c16="http://schemas.microsoft.com/office/drawing/2014/chart" uri="{C3380CC4-5D6E-409C-BE32-E72D297353CC}">
                  <c16:uniqueId val="{0000001F-EA7D-4DB2-B002-89C212E0CB8F}"/>
                </c:ext>
              </c:extLst>
            </c:dLbl>
            <c:dLbl>
              <c:idx val="15"/>
              <c:layout>
                <c:manualLayout>
                  <c:x val="0"/>
                  <c:y val="-2.22690063401539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A7D-4DB2-B002-89C212E0CB8F}"/>
                </c:ext>
              </c:extLst>
            </c:dLbl>
            <c:dLbl>
              <c:idx val="16"/>
              <c:delete val="1"/>
              <c:extLst>
                <c:ext xmlns:c15="http://schemas.microsoft.com/office/drawing/2012/chart" uri="{CE6537A1-D6FC-4f65-9D91-7224C49458BB}"/>
                <c:ext xmlns:c16="http://schemas.microsoft.com/office/drawing/2014/chart" uri="{C3380CC4-5D6E-409C-BE32-E72D297353CC}">
                  <c16:uniqueId val="{0000000C-EA7D-4DB2-B002-89C212E0CB8F}"/>
                </c:ext>
              </c:extLst>
            </c:dLbl>
            <c:dLbl>
              <c:idx val="17"/>
              <c:delete val="1"/>
              <c:extLst>
                <c:ext xmlns:c15="http://schemas.microsoft.com/office/drawing/2012/chart" uri="{CE6537A1-D6FC-4f65-9D91-7224C49458BB}"/>
                <c:ext xmlns:c16="http://schemas.microsoft.com/office/drawing/2014/chart" uri="{C3380CC4-5D6E-409C-BE32-E72D297353CC}">
                  <c16:uniqueId val="{0000000D-EA7D-4DB2-B002-89C212E0CB8F}"/>
                </c:ext>
              </c:extLst>
            </c:dLbl>
            <c:dLbl>
              <c:idx val="18"/>
              <c:delete val="1"/>
              <c:extLst>
                <c:ext xmlns:c15="http://schemas.microsoft.com/office/drawing/2012/chart" uri="{CE6537A1-D6FC-4f65-9D91-7224C49458BB}"/>
                <c:ext xmlns:c16="http://schemas.microsoft.com/office/drawing/2014/chart" uri="{C3380CC4-5D6E-409C-BE32-E72D297353CC}">
                  <c16:uniqueId val="{0000000E-EA7D-4DB2-B002-89C212E0CB8F}"/>
                </c:ext>
              </c:extLst>
            </c:dLbl>
            <c:dLbl>
              <c:idx val="19"/>
              <c:delete val="1"/>
              <c:extLst>
                <c:ext xmlns:c15="http://schemas.microsoft.com/office/drawing/2012/chart" uri="{CE6537A1-D6FC-4f65-9D91-7224C49458BB}"/>
                <c:ext xmlns:c16="http://schemas.microsoft.com/office/drawing/2014/chart" uri="{C3380CC4-5D6E-409C-BE32-E72D297353CC}">
                  <c16:uniqueId val="{0000001E-EA7D-4DB2-B002-89C212E0CB8F}"/>
                </c:ext>
              </c:extLst>
            </c:dLbl>
            <c:dLbl>
              <c:idx val="20"/>
              <c:layout>
                <c:manualLayout>
                  <c:x val="-6.2381802786749125E-17"/>
                  <c:y val="-2.38596496501649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A7D-4DB2-B002-89C212E0CB8F}"/>
                </c:ext>
              </c:extLst>
            </c:dLbl>
            <c:dLbl>
              <c:idx val="21"/>
              <c:delete val="1"/>
              <c:extLst>
                <c:ext xmlns:c15="http://schemas.microsoft.com/office/drawing/2012/chart" uri="{CE6537A1-D6FC-4f65-9D91-7224C49458BB}"/>
                <c:ext xmlns:c16="http://schemas.microsoft.com/office/drawing/2014/chart" uri="{C3380CC4-5D6E-409C-BE32-E72D297353CC}">
                  <c16:uniqueId val="{00000010-EA7D-4DB2-B002-89C212E0CB8F}"/>
                </c:ext>
              </c:extLst>
            </c:dLbl>
            <c:dLbl>
              <c:idx val="22"/>
              <c:delete val="1"/>
              <c:extLst>
                <c:ext xmlns:c15="http://schemas.microsoft.com/office/drawing/2012/chart" uri="{CE6537A1-D6FC-4f65-9D91-7224C49458BB}"/>
                <c:ext xmlns:c16="http://schemas.microsoft.com/office/drawing/2014/chart" uri="{C3380CC4-5D6E-409C-BE32-E72D297353CC}">
                  <c16:uniqueId val="{00000011-EA7D-4DB2-B002-89C212E0CB8F}"/>
                </c:ext>
              </c:extLst>
            </c:dLbl>
            <c:dLbl>
              <c:idx val="23"/>
              <c:delete val="1"/>
              <c:extLst>
                <c:ext xmlns:c15="http://schemas.microsoft.com/office/drawing/2012/chart" uri="{CE6537A1-D6FC-4f65-9D91-7224C49458BB}"/>
                <c:ext xmlns:c16="http://schemas.microsoft.com/office/drawing/2014/chart" uri="{C3380CC4-5D6E-409C-BE32-E72D297353CC}">
                  <c16:uniqueId val="{00000012-EA7D-4DB2-B002-89C212E0CB8F}"/>
                </c:ext>
              </c:extLst>
            </c:dLbl>
            <c:dLbl>
              <c:idx val="24"/>
              <c:delete val="1"/>
              <c:extLst>
                <c:ext xmlns:c15="http://schemas.microsoft.com/office/drawing/2012/chart" uri="{CE6537A1-D6FC-4f65-9D91-7224C49458BB}"/>
                <c:ext xmlns:c16="http://schemas.microsoft.com/office/drawing/2014/chart" uri="{C3380CC4-5D6E-409C-BE32-E72D297353CC}">
                  <c16:uniqueId val="{0000001B-EA7D-4DB2-B002-89C212E0CB8F}"/>
                </c:ext>
              </c:extLst>
            </c:dLbl>
            <c:dLbl>
              <c:idx val="25"/>
              <c:layout>
                <c:manualLayout>
                  <c:x val="-8.5067077399988414E-4"/>
                  <c:y val="-3.18128662002199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A7D-4DB2-B002-89C212E0CB8F}"/>
                </c:ext>
              </c:extLst>
            </c:dLbl>
            <c:dLbl>
              <c:idx val="26"/>
              <c:delete val="1"/>
              <c:extLst>
                <c:ext xmlns:c15="http://schemas.microsoft.com/office/drawing/2012/chart" uri="{CE6537A1-D6FC-4f65-9D91-7224C49458BB}"/>
                <c:ext xmlns:c16="http://schemas.microsoft.com/office/drawing/2014/chart" uri="{C3380CC4-5D6E-409C-BE32-E72D297353CC}">
                  <c16:uniqueId val="{00000014-EA7D-4DB2-B002-89C212E0CB8F}"/>
                </c:ext>
              </c:extLst>
            </c:dLbl>
            <c:dLbl>
              <c:idx val="27"/>
              <c:delete val="1"/>
              <c:extLst>
                <c:ext xmlns:c15="http://schemas.microsoft.com/office/drawing/2012/chart" uri="{CE6537A1-D6FC-4f65-9D91-7224C49458BB}"/>
                <c:ext xmlns:c16="http://schemas.microsoft.com/office/drawing/2014/chart" uri="{C3380CC4-5D6E-409C-BE32-E72D297353CC}">
                  <c16:uniqueId val="{00000015-EA7D-4DB2-B002-89C212E0CB8F}"/>
                </c:ext>
              </c:extLst>
            </c:dLbl>
            <c:dLbl>
              <c:idx val="28"/>
              <c:delete val="1"/>
              <c:extLst>
                <c:ext xmlns:c15="http://schemas.microsoft.com/office/drawing/2012/chart" uri="{CE6537A1-D6FC-4f65-9D91-7224C49458BB}"/>
                <c:ext xmlns:c16="http://schemas.microsoft.com/office/drawing/2014/chart" uri="{C3380CC4-5D6E-409C-BE32-E72D297353CC}">
                  <c16:uniqueId val="{00000016-EA7D-4DB2-B002-89C212E0CB8F}"/>
                </c:ext>
              </c:extLst>
            </c:dLbl>
            <c:dLbl>
              <c:idx val="29"/>
              <c:delete val="1"/>
              <c:extLst>
                <c:ext xmlns:c15="http://schemas.microsoft.com/office/drawing/2012/chart" uri="{CE6537A1-D6FC-4f65-9D91-7224C49458BB}"/>
                <c:ext xmlns:c16="http://schemas.microsoft.com/office/drawing/2014/chart" uri="{C3380CC4-5D6E-409C-BE32-E72D297353CC}">
                  <c16:uniqueId val="{0000001C-EA7D-4DB2-B002-89C212E0CB8F}"/>
                </c:ext>
              </c:extLst>
            </c:dLbl>
            <c:dLbl>
              <c:idx val="30"/>
              <c:layout>
                <c:manualLayout>
                  <c:x val="0"/>
                  <c:y val="-3.1812866200219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A7D-4DB2-B002-89C212E0CB8F}"/>
                </c:ext>
              </c:extLst>
            </c:dLbl>
            <c:dLbl>
              <c:idx val="31"/>
              <c:delete val="1"/>
              <c:extLst>
                <c:ext xmlns:c15="http://schemas.microsoft.com/office/drawing/2012/chart" uri="{CE6537A1-D6FC-4f65-9D91-7224C49458BB}"/>
                <c:ext xmlns:c16="http://schemas.microsoft.com/office/drawing/2014/chart" uri="{C3380CC4-5D6E-409C-BE32-E72D297353CC}">
                  <c16:uniqueId val="{00000018-EA7D-4DB2-B002-89C212E0CB8F}"/>
                </c:ext>
              </c:extLst>
            </c:dLbl>
            <c:dLbl>
              <c:idx val="32"/>
              <c:delete val="1"/>
              <c:extLst>
                <c:ext xmlns:c15="http://schemas.microsoft.com/office/drawing/2012/chart" uri="{CE6537A1-D6FC-4f65-9D91-7224C49458BB}"/>
                <c:ext xmlns:c16="http://schemas.microsoft.com/office/drawing/2014/chart" uri="{C3380CC4-5D6E-409C-BE32-E72D297353CC}">
                  <c16:uniqueId val="{00000019-EA7D-4DB2-B002-89C212E0CB8F}"/>
                </c:ext>
              </c:extLst>
            </c:dLbl>
            <c:dLbl>
              <c:idx val="33"/>
              <c:delete val="1"/>
              <c:extLst>
                <c:ext xmlns:c15="http://schemas.microsoft.com/office/drawing/2012/chart" uri="{CE6537A1-D6FC-4f65-9D91-7224C49458BB}"/>
                <c:ext xmlns:c16="http://schemas.microsoft.com/office/drawing/2014/chart" uri="{C3380CC4-5D6E-409C-BE32-E72D297353CC}">
                  <c16:uniqueId val="{0000001A-EA7D-4DB2-B002-89C212E0CB8F}"/>
                </c:ext>
              </c:extLst>
            </c:dLbl>
            <c:dLbl>
              <c:idx val="34"/>
              <c:delete val="1"/>
              <c:extLst>
                <c:ext xmlns:c15="http://schemas.microsoft.com/office/drawing/2012/chart" uri="{CE6537A1-D6FC-4f65-9D91-7224C49458BB}"/>
                <c:ext xmlns:c16="http://schemas.microsoft.com/office/drawing/2014/chart" uri="{C3380CC4-5D6E-409C-BE32-E72D297353CC}">
                  <c16:uniqueId val="{0000001D-EA7D-4DB2-B002-89C212E0CB8F}"/>
                </c:ext>
              </c:extLst>
            </c:dLbl>
            <c:dLbl>
              <c:idx val="35"/>
              <c:layout>
                <c:manualLayout>
                  <c:x val="0"/>
                  <c:y val="-1.11345031700769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2-442D-B24D-29553101C605}"/>
                </c:ext>
              </c:extLst>
            </c:dLbl>
            <c:spPr>
              <a:solidFill>
                <a:schemeClr val="bg1">
                  <a:lumMod val="95000"/>
                </a:schemeClr>
              </a:solidFill>
              <a:ln>
                <a:solidFill>
                  <a:srgbClr val="172C51"/>
                </a:solidFill>
              </a:ln>
              <a:effectLst/>
            </c:spPr>
            <c:txPr>
              <a:bodyPr rot="0" spcFirstLastPara="1" vertOverflow="clip" horzOverflow="clip" vert="horz" wrap="square" lIns="36576" tIns="18288" rIns="36576" bIns="18288" anchor="ctr" anchorCtr="1">
                <a:spAutoFit/>
              </a:bodyPr>
              <a:lstStyle/>
              <a:p>
                <a:pPr>
                  <a:defRPr sz="1200" b="1" i="0" u="none" strike="noStrike" kern="1200" baseline="0">
                    <a:solidFill>
                      <a:srgbClr val="172C51"/>
                    </a:solidFill>
                    <a:latin typeface="Garamond" panose="02020404030301010803" pitchFamily="18"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val>
            <c:numRef>
              <c:f>Data!$AB$10:$AB$45</c:f>
              <c:numCache>
                <c:formatCode>_("$"* #,##0_);_("$"* \(#,##0\);_("$"* "-"??_);_(@_)</c:formatCode>
                <c:ptCount val="36"/>
                <c:pt idx="0">
                  <c:v>23750</c:v>
                </c:pt>
                <c:pt idx="1">
                  <c:v>49492.453537762223</c:v>
                </c:pt>
                <c:pt idx="2">
                  <c:v>76524.158956781845</c:v>
                </c:pt>
                <c:pt idx="3">
                  <c:v>104912.94024569308</c:v>
                </c:pt>
                <c:pt idx="4">
                  <c:v>134730.40863766242</c:v>
                </c:pt>
                <c:pt idx="5">
                  <c:v>166052.18814311281</c:v>
                </c:pt>
                <c:pt idx="6">
                  <c:v>198958.15536212607</c:v>
                </c:pt>
                <c:pt idx="7">
                  <c:v>233532.69452873967</c:v>
                </c:pt>
                <c:pt idx="8">
                  <c:v>269864.96880541462</c:v>
                </c:pt>
                <c:pt idx="9">
                  <c:v>308049.20891671919</c:v>
                </c:pt>
                <c:pt idx="10">
                  <c:v>348185.02028710267</c:v>
                </c:pt>
                <c:pt idx="11">
                  <c:v>390377.70992888254</c:v>
                </c:pt>
                <c:pt idx="12">
                  <c:v>434738.63441363082</c:v>
                </c:pt>
                <c:pt idx="13">
                  <c:v>481385.57035345666</c:v>
                </c:pt>
                <c:pt idx="14">
                  <c:v>530443.10891868325</c:v>
                </c:pt>
                <c:pt idx="15">
                  <c:v>582043.07602560439</c:v>
                </c:pt>
                <c:pt idx="16">
                  <c:v>636324.97994290316</c:v>
                </c:pt>
                <c:pt idx="17">
                  <c:v>693436.48818848422</c:v>
                </c:pt>
                <c:pt idx="18">
                  <c:v>753533.93572051509</c:v>
                </c:pt>
                <c:pt idx="19">
                  <c:v>816782.86656804534</c:v>
                </c:pt>
                <c:pt idx="20">
                  <c:v>883358.6111983672</c:v>
                </c:pt>
                <c:pt idx="21">
                  <c:v>953446.90208105033</c:v>
                </c:pt>
                <c:pt idx="22">
                  <c:v>1027244.5300831242</c:v>
                </c:pt>
                <c:pt idx="23">
                  <c:v>1104960.0445170745</c:v>
                </c:pt>
                <c:pt idx="24">
                  <c:v>1186814.4998640651</c:v>
                </c:pt>
                <c:pt idx="25">
                  <c:v>1273042.2524101178</c:v>
                </c:pt>
                <c:pt idx="26">
                  <c:v>1363891.8102639373</c:v>
                </c:pt>
                <c:pt idx="27">
                  <c:v>1459626.7404727973</c:v>
                </c:pt>
                <c:pt idx="28">
                  <c:v>1560526.6372186579</c:v>
                </c:pt>
                <c:pt idx="29">
                  <c:v>1666888.155361787</c:v>
                </c:pt>
                <c:pt idx="30">
                  <c:v>1779026.1139050077</c:v>
                </c:pt>
                <c:pt idx="31">
                  <c:v>1859082.2890307342</c:v>
                </c:pt>
                <c:pt idx="32">
                  <c:v>1942740.992037117</c:v>
                </c:pt>
                <c:pt idx="33">
                  <c:v>2030164.3366787871</c:v>
                </c:pt>
                <c:pt idx="34">
                  <c:v>2121521.7318293322</c:v>
                </c:pt>
                <c:pt idx="35">
                  <c:v>2216990.2097616522</c:v>
                </c:pt>
              </c:numCache>
            </c:numRef>
          </c:val>
          <c:extLst>
            <c:ext xmlns:c16="http://schemas.microsoft.com/office/drawing/2014/chart" uri="{C3380CC4-5D6E-409C-BE32-E72D297353CC}">
              <c16:uniqueId val="{00000000-DF99-46A7-8B30-A25A4722A625}"/>
            </c:ext>
          </c:extLst>
        </c:ser>
        <c:dLbls>
          <c:dLblPos val="outEnd"/>
          <c:showLegendKey val="0"/>
          <c:showVal val="1"/>
          <c:showCatName val="0"/>
          <c:showSerName val="0"/>
          <c:showPercent val="0"/>
          <c:showBubbleSize val="0"/>
        </c:dLbls>
        <c:gapWidth val="219"/>
        <c:axId val="1404453696"/>
        <c:axId val="1447984544"/>
      </c:barChart>
      <c:catAx>
        <c:axId val="140445369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Garamond" panose="02020404030301010803" pitchFamily="18" charset="0"/>
                <a:ea typeface="+mn-ea"/>
                <a:cs typeface="+mn-cs"/>
              </a:defRPr>
            </a:pPr>
            <a:endParaRPr lang="en-US"/>
          </a:p>
        </c:txPr>
        <c:crossAx val="1447984544"/>
        <c:crosses val="autoZero"/>
        <c:auto val="1"/>
        <c:lblAlgn val="ctr"/>
        <c:lblOffset val="100"/>
        <c:noMultiLvlLbl val="0"/>
      </c:catAx>
      <c:valAx>
        <c:axId val="144798454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Garamond" panose="02020404030301010803" pitchFamily="18" charset="0"/>
                <a:ea typeface="+mn-ea"/>
                <a:cs typeface="+mn-cs"/>
              </a:defRPr>
            </a:pPr>
            <a:endParaRPr lang="en-US"/>
          </a:p>
        </c:txPr>
        <c:crossAx val="1404453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gradFill>
    <a:ln w="9525" cap="flat" cmpd="sng" algn="ctr">
      <a:solidFill>
        <a:schemeClr val="tx1">
          <a:lumMod val="50000"/>
          <a:lumOff val="50000"/>
        </a:schemeClr>
      </a:solidFill>
      <a:round/>
    </a:ln>
    <a:effectLst>
      <a:outerShdw blurRad="50800" dist="38100" dir="2700000" algn="tl" rotWithShape="0">
        <a:prstClr val="black">
          <a:alpha val="40000"/>
        </a:prstClr>
      </a:outerShdw>
    </a:effectLst>
  </c:spPr>
  <c:txPr>
    <a:bodyPr/>
    <a:lstStyle/>
    <a:p>
      <a:pPr>
        <a:defRPr sz="1100">
          <a:latin typeface="Garamond" panose="02020404030301010803" pitchFamily="18" charset="0"/>
        </a:defRPr>
      </a:pPr>
      <a:endParaRPr lang="en-US"/>
    </a:p>
  </c:txPr>
  <c:printSettings>
    <c:headerFooter/>
    <c:pageMargins b="0.75" l="0.25" r="0.25"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Garamond" panose="02020404030301010803" pitchFamily="18" charset="0"/>
                <a:ea typeface="+mn-ea"/>
                <a:cs typeface="+mn-cs"/>
              </a:defRPr>
            </a:pPr>
            <a:r>
              <a:rPr lang="en-US" sz="2000" b="1">
                <a:latin typeface="Garamond" panose="02020404030301010803" pitchFamily="18" charset="0"/>
              </a:rPr>
              <a:t>Home</a:t>
            </a:r>
            <a:r>
              <a:rPr lang="en-US" sz="2000" b="1" baseline="0">
                <a:latin typeface="Garamond" panose="02020404030301010803" pitchFamily="18" charset="0"/>
              </a:rPr>
              <a:t> &amp; Loan Values</a:t>
            </a:r>
          </a:p>
        </c:rich>
      </c:tx>
      <c:overlay val="0"/>
      <c:spPr>
        <a:noFill/>
        <a:ln>
          <a:noFill/>
        </a:ln>
        <a:effectLst/>
      </c:spPr>
    </c:title>
    <c:autoTitleDeleted val="0"/>
    <c:plotArea>
      <c:layout/>
      <c:lineChart>
        <c:grouping val="standard"/>
        <c:varyColors val="0"/>
        <c:ser>
          <c:idx val="0"/>
          <c:order val="0"/>
          <c:tx>
            <c:strRef>
              <c:f>Dashboard!$B$40:$C$40</c:f>
              <c:strCache>
                <c:ptCount val="1"/>
                <c:pt idx="0">
                  <c:v>Annual Home Appreciation 4.5%</c:v>
                </c:pt>
              </c:strCache>
            </c:strRef>
          </c:tx>
          <c:spPr>
            <a:ln w="28575" cap="rnd">
              <a:solidFill>
                <a:srgbClr val="800080"/>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1-86A0-4E14-BC70-4C4093A23F11}"/>
                </c:ext>
              </c:extLst>
            </c:dLbl>
            <c:dLbl>
              <c:idx val="2"/>
              <c:delete val="1"/>
              <c:extLst>
                <c:ext xmlns:c15="http://schemas.microsoft.com/office/drawing/2012/chart" uri="{CE6537A1-D6FC-4f65-9D91-7224C49458BB}"/>
                <c:ext xmlns:c16="http://schemas.microsoft.com/office/drawing/2014/chart" uri="{C3380CC4-5D6E-409C-BE32-E72D297353CC}">
                  <c16:uniqueId val="{00000000-86A0-4E14-BC70-4C4093A23F11}"/>
                </c:ext>
              </c:extLst>
            </c:dLbl>
            <c:dLbl>
              <c:idx val="3"/>
              <c:delete val="1"/>
              <c:extLst>
                <c:ext xmlns:c15="http://schemas.microsoft.com/office/drawing/2012/chart" uri="{CE6537A1-D6FC-4f65-9D91-7224C49458BB}"/>
                <c:ext xmlns:c16="http://schemas.microsoft.com/office/drawing/2014/chart" uri="{C3380CC4-5D6E-409C-BE32-E72D297353CC}">
                  <c16:uniqueId val="{00000002-86A0-4E14-BC70-4C4093A23F11}"/>
                </c:ext>
              </c:extLst>
            </c:dLbl>
            <c:dLbl>
              <c:idx val="4"/>
              <c:delete val="1"/>
              <c:extLst>
                <c:ext xmlns:c15="http://schemas.microsoft.com/office/drawing/2012/chart" uri="{CE6537A1-D6FC-4f65-9D91-7224C49458BB}"/>
                <c:ext xmlns:c16="http://schemas.microsoft.com/office/drawing/2014/chart" uri="{C3380CC4-5D6E-409C-BE32-E72D297353CC}">
                  <c16:uniqueId val="{00000000-C376-4981-A918-ED4446127F91}"/>
                </c:ext>
              </c:extLst>
            </c:dLbl>
            <c:dLbl>
              <c:idx val="6"/>
              <c:delete val="1"/>
              <c:extLst>
                <c:ext xmlns:c15="http://schemas.microsoft.com/office/drawing/2012/chart" uri="{CE6537A1-D6FC-4f65-9D91-7224C49458BB}"/>
                <c:ext xmlns:c16="http://schemas.microsoft.com/office/drawing/2014/chart" uri="{C3380CC4-5D6E-409C-BE32-E72D297353CC}">
                  <c16:uniqueId val="{00000003-86A0-4E14-BC70-4C4093A23F11}"/>
                </c:ext>
              </c:extLst>
            </c:dLbl>
            <c:dLbl>
              <c:idx val="7"/>
              <c:delete val="1"/>
              <c:extLst>
                <c:ext xmlns:c15="http://schemas.microsoft.com/office/drawing/2012/chart" uri="{CE6537A1-D6FC-4f65-9D91-7224C49458BB}"/>
                <c:ext xmlns:c16="http://schemas.microsoft.com/office/drawing/2014/chart" uri="{C3380CC4-5D6E-409C-BE32-E72D297353CC}">
                  <c16:uniqueId val="{00000005-86A0-4E14-BC70-4C4093A23F11}"/>
                </c:ext>
              </c:extLst>
            </c:dLbl>
            <c:dLbl>
              <c:idx val="8"/>
              <c:delete val="1"/>
              <c:extLst>
                <c:ext xmlns:c15="http://schemas.microsoft.com/office/drawing/2012/chart" uri="{CE6537A1-D6FC-4f65-9D91-7224C49458BB}"/>
                <c:ext xmlns:c16="http://schemas.microsoft.com/office/drawing/2014/chart" uri="{C3380CC4-5D6E-409C-BE32-E72D297353CC}">
                  <c16:uniqueId val="{00000006-86A0-4E14-BC70-4C4093A23F11}"/>
                </c:ext>
              </c:extLst>
            </c:dLbl>
            <c:dLbl>
              <c:idx val="9"/>
              <c:delete val="1"/>
              <c:extLst>
                <c:ext xmlns:c15="http://schemas.microsoft.com/office/drawing/2012/chart" uri="{CE6537A1-D6FC-4f65-9D91-7224C49458BB}"/>
                <c:ext xmlns:c16="http://schemas.microsoft.com/office/drawing/2014/chart" uri="{C3380CC4-5D6E-409C-BE32-E72D297353CC}">
                  <c16:uniqueId val="{00000001-C376-4981-A918-ED4446127F91}"/>
                </c:ext>
              </c:extLst>
            </c:dLbl>
            <c:dLbl>
              <c:idx val="11"/>
              <c:delete val="1"/>
              <c:extLst>
                <c:ext xmlns:c15="http://schemas.microsoft.com/office/drawing/2012/chart" uri="{CE6537A1-D6FC-4f65-9D91-7224C49458BB}"/>
                <c:ext xmlns:c16="http://schemas.microsoft.com/office/drawing/2014/chart" uri="{C3380CC4-5D6E-409C-BE32-E72D297353CC}">
                  <c16:uniqueId val="{00000007-86A0-4E14-BC70-4C4093A23F11}"/>
                </c:ext>
              </c:extLst>
            </c:dLbl>
            <c:dLbl>
              <c:idx val="12"/>
              <c:delete val="1"/>
              <c:extLst>
                <c:ext xmlns:c15="http://schemas.microsoft.com/office/drawing/2012/chart" uri="{CE6537A1-D6FC-4f65-9D91-7224C49458BB}"/>
                <c:ext xmlns:c16="http://schemas.microsoft.com/office/drawing/2014/chart" uri="{C3380CC4-5D6E-409C-BE32-E72D297353CC}">
                  <c16:uniqueId val="{00000009-86A0-4E14-BC70-4C4093A23F11}"/>
                </c:ext>
              </c:extLst>
            </c:dLbl>
            <c:dLbl>
              <c:idx val="13"/>
              <c:delete val="1"/>
              <c:extLst>
                <c:ext xmlns:c15="http://schemas.microsoft.com/office/drawing/2012/chart" uri="{CE6537A1-D6FC-4f65-9D91-7224C49458BB}"/>
                <c:ext xmlns:c16="http://schemas.microsoft.com/office/drawing/2014/chart" uri="{C3380CC4-5D6E-409C-BE32-E72D297353CC}">
                  <c16:uniqueId val="{0000000A-86A0-4E14-BC70-4C4093A23F11}"/>
                </c:ext>
              </c:extLst>
            </c:dLbl>
            <c:dLbl>
              <c:idx val="14"/>
              <c:delete val="1"/>
              <c:extLst>
                <c:ext xmlns:c15="http://schemas.microsoft.com/office/drawing/2012/chart" uri="{CE6537A1-D6FC-4f65-9D91-7224C49458BB}"/>
                <c:ext xmlns:c16="http://schemas.microsoft.com/office/drawing/2014/chart" uri="{C3380CC4-5D6E-409C-BE32-E72D297353CC}">
                  <c16:uniqueId val="{00000002-C376-4981-A918-ED4446127F91}"/>
                </c:ext>
              </c:extLst>
            </c:dLbl>
            <c:dLbl>
              <c:idx val="16"/>
              <c:delete val="1"/>
              <c:extLst>
                <c:ext xmlns:c15="http://schemas.microsoft.com/office/drawing/2012/chart" uri="{CE6537A1-D6FC-4f65-9D91-7224C49458BB}"/>
                <c:ext xmlns:c16="http://schemas.microsoft.com/office/drawing/2014/chart" uri="{C3380CC4-5D6E-409C-BE32-E72D297353CC}">
                  <c16:uniqueId val="{0000000B-86A0-4E14-BC70-4C4093A23F11}"/>
                </c:ext>
              </c:extLst>
            </c:dLbl>
            <c:dLbl>
              <c:idx val="17"/>
              <c:delete val="1"/>
              <c:extLst>
                <c:ext xmlns:c15="http://schemas.microsoft.com/office/drawing/2012/chart" uri="{CE6537A1-D6FC-4f65-9D91-7224C49458BB}"/>
                <c:ext xmlns:c16="http://schemas.microsoft.com/office/drawing/2014/chart" uri="{C3380CC4-5D6E-409C-BE32-E72D297353CC}">
                  <c16:uniqueId val="{0000000D-86A0-4E14-BC70-4C4093A23F11}"/>
                </c:ext>
              </c:extLst>
            </c:dLbl>
            <c:dLbl>
              <c:idx val="18"/>
              <c:delete val="1"/>
              <c:extLst>
                <c:ext xmlns:c15="http://schemas.microsoft.com/office/drawing/2012/chart" uri="{CE6537A1-D6FC-4f65-9D91-7224C49458BB}"/>
                <c:ext xmlns:c16="http://schemas.microsoft.com/office/drawing/2014/chart" uri="{C3380CC4-5D6E-409C-BE32-E72D297353CC}">
                  <c16:uniqueId val="{0000000E-86A0-4E14-BC70-4C4093A23F11}"/>
                </c:ext>
              </c:extLst>
            </c:dLbl>
            <c:dLbl>
              <c:idx val="19"/>
              <c:delete val="1"/>
              <c:extLst>
                <c:ext xmlns:c15="http://schemas.microsoft.com/office/drawing/2012/chart" uri="{CE6537A1-D6FC-4f65-9D91-7224C49458BB}"/>
                <c:ext xmlns:c16="http://schemas.microsoft.com/office/drawing/2014/chart" uri="{C3380CC4-5D6E-409C-BE32-E72D297353CC}">
                  <c16:uniqueId val="{00000003-C376-4981-A918-ED4446127F91}"/>
                </c:ext>
              </c:extLst>
            </c:dLbl>
            <c:dLbl>
              <c:idx val="21"/>
              <c:delete val="1"/>
              <c:extLst>
                <c:ext xmlns:c15="http://schemas.microsoft.com/office/drawing/2012/chart" uri="{CE6537A1-D6FC-4f65-9D91-7224C49458BB}"/>
                <c:ext xmlns:c16="http://schemas.microsoft.com/office/drawing/2014/chart" uri="{C3380CC4-5D6E-409C-BE32-E72D297353CC}">
                  <c16:uniqueId val="{0000000F-86A0-4E14-BC70-4C4093A23F11}"/>
                </c:ext>
              </c:extLst>
            </c:dLbl>
            <c:dLbl>
              <c:idx val="22"/>
              <c:delete val="1"/>
              <c:extLst>
                <c:ext xmlns:c15="http://schemas.microsoft.com/office/drawing/2012/chart" uri="{CE6537A1-D6FC-4f65-9D91-7224C49458BB}"/>
                <c:ext xmlns:c16="http://schemas.microsoft.com/office/drawing/2014/chart" uri="{C3380CC4-5D6E-409C-BE32-E72D297353CC}">
                  <c16:uniqueId val="{00000012-86A0-4E14-BC70-4C4093A23F11}"/>
                </c:ext>
              </c:extLst>
            </c:dLbl>
            <c:dLbl>
              <c:idx val="23"/>
              <c:delete val="1"/>
              <c:extLst>
                <c:ext xmlns:c15="http://schemas.microsoft.com/office/drawing/2012/chart" uri="{CE6537A1-D6FC-4f65-9D91-7224C49458BB}"/>
                <c:ext xmlns:c16="http://schemas.microsoft.com/office/drawing/2014/chart" uri="{C3380CC4-5D6E-409C-BE32-E72D297353CC}">
                  <c16:uniqueId val="{00000011-86A0-4E14-BC70-4C4093A23F11}"/>
                </c:ext>
              </c:extLst>
            </c:dLbl>
            <c:dLbl>
              <c:idx val="24"/>
              <c:delete val="1"/>
              <c:extLst>
                <c:ext xmlns:c15="http://schemas.microsoft.com/office/drawing/2012/chart" uri="{CE6537A1-D6FC-4f65-9D91-7224C49458BB}"/>
                <c:ext xmlns:c16="http://schemas.microsoft.com/office/drawing/2014/chart" uri="{C3380CC4-5D6E-409C-BE32-E72D297353CC}">
                  <c16:uniqueId val="{00000004-C376-4981-A918-ED4446127F91}"/>
                </c:ext>
              </c:extLst>
            </c:dLbl>
            <c:dLbl>
              <c:idx val="26"/>
              <c:delete val="1"/>
              <c:extLst>
                <c:ext xmlns:c15="http://schemas.microsoft.com/office/drawing/2012/chart" uri="{CE6537A1-D6FC-4f65-9D91-7224C49458BB}"/>
                <c:ext xmlns:c16="http://schemas.microsoft.com/office/drawing/2014/chart" uri="{C3380CC4-5D6E-409C-BE32-E72D297353CC}">
                  <c16:uniqueId val="{00000014-86A0-4E14-BC70-4C4093A23F11}"/>
                </c:ext>
              </c:extLst>
            </c:dLbl>
            <c:dLbl>
              <c:idx val="27"/>
              <c:delete val="1"/>
              <c:extLst>
                <c:ext xmlns:c15="http://schemas.microsoft.com/office/drawing/2012/chart" uri="{CE6537A1-D6FC-4f65-9D91-7224C49458BB}"/>
                <c:ext xmlns:c16="http://schemas.microsoft.com/office/drawing/2014/chart" uri="{C3380CC4-5D6E-409C-BE32-E72D297353CC}">
                  <c16:uniqueId val="{00000015-86A0-4E14-BC70-4C4093A23F11}"/>
                </c:ext>
              </c:extLst>
            </c:dLbl>
            <c:dLbl>
              <c:idx val="28"/>
              <c:delete val="1"/>
              <c:extLst>
                <c:ext xmlns:c15="http://schemas.microsoft.com/office/drawing/2012/chart" uri="{CE6537A1-D6FC-4f65-9D91-7224C49458BB}"/>
                <c:ext xmlns:c16="http://schemas.microsoft.com/office/drawing/2014/chart" uri="{C3380CC4-5D6E-409C-BE32-E72D297353CC}">
                  <c16:uniqueId val="{00000016-86A0-4E14-BC70-4C4093A23F11}"/>
                </c:ext>
              </c:extLst>
            </c:dLbl>
            <c:dLbl>
              <c:idx val="29"/>
              <c:delete val="1"/>
              <c:extLst>
                <c:ext xmlns:c15="http://schemas.microsoft.com/office/drawing/2012/chart" uri="{CE6537A1-D6FC-4f65-9D91-7224C49458BB}"/>
                <c:ext xmlns:c16="http://schemas.microsoft.com/office/drawing/2014/chart" uri="{C3380CC4-5D6E-409C-BE32-E72D297353CC}">
                  <c16:uniqueId val="{00000005-C376-4981-A918-ED4446127F91}"/>
                </c:ext>
              </c:extLst>
            </c:dLbl>
            <c:dLbl>
              <c:idx val="31"/>
              <c:delete val="1"/>
              <c:extLst>
                <c:ext xmlns:c15="http://schemas.microsoft.com/office/drawing/2012/chart" uri="{CE6537A1-D6FC-4f65-9D91-7224C49458BB}"/>
                <c:ext xmlns:c16="http://schemas.microsoft.com/office/drawing/2014/chart" uri="{C3380CC4-5D6E-409C-BE32-E72D297353CC}">
                  <c16:uniqueId val="{00000017-86A0-4E14-BC70-4C4093A23F11}"/>
                </c:ext>
              </c:extLst>
            </c:dLbl>
            <c:dLbl>
              <c:idx val="32"/>
              <c:delete val="1"/>
              <c:extLst>
                <c:ext xmlns:c15="http://schemas.microsoft.com/office/drawing/2012/chart" uri="{CE6537A1-D6FC-4f65-9D91-7224C49458BB}"/>
                <c:ext xmlns:c16="http://schemas.microsoft.com/office/drawing/2014/chart" uri="{C3380CC4-5D6E-409C-BE32-E72D297353CC}">
                  <c16:uniqueId val="{00000019-86A0-4E14-BC70-4C4093A23F11}"/>
                </c:ext>
              </c:extLst>
            </c:dLbl>
            <c:dLbl>
              <c:idx val="33"/>
              <c:delete val="1"/>
              <c:extLst>
                <c:ext xmlns:c15="http://schemas.microsoft.com/office/drawing/2012/chart" uri="{CE6537A1-D6FC-4f65-9D91-7224C49458BB}"/>
                <c:ext xmlns:c16="http://schemas.microsoft.com/office/drawing/2014/chart" uri="{C3380CC4-5D6E-409C-BE32-E72D297353CC}">
                  <c16:uniqueId val="{0000001A-86A0-4E14-BC70-4C4093A23F11}"/>
                </c:ext>
              </c:extLst>
            </c:dLbl>
            <c:dLbl>
              <c:idx val="34"/>
              <c:delete val="1"/>
              <c:extLst>
                <c:ext xmlns:c15="http://schemas.microsoft.com/office/drawing/2012/chart" uri="{CE6537A1-D6FC-4f65-9D91-7224C49458BB}"/>
                <c:ext xmlns:c16="http://schemas.microsoft.com/office/drawing/2014/chart" uri="{C3380CC4-5D6E-409C-BE32-E72D297353CC}">
                  <c16:uniqueId val="{00000006-C376-4981-A918-ED4446127F91}"/>
                </c:ext>
              </c:extLst>
            </c:dLbl>
            <c:spPr>
              <a:noFill/>
              <a:ln>
                <a:noFill/>
              </a:ln>
              <a:effectLst/>
            </c:spPr>
            <c:txPr>
              <a:bodyPr wrap="square" lIns="38100" tIns="19050" rIns="38100" bIns="19050" anchor="ctr">
                <a:spAutoFit/>
              </a:bodyPr>
              <a:lstStyle/>
              <a:p>
                <a:pPr>
                  <a:defRPr sz="1100" b="1">
                    <a:latin typeface="Garamond" panose="02020404030301010803"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Data!$B$10:$B$45</c:f>
              <c:numCache>
                <c:formatCode>General</c:formatCode>
                <c:ptCount val="3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cat>
          <c:val>
            <c:numRef>
              <c:f>Data!$C$10:$C$45</c:f>
              <c:numCache>
                <c:formatCode>_("$"* #,##0_);_("$"* \(#,##0\);_("$"* "-"??_);_(@_)</c:formatCode>
                <c:ptCount val="36"/>
                <c:pt idx="0">
                  <c:v>475000</c:v>
                </c:pt>
                <c:pt idx="1">
                  <c:v>496374.99999999994</c:v>
                </c:pt>
                <c:pt idx="2">
                  <c:v>518711.87499999988</c:v>
                </c:pt>
                <c:pt idx="3">
                  <c:v>542053.90937499981</c:v>
                </c:pt>
                <c:pt idx="4">
                  <c:v>566446.33529687475</c:v>
                </c:pt>
                <c:pt idx="5">
                  <c:v>591936.42038523406</c:v>
                </c:pt>
                <c:pt idx="6">
                  <c:v>618573.5593025696</c:v>
                </c:pt>
                <c:pt idx="7">
                  <c:v>646409.36947118514</c:v>
                </c:pt>
                <c:pt idx="8">
                  <c:v>675497.79109738837</c:v>
                </c:pt>
                <c:pt idx="9">
                  <c:v>705895.19169677084</c:v>
                </c:pt>
                <c:pt idx="10">
                  <c:v>737660.47532312549</c:v>
                </c:pt>
                <c:pt idx="11">
                  <c:v>770855.19671266607</c:v>
                </c:pt>
                <c:pt idx="12">
                  <c:v>805543.68056473602</c:v>
                </c:pt>
                <c:pt idx="13">
                  <c:v>841793.14619014913</c:v>
                </c:pt>
                <c:pt idx="14">
                  <c:v>879673.83776870579</c:v>
                </c:pt>
                <c:pt idx="15">
                  <c:v>919259.16046829754</c:v>
                </c:pt>
                <c:pt idx="16">
                  <c:v>960625.82268937083</c:v>
                </c:pt>
                <c:pt idx="17">
                  <c:v>1003853.9847103924</c:v>
                </c:pt>
                <c:pt idx="18">
                  <c:v>1049027.41402236</c:v>
                </c:pt>
                <c:pt idx="19">
                  <c:v>1096233.6476533662</c:v>
                </c:pt>
                <c:pt idx="20">
                  <c:v>1145564.1617977675</c:v>
                </c:pt>
                <c:pt idx="21">
                  <c:v>1197114.5490786671</c:v>
                </c:pt>
                <c:pt idx="22">
                  <c:v>1250984.7037872069</c:v>
                </c:pt>
                <c:pt idx="23">
                  <c:v>1307279.0154576311</c:v>
                </c:pt>
                <c:pt idx="24">
                  <c:v>1366106.5711532244</c:v>
                </c:pt>
                <c:pt idx="25">
                  <c:v>1427581.3668551194</c:v>
                </c:pt>
                <c:pt idx="26">
                  <c:v>1491822.5283635997</c:v>
                </c:pt>
                <c:pt idx="27">
                  <c:v>1558954.5421399616</c:v>
                </c:pt>
                <c:pt idx="28">
                  <c:v>1629107.4965362598</c:v>
                </c:pt>
                <c:pt idx="29">
                  <c:v>1702417.3338803914</c:v>
                </c:pt>
                <c:pt idx="30">
                  <c:v>1779026.1139050089</c:v>
                </c:pt>
                <c:pt idx="31">
                  <c:v>1859082.2890307342</c:v>
                </c:pt>
                <c:pt idx="32">
                  <c:v>1942740.992037117</c:v>
                </c:pt>
                <c:pt idx="33">
                  <c:v>2030164.3366787871</c:v>
                </c:pt>
                <c:pt idx="34">
                  <c:v>2121521.7318293322</c:v>
                </c:pt>
                <c:pt idx="35">
                  <c:v>2216990.2097616522</c:v>
                </c:pt>
              </c:numCache>
            </c:numRef>
          </c:val>
          <c:smooth val="0"/>
          <c:extLst>
            <c:ext xmlns:c16="http://schemas.microsoft.com/office/drawing/2014/chart" uri="{C3380CC4-5D6E-409C-BE32-E72D297353CC}">
              <c16:uniqueId val="{00000000-4C66-4782-ACC7-DF71B5876AB0}"/>
            </c:ext>
          </c:extLst>
        </c:ser>
        <c:ser>
          <c:idx val="1"/>
          <c:order val="1"/>
          <c:tx>
            <c:v>Loan Value</c:v>
          </c:tx>
          <c:spPr>
            <a:ln w="28575" cap="rnd">
              <a:solidFill>
                <a:schemeClr val="accent2">
                  <a:lumMod val="75000"/>
                </a:schemeClr>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2-5CEC-486C-B728-7C3E1BADA5FE}"/>
                </c:ext>
              </c:extLst>
            </c:dLbl>
            <c:dLbl>
              <c:idx val="2"/>
              <c:delete val="1"/>
              <c:extLst>
                <c:ext xmlns:c15="http://schemas.microsoft.com/office/drawing/2012/chart" uri="{CE6537A1-D6FC-4f65-9D91-7224C49458BB}"/>
                <c:ext xmlns:c16="http://schemas.microsoft.com/office/drawing/2014/chart" uri="{C3380CC4-5D6E-409C-BE32-E72D297353CC}">
                  <c16:uniqueId val="{00000000-5CEC-486C-B728-7C3E1BADA5FE}"/>
                </c:ext>
              </c:extLst>
            </c:dLbl>
            <c:dLbl>
              <c:idx val="3"/>
              <c:delete val="1"/>
              <c:extLst>
                <c:ext xmlns:c15="http://schemas.microsoft.com/office/drawing/2012/chart" uri="{CE6537A1-D6FC-4f65-9D91-7224C49458BB}"/>
                <c:ext xmlns:c16="http://schemas.microsoft.com/office/drawing/2014/chart" uri="{C3380CC4-5D6E-409C-BE32-E72D297353CC}">
                  <c16:uniqueId val="{00000001-5CEC-486C-B728-7C3E1BADA5FE}"/>
                </c:ext>
              </c:extLst>
            </c:dLbl>
            <c:dLbl>
              <c:idx val="4"/>
              <c:delete val="1"/>
              <c:extLst>
                <c:ext xmlns:c15="http://schemas.microsoft.com/office/drawing/2012/chart" uri="{CE6537A1-D6FC-4f65-9D91-7224C49458BB}"/>
                <c:ext xmlns:c16="http://schemas.microsoft.com/office/drawing/2014/chart" uri="{C3380CC4-5D6E-409C-BE32-E72D297353CC}">
                  <c16:uniqueId val="{00000003-5CEC-486C-B728-7C3E1BADA5FE}"/>
                </c:ext>
              </c:extLst>
            </c:dLbl>
            <c:dLbl>
              <c:idx val="6"/>
              <c:delete val="1"/>
              <c:extLst>
                <c:ext xmlns:c15="http://schemas.microsoft.com/office/drawing/2012/chart" uri="{CE6537A1-D6FC-4f65-9D91-7224C49458BB}"/>
                <c:ext xmlns:c16="http://schemas.microsoft.com/office/drawing/2014/chart" uri="{C3380CC4-5D6E-409C-BE32-E72D297353CC}">
                  <c16:uniqueId val="{00000008-5CEC-486C-B728-7C3E1BADA5FE}"/>
                </c:ext>
              </c:extLst>
            </c:dLbl>
            <c:dLbl>
              <c:idx val="7"/>
              <c:delete val="1"/>
              <c:extLst>
                <c:ext xmlns:c15="http://schemas.microsoft.com/office/drawing/2012/chart" uri="{CE6537A1-D6FC-4f65-9D91-7224C49458BB}"/>
                <c:ext xmlns:c16="http://schemas.microsoft.com/office/drawing/2014/chart" uri="{C3380CC4-5D6E-409C-BE32-E72D297353CC}">
                  <c16:uniqueId val="{00000007-5CEC-486C-B728-7C3E1BADA5FE}"/>
                </c:ext>
              </c:extLst>
            </c:dLbl>
            <c:dLbl>
              <c:idx val="8"/>
              <c:delete val="1"/>
              <c:extLst>
                <c:ext xmlns:c15="http://schemas.microsoft.com/office/drawing/2012/chart" uri="{CE6537A1-D6FC-4f65-9D91-7224C49458BB}"/>
                <c:ext xmlns:c16="http://schemas.microsoft.com/office/drawing/2014/chart" uri="{C3380CC4-5D6E-409C-BE32-E72D297353CC}">
                  <c16:uniqueId val="{00000006-5CEC-486C-B728-7C3E1BADA5FE}"/>
                </c:ext>
              </c:extLst>
            </c:dLbl>
            <c:dLbl>
              <c:idx val="9"/>
              <c:delete val="1"/>
              <c:extLst>
                <c:ext xmlns:c15="http://schemas.microsoft.com/office/drawing/2012/chart" uri="{CE6537A1-D6FC-4f65-9D91-7224C49458BB}"/>
                <c:ext xmlns:c16="http://schemas.microsoft.com/office/drawing/2014/chart" uri="{C3380CC4-5D6E-409C-BE32-E72D297353CC}">
                  <c16:uniqueId val="{00000005-5CEC-486C-B728-7C3E1BADA5FE}"/>
                </c:ext>
              </c:extLst>
            </c:dLbl>
            <c:dLbl>
              <c:idx val="11"/>
              <c:delete val="1"/>
              <c:extLst>
                <c:ext xmlns:c15="http://schemas.microsoft.com/office/drawing/2012/chart" uri="{CE6537A1-D6FC-4f65-9D91-7224C49458BB}"/>
                <c:ext xmlns:c16="http://schemas.microsoft.com/office/drawing/2014/chart" uri="{C3380CC4-5D6E-409C-BE32-E72D297353CC}">
                  <c16:uniqueId val="{00000004-5CEC-486C-B728-7C3E1BADA5FE}"/>
                </c:ext>
              </c:extLst>
            </c:dLbl>
            <c:dLbl>
              <c:idx val="12"/>
              <c:delete val="1"/>
              <c:extLst>
                <c:ext xmlns:c15="http://schemas.microsoft.com/office/drawing/2012/chart" uri="{CE6537A1-D6FC-4f65-9D91-7224C49458BB}"/>
                <c:ext xmlns:c16="http://schemas.microsoft.com/office/drawing/2014/chart" uri="{C3380CC4-5D6E-409C-BE32-E72D297353CC}">
                  <c16:uniqueId val="{00000009-5CEC-486C-B728-7C3E1BADA5FE}"/>
                </c:ext>
              </c:extLst>
            </c:dLbl>
            <c:dLbl>
              <c:idx val="13"/>
              <c:delete val="1"/>
              <c:extLst>
                <c:ext xmlns:c15="http://schemas.microsoft.com/office/drawing/2012/chart" uri="{CE6537A1-D6FC-4f65-9D91-7224C49458BB}"/>
                <c:ext xmlns:c16="http://schemas.microsoft.com/office/drawing/2014/chart" uri="{C3380CC4-5D6E-409C-BE32-E72D297353CC}">
                  <c16:uniqueId val="{0000000B-5CEC-486C-B728-7C3E1BADA5FE}"/>
                </c:ext>
              </c:extLst>
            </c:dLbl>
            <c:dLbl>
              <c:idx val="14"/>
              <c:delete val="1"/>
              <c:extLst>
                <c:ext xmlns:c15="http://schemas.microsoft.com/office/drawing/2012/chart" uri="{CE6537A1-D6FC-4f65-9D91-7224C49458BB}"/>
                <c:ext xmlns:c16="http://schemas.microsoft.com/office/drawing/2014/chart" uri="{C3380CC4-5D6E-409C-BE32-E72D297353CC}">
                  <c16:uniqueId val="{0000000A-5CEC-486C-B728-7C3E1BADA5FE}"/>
                </c:ext>
              </c:extLst>
            </c:dLbl>
            <c:dLbl>
              <c:idx val="16"/>
              <c:delete val="1"/>
              <c:extLst>
                <c:ext xmlns:c15="http://schemas.microsoft.com/office/drawing/2012/chart" uri="{CE6537A1-D6FC-4f65-9D91-7224C49458BB}"/>
                <c:ext xmlns:c16="http://schemas.microsoft.com/office/drawing/2014/chart" uri="{C3380CC4-5D6E-409C-BE32-E72D297353CC}">
                  <c16:uniqueId val="{0000000D-5CEC-486C-B728-7C3E1BADA5FE}"/>
                </c:ext>
              </c:extLst>
            </c:dLbl>
            <c:dLbl>
              <c:idx val="17"/>
              <c:delete val="1"/>
              <c:extLst>
                <c:ext xmlns:c15="http://schemas.microsoft.com/office/drawing/2012/chart" uri="{CE6537A1-D6FC-4f65-9D91-7224C49458BB}"/>
                <c:ext xmlns:c16="http://schemas.microsoft.com/office/drawing/2014/chart" uri="{C3380CC4-5D6E-409C-BE32-E72D297353CC}">
                  <c16:uniqueId val="{0000000C-5CEC-486C-B728-7C3E1BADA5FE}"/>
                </c:ext>
              </c:extLst>
            </c:dLbl>
            <c:dLbl>
              <c:idx val="18"/>
              <c:delete val="1"/>
              <c:extLst>
                <c:ext xmlns:c15="http://schemas.microsoft.com/office/drawing/2012/chart" uri="{CE6537A1-D6FC-4f65-9D91-7224C49458BB}"/>
                <c:ext xmlns:c16="http://schemas.microsoft.com/office/drawing/2014/chart" uri="{C3380CC4-5D6E-409C-BE32-E72D297353CC}">
                  <c16:uniqueId val="{0000000E-5CEC-486C-B728-7C3E1BADA5FE}"/>
                </c:ext>
              </c:extLst>
            </c:dLbl>
            <c:dLbl>
              <c:idx val="19"/>
              <c:delete val="1"/>
              <c:extLst>
                <c:ext xmlns:c15="http://schemas.microsoft.com/office/drawing/2012/chart" uri="{CE6537A1-D6FC-4f65-9D91-7224C49458BB}"/>
                <c:ext xmlns:c16="http://schemas.microsoft.com/office/drawing/2014/chart" uri="{C3380CC4-5D6E-409C-BE32-E72D297353CC}">
                  <c16:uniqueId val="{0000000F-5CEC-486C-B728-7C3E1BADA5FE}"/>
                </c:ext>
              </c:extLst>
            </c:dLbl>
            <c:dLbl>
              <c:idx val="21"/>
              <c:delete val="1"/>
              <c:extLst>
                <c:ext xmlns:c15="http://schemas.microsoft.com/office/drawing/2012/chart" uri="{CE6537A1-D6FC-4f65-9D91-7224C49458BB}"/>
                <c:ext xmlns:c16="http://schemas.microsoft.com/office/drawing/2014/chart" uri="{C3380CC4-5D6E-409C-BE32-E72D297353CC}">
                  <c16:uniqueId val="{00000011-5CEC-486C-B728-7C3E1BADA5FE}"/>
                </c:ext>
              </c:extLst>
            </c:dLbl>
            <c:dLbl>
              <c:idx val="22"/>
              <c:delete val="1"/>
              <c:extLst>
                <c:ext xmlns:c15="http://schemas.microsoft.com/office/drawing/2012/chart" uri="{CE6537A1-D6FC-4f65-9D91-7224C49458BB}"/>
                <c:ext xmlns:c16="http://schemas.microsoft.com/office/drawing/2014/chart" uri="{C3380CC4-5D6E-409C-BE32-E72D297353CC}">
                  <c16:uniqueId val="{00000010-5CEC-486C-B728-7C3E1BADA5FE}"/>
                </c:ext>
              </c:extLst>
            </c:dLbl>
            <c:dLbl>
              <c:idx val="23"/>
              <c:delete val="1"/>
              <c:extLst>
                <c:ext xmlns:c15="http://schemas.microsoft.com/office/drawing/2012/chart" uri="{CE6537A1-D6FC-4f65-9D91-7224C49458BB}"/>
                <c:ext xmlns:c16="http://schemas.microsoft.com/office/drawing/2014/chart" uri="{C3380CC4-5D6E-409C-BE32-E72D297353CC}">
                  <c16:uniqueId val="{00000012-5CEC-486C-B728-7C3E1BADA5FE}"/>
                </c:ext>
              </c:extLst>
            </c:dLbl>
            <c:dLbl>
              <c:idx val="24"/>
              <c:delete val="1"/>
              <c:extLst>
                <c:ext xmlns:c15="http://schemas.microsoft.com/office/drawing/2012/chart" uri="{CE6537A1-D6FC-4f65-9D91-7224C49458BB}"/>
                <c:ext xmlns:c16="http://schemas.microsoft.com/office/drawing/2014/chart" uri="{C3380CC4-5D6E-409C-BE32-E72D297353CC}">
                  <c16:uniqueId val="{00000018-5CEC-486C-B728-7C3E1BADA5FE}"/>
                </c:ext>
              </c:extLst>
            </c:dLbl>
            <c:dLbl>
              <c:idx val="26"/>
              <c:delete val="1"/>
              <c:extLst>
                <c:ext xmlns:c15="http://schemas.microsoft.com/office/drawing/2012/chart" uri="{CE6537A1-D6FC-4f65-9D91-7224C49458BB}"/>
                <c:ext xmlns:c16="http://schemas.microsoft.com/office/drawing/2014/chart" uri="{C3380CC4-5D6E-409C-BE32-E72D297353CC}">
                  <c16:uniqueId val="{00000017-5CEC-486C-B728-7C3E1BADA5FE}"/>
                </c:ext>
              </c:extLst>
            </c:dLbl>
            <c:dLbl>
              <c:idx val="27"/>
              <c:delete val="1"/>
              <c:extLst>
                <c:ext xmlns:c15="http://schemas.microsoft.com/office/drawing/2012/chart" uri="{CE6537A1-D6FC-4f65-9D91-7224C49458BB}"/>
                <c:ext xmlns:c16="http://schemas.microsoft.com/office/drawing/2014/chart" uri="{C3380CC4-5D6E-409C-BE32-E72D297353CC}">
                  <c16:uniqueId val="{00000013-5CEC-486C-B728-7C3E1BADA5FE}"/>
                </c:ext>
              </c:extLst>
            </c:dLbl>
            <c:dLbl>
              <c:idx val="28"/>
              <c:delete val="1"/>
              <c:extLst>
                <c:ext xmlns:c15="http://schemas.microsoft.com/office/drawing/2012/chart" uri="{CE6537A1-D6FC-4f65-9D91-7224C49458BB}"/>
                <c:ext xmlns:c16="http://schemas.microsoft.com/office/drawing/2014/chart" uri="{C3380CC4-5D6E-409C-BE32-E72D297353CC}">
                  <c16:uniqueId val="{00000014-5CEC-486C-B728-7C3E1BADA5FE}"/>
                </c:ext>
              </c:extLst>
            </c:dLbl>
            <c:dLbl>
              <c:idx val="29"/>
              <c:delete val="1"/>
              <c:extLst>
                <c:ext xmlns:c15="http://schemas.microsoft.com/office/drawing/2012/chart" uri="{CE6537A1-D6FC-4f65-9D91-7224C49458BB}"/>
                <c:ext xmlns:c16="http://schemas.microsoft.com/office/drawing/2014/chart" uri="{C3380CC4-5D6E-409C-BE32-E72D297353CC}">
                  <c16:uniqueId val="{00000015-5CEC-486C-B728-7C3E1BADA5FE}"/>
                </c:ext>
              </c:extLst>
            </c:dLbl>
            <c:dLbl>
              <c:idx val="30"/>
              <c:delete val="1"/>
              <c:extLst>
                <c:ext xmlns:c15="http://schemas.microsoft.com/office/drawing/2012/chart" uri="{CE6537A1-D6FC-4f65-9D91-7224C49458BB}"/>
                <c:ext xmlns:c16="http://schemas.microsoft.com/office/drawing/2014/chart" uri="{C3380CC4-5D6E-409C-BE32-E72D297353CC}">
                  <c16:uniqueId val="{00000016-5CEC-486C-B728-7C3E1BADA5FE}"/>
                </c:ext>
              </c:extLst>
            </c:dLbl>
            <c:dLbl>
              <c:idx val="31"/>
              <c:delete val="1"/>
              <c:extLst>
                <c:ext xmlns:c15="http://schemas.microsoft.com/office/drawing/2012/chart" uri="{CE6537A1-D6FC-4f65-9D91-7224C49458BB}"/>
                <c:ext xmlns:c16="http://schemas.microsoft.com/office/drawing/2014/chart" uri="{C3380CC4-5D6E-409C-BE32-E72D297353CC}">
                  <c16:uniqueId val="{00000019-5CEC-486C-B728-7C3E1BADA5FE}"/>
                </c:ext>
              </c:extLst>
            </c:dLbl>
            <c:dLbl>
              <c:idx val="32"/>
              <c:delete val="1"/>
              <c:extLst>
                <c:ext xmlns:c15="http://schemas.microsoft.com/office/drawing/2012/chart" uri="{CE6537A1-D6FC-4f65-9D91-7224C49458BB}"/>
                <c:ext xmlns:c16="http://schemas.microsoft.com/office/drawing/2014/chart" uri="{C3380CC4-5D6E-409C-BE32-E72D297353CC}">
                  <c16:uniqueId val="{0000001A-5CEC-486C-B728-7C3E1BADA5FE}"/>
                </c:ext>
              </c:extLst>
            </c:dLbl>
            <c:dLbl>
              <c:idx val="33"/>
              <c:delete val="1"/>
              <c:extLst>
                <c:ext xmlns:c15="http://schemas.microsoft.com/office/drawing/2012/chart" uri="{CE6537A1-D6FC-4f65-9D91-7224C49458BB}"/>
                <c:ext xmlns:c16="http://schemas.microsoft.com/office/drawing/2014/chart" uri="{C3380CC4-5D6E-409C-BE32-E72D297353CC}">
                  <c16:uniqueId val="{0000001B-5CEC-486C-B728-7C3E1BADA5FE}"/>
                </c:ext>
              </c:extLst>
            </c:dLbl>
            <c:dLbl>
              <c:idx val="34"/>
              <c:delete val="1"/>
              <c:extLst>
                <c:ext xmlns:c15="http://schemas.microsoft.com/office/drawing/2012/chart" uri="{CE6537A1-D6FC-4f65-9D91-7224C49458BB}"/>
                <c:ext xmlns:c16="http://schemas.microsoft.com/office/drawing/2014/chart" uri="{C3380CC4-5D6E-409C-BE32-E72D297353CC}">
                  <c16:uniqueId val="{0000001C-5CEC-486C-B728-7C3E1BADA5FE}"/>
                </c:ext>
              </c:extLst>
            </c:dLbl>
            <c:dLbl>
              <c:idx val="35"/>
              <c:delete val="1"/>
              <c:extLst>
                <c:ext xmlns:c15="http://schemas.microsoft.com/office/drawing/2012/chart" uri="{CE6537A1-D6FC-4f65-9D91-7224C49458BB}"/>
                <c:ext xmlns:c16="http://schemas.microsoft.com/office/drawing/2014/chart" uri="{C3380CC4-5D6E-409C-BE32-E72D297353CC}">
                  <c16:uniqueId val="{0000001D-5CEC-486C-B728-7C3E1BADA5FE}"/>
                </c:ext>
              </c:extLst>
            </c:dLbl>
            <c:spPr>
              <a:noFill/>
              <a:ln>
                <a:noFill/>
              </a:ln>
              <a:effectLst/>
            </c:spPr>
            <c:txPr>
              <a:bodyPr wrap="square" lIns="38100" tIns="19050" rIns="38100" bIns="19050" anchor="ctr">
                <a:spAutoFit/>
              </a:bodyPr>
              <a:lstStyle/>
              <a:p>
                <a:pPr>
                  <a:defRPr sz="1100" b="1">
                    <a:latin typeface="Garamond" panose="02020404030301010803" pitchFamily="18"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Data!$B$10:$B$45</c:f>
              <c:numCache>
                <c:formatCode>General</c:formatCode>
                <c:ptCount val="3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cat>
          <c:val>
            <c:numRef>
              <c:f>Data!$AA$10:$AA$45</c:f>
              <c:numCache>
                <c:formatCode>_("$"* #,##0_);_("$"* \(#,##0\);_("$"* "-"??_);_(@_)</c:formatCode>
                <c:ptCount val="36"/>
                <c:pt idx="0">
                  <c:v>451250</c:v>
                </c:pt>
                <c:pt idx="1">
                  <c:v>446882.54646223772</c:v>
                </c:pt>
                <c:pt idx="2">
                  <c:v>442187.71604321804</c:v>
                </c:pt>
                <c:pt idx="3">
                  <c:v>437140.96912930673</c:v>
                </c:pt>
                <c:pt idx="4">
                  <c:v>431715.92665921233</c:v>
                </c:pt>
                <c:pt idx="5">
                  <c:v>425884.23224212124</c:v>
                </c:pt>
                <c:pt idx="6">
                  <c:v>419615.40394044353</c:v>
                </c:pt>
                <c:pt idx="7">
                  <c:v>412876.67494244548</c:v>
                </c:pt>
                <c:pt idx="8">
                  <c:v>405632.82229197375</c:v>
                </c:pt>
                <c:pt idx="9">
                  <c:v>397845.98278005165</c:v>
                </c:pt>
                <c:pt idx="10">
                  <c:v>389475.45503602282</c:v>
                </c:pt>
                <c:pt idx="11">
                  <c:v>380477.48678378353</c:v>
                </c:pt>
                <c:pt idx="12">
                  <c:v>370805.0461511052</c:v>
                </c:pt>
                <c:pt idx="13">
                  <c:v>360407.57583669247</c:v>
                </c:pt>
                <c:pt idx="14">
                  <c:v>349230.72885002254</c:v>
                </c:pt>
                <c:pt idx="15">
                  <c:v>337216.08444269316</c:v>
                </c:pt>
                <c:pt idx="16">
                  <c:v>324300.84274646768</c:v>
                </c:pt>
                <c:pt idx="17">
                  <c:v>310417.49652190821</c:v>
                </c:pt>
                <c:pt idx="18">
                  <c:v>295493.47830184491</c:v>
                </c:pt>
                <c:pt idx="19">
                  <c:v>279450.78108532086</c:v>
                </c:pt>
                <c:pt idx="20">
                  <c:v>262205.5505994003</c:v>
                </c:pt>
                <c:pt idx="21">
                  <c:v>243667.64699761671</c:v>
                </c:pt>
                <c:pt idx="22">
                  <c:v>223740.17370408276</c:v>
                </c:pt>
                <c:pt idx="23">
                  <c:v>202318.97094055652</c:v>
                </c:pt>
                <c:pt idx="24">
                  <c:v>179292.0712891593</c:v>
                </c:pt>
                <c:pt idx="25">
                  <c:v>154539.11444500159</c:v>
                </c:pt>
                <c:pt idx="26">
                  <c:v>127930.71809966222</c:v>
                </c:pt>
                <c:pt idx="27">
                  <c:v>99327.801667164342</c:v>
                </c:pt>
                <c:pt idx="28">
                  <c:v>68580.859317601891</c:v>
                </c:pt>
                <c:pt idx="29">
                  <c:v>35529.178518604531</c:v>
                </c:pt>
                <c:pt idx="30">
                  <c:v>1.1423253454267979E-9</c:v>
                </c:pt>
                <c:pt idx="31">
                  <c:v>0</c:v>
                </c:pt>
                <c:pt idx="32">
                  <c:v>0</c:v>
                </c:pt>
                <c:pt idx="33">
                  <c:v>0</c:v>
                </c:pt>
                <c:pt idx="34">
                  <c:v>0</c:v>
                </c:pt>
                <c:pt idx="35">
                  <c:v>0</c:v>
                </c:pt>
              </c:numCache>
            </c:numRef>
          </c:val>
          <c:smooth val="0"/>
          <c:extLst>
            <c:ext xmlns:c16="http://schemas.microsoft.com/office/drawing/2014/chart" uri="{C3380CC4-5D6E-409C-BE32-E72D297353CC}">
              <c16:uniqueId val="{00000001-4C66-4782-ACC7-DF71B5876AB0}"/>
            </c:ext>
          </c:extLst>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rgbClr val="9BB3FF">
                  <a:alpha val="34000"/>
                </a:srgbClr>
              </a:solidFill>
              <a:ln w="9525">
                <a:solidFill>
                  <a:srgbClr val="172C51"/>
                </a:solidFill>
              </a:ln>
              <a:effectLst/>
            </c:spPr>
          </c:downBars>
        </c:upDownBars>
        <c:smooth val="0"/>
        <c:axId val="1216032799"/>
        <c:axId val="1216034463"/>
      </c:lineChart>
      <c:catAx>
        <c:axId val="12160327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Garamond" panose="02020404030301010803" pitchFamily="18" charset="0"/>
                <a:ea typeface="+mn-ea"/>
                <a:cs typeface="+mn-cs"/>
              </a:defRPr>
            </a:pPr>
            <a:endParaRPr lang="en-US"/>
          </a:p>
        </c:txPr>
        <c:crossAx val="1216034463"/>
        <c:crosses val="autoZero"/>
        <c:auto val="1"/>
        <c:lblAlgn val="ctr"/>
        <c:lblOffset val="100"/>
        <c:noMultiLvlLbl val="0"/>
      </c:catAx>
      <c:valAx>
        <c:axId val="121603446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Garamond" panose="02020404030301010803" pitchFamily="18" charset="0"/>
                <a:ea typeface="+mn-ea"/>
                <a:cs typeface="+mn-cs"/>
              </a:defRPr>
            </a:pPr>
            <a:endParaRPr lang="en-US"/>
          </a:p>
        </c:txPr>
        <c:crossAx val="12160327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gradFill>
    <a:ln w="9525" cap="flat" cmpd="sng" algn="ctr">
      <a:solidFill>
        <a:schemeClr val="tx1">
          <a:lumMod val="50000"/>
          <a:lumOff val="50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Garamond" panose="02020404030301010803" pitchFamily="18" charset="0"/>
                <a:ea typeface="+mn-ea"/>
                <a:cs typeface="+mn-cs"/>
              </a:defRPr>
            </a:pPr>
            <a:r>
              <a:rPr lang="en-US" sz="2000" b="1">
                <a:solidFill>
                  <a:sysClr val="windowText" lastClr="000000"/>
                </a:solidFill>
              </a:rPr>
              <a:t>Total Accumulated Cost</a:t>
            </a:r>
          </a:p>
        </c:rich>
      </c:tx>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barChart>
        <c:barDir val="col"/>
        <c:grouping val="clustered"/>
        <c:varyColors val="0"/>
        <c:ser>
          <c:idx val="2"/>
          <c:order val="0"/>
          <c:tx>
            <c:v>Accumulated Rent Costs</c:v>
          </c:tx>
          <c:spPr>
            <a:solidFill>
              <a:srgbClr val="970A1A"/>
            </a:solidFill>
            <a:ln w="12700">
              <a:solidFill>
                <a:schemeClr val="bg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FB8E-4C5B-B883-F9FC0AC082A9}"/>
                </c:ext>
              </c:extLst>
            </c:dLbl>
            <c:dLbl>
              <c:idx val="2"/>
              <c:delete val="1"/>
              <c:extLst>
                <c:ext xmlns:c15="http://schemas.microsoft.com/office/drawing/2012/chart" uri="{CE6537A1-D6FC-4f65-9D91-7224C49458BB}"/>
                <c:ext xmlns:c16="http://schemas.microsoft.com/office/drawing/2014/chart" uri="{C3380CC4-5D6E-409C-BE32-E72D297353CC}">
                  <c16:uniqueId val="{00000001-FB8E-4C5B-B883-F9FC0AC082A9}"/>
                </c:ext>
              </c:extLst>
            </c:dLbl>
            <c:dLbl>
              <c:idx val="3"/>
              <c:delete val="1"/>
              <c:extLst>
                <c:ext xmlns:c15="http://schemas.microsoft.com/office/drawing/2012/chart" uri="{CE6537A1-D6FC-4f65-9D91-7224C49458BB}"/>
                <c:ext xmlns:c16="http://schemas.microsoft.com/office/drawing/2014/chart" uri="{C3380CC4-5D6E-409C-BE32-E72D297353CC}">
                  <c16:uniqueId val="{00000002-FB8E-4C5B-B883-F9FC0AC082A9}"/>
                </c:ext>
              </c:extLst>
            </c:dLbl>
            <c:dLbl>
              <c:idx val="4"/>
              <c:delete val="1"/>
              <c:extLst>
                <c:ext xmlns:c15="http://schemas.microsoft.com/office/drawing/2012/chart" uri="{CE6537A1-D6FC-4f65-9D91-7224C49458BB}"/>
                <c:ext xmlns:c16="http://schemas.microsoft.com/office/drawing/2014/chart" uri="{C3380CC4-5D6E-409C-BE32-E72D297353CC}">
                  <c16:uniqueId val="{00000000-46F5-44D2-BD71-E9E526646CF4}"/>
                </c:ext>
              </c:extLst>
            </c:dLbl>
            <c:dLbl>
              <c:idx val="6"/>
              <c:delete val="1"/>
              <c:extLst>
                <c:ext xmlns:c15="http://schemas.microsoft.com/office/drawing/2012/chart" uri="{CE6537A1-D6FC-4f65-9D91-7224C49458BB}"/>
                <c:ext xmlns:c16="http://schemas.microsoft.com/office/drawing/2014/chart" uri="{C3380CC4-5D6E-409C-BE32-E72D297353CC}">
                  <c16:uniqueId val="{00000004-FB8E-4C5B-B883-F9FC0AC082A9}"/>
                </c:ext>
              </c:extLst>
            </c:dLbl>
            <c:dLbl>
              <c:idx val="7"/>
              <c:delete val="1"/>
              <c:extLst>
                <c:ext xmlns:c15="http://schemas.microsoft.com/office/drawing/2012/chart" uri="{CE6537A1-D6FC-4f65-9D91-7224C49458BB}"/>
                <c:ext xmlns:c16="http://schemas.microsoft.com/office/drawing/2014/chart" uri="{C3380CC4-5D6E-409C-BE32-E72D297353CC}">
                  <c16:uniqueId val="{00000005-FB8E-4C5B-B883-F9FC0AC082A9}"/>
                </c:ext>
              </c:extLst>
            </c:dLbl>
            <c:dLbl>
              <c:idx val="8"/>
              <c:delete val="1"/>
              <c:extLst>
                <c:ext xmlns:c15="http://schemas.microsoft.com/office/drawing/2012/chart" uri="{CE6537A1-D6FC-4f65-9D91-7224C49458BB}"/>
                <c:ext xmlns:c16="http://schemas.microsoft.com/office/drawing/2014/chart" uri="{C3380CC4-5D6E-409C-BE32-E72D297353CC}">
                  <c16:uniqueId val="{00000006-FB8E-4C5B-B883-F9FC0AC082A9}"/>
                </c:ext>
              </c:extLst>
            </c:dLbl>
            <c:dLbl>
              <c:idx val="9"/>
              <c:delete val="1"/>
              <c:extLst>
                <c:ext xmlns:c15="http://schemas.microsoft.com/office/drawing/2012/chart" uri="{CE6537A1-D6FC-4f65-9D91-7224C49458BB}"/>
                <c:ext xmlns:c16="http://schemas.microsoft.com/office/drawing/2014/chart" uri="{C3380CC4-5D6E-409C-BE32-E72D297353CC}">
                  <c16:uniqueId val="{00000001-46F5-44D2-BD71-E9E526646CF4}"/>
                </c:ext>
              </c:extLst>
            </c:dLbl>
            <c:dLbl>
              <c:idx val="11"/>
              <c:delete val="1"/>
              <c:extLst>
                <c:ext xmlns:c15="http://schemas.microsoft.com/office/drawing/2012/chart" uri="{CE6537A1-D6FC-4f65-9D91-7224C49458BB}"/>
                <c:ext xmlns:c16="http://schemas.microsoft.com/office/drawing/2014/chart" uri="{C3380CC4-5D6E-409C-BE32-E72D297353CC}">
                  <c16:uniqueId val="{00000008-FB8E-4C5B-B883-F9FC0AC082A9}"/>
                </c:ext>
              </c:extLst>
            </c:dLbl>
            <c:dLbl>
              <c:idx val="12"/>
              <c:delete val="1"/>
              <c:extLst>
                <c:ext xmlns:c15="http://schemas.microsoft.com/office/drawing/2012/chart" uri="{CE6537A1-D6FC-4f65-9D91-7224C49458BB}"/>
                <c:ext xmlns:c16="http://schemas.microsoft.com/office/drawing/2014/chart" uri="{C3380CC4-5D6E-409C-BE32-E72D297353CC}">
                  <c16:uniqueId val="{00000009-FB8E-4C5B-B883-F9FC0AC082A9}"/>
                </c:ext>
              </c:extLst>
            </c:dLbl>
            <c:dLbl>
              <c:idx val="13"/>
              <c:delete val="1"/>
              <c:extLst>
                <c:ext xmlns:c15="http://schemas.microsoft.com/office/drawing/2012/chart" uri="{CE6537A1-D6FC-4f65-9D91-7224C49458BB}"/>
                <c:ext xmlns:c16="http://schemas.microsoft.com/office/drawing/2014/chart" uri="{C3380CC4-5D6E-409C-BE32-E72D297353CC}">
                  <c16:uniqueId val="{0000000A-FB8E-4C5B-B883-F9FC0AC082A9}"/>
                </c:ext>
              </c:extLst>
            </c:dLbl>
            <c:dLbl>
              <c:idx val="14"/>
              <c:delete val="1"/>
              <c:extLst>
                <c:ext xmlns:c15="http://schemas.microsoft.com/office/drawing/2012/chart" uri="{CE6537A1-D6FC-4f65-9D91-7224C49458BB}"/>
                <c:ext xmlns:c16="http://schemas.microsoft.com/office/drawing/2014/chart" uri="{C3380CC4-5D6E-409C-BE32-E72D297353CC}">
                  <c16:uniqueId val="{00000002-46F5-44D2-BD71-E9E526646CF4}"/>
                </c:ext>
              </c:extLst>
            </c:dLbl>
            <c:dLbl>
              <c:idx val="16"/>
              <c:delete val="1"/>
              <c:extLst>
                <c:ext xmlns:c15="http://schemas.microsoft.com/office/drawing/2012/chart" uri="{CE6537A1-D6FC-4f65-9D91-7224C49458BB}"/>
                <c:ext xmlns:c16="http://schemas.microsoft.com/office/drawing/2014/chart" uri="{C3380CC4-5D6E-409C-BE32-E72D297353CC}">
                  <c16:uniqueId val="{0000000C-FB8E-4C5B-B883-F9FC0AC082A9}"/>
                </c:ext>
              </c:extLst>
            </c:dLbl>
            <c:dLbl>
              <c:idx val="17"/>
              <c:delete val="1"/>
              <c:extLst>
                <c:ext xmlns:c15="http://schemas.microsoft.com/office/drawing/2012/chart" uri="{CE6537A1-D6FC-4f65-9D91-7224C49458BB}"/>
                <c:ext xmlns:c16="http://schemas.microsoft.com/office/drawing/2014/chart" uri="{C3380CC4-5D6E-409C-BE32-E72D297353CC}">
                  <c16:uniqueId val="{0000000D-FB8E-4C5B-B883-F9FC0AC082A9}"/>
                </c:ext>
              </c:extLst>
            </c:dLbl>
            <c:dLbl>
              <c:idx val="18"/>
              <c:delete val="1"/>
              <c:extLst>
                <c:ext xmlns:c15="http://schemas.microsoft.com/office/drawing/2012/chart" uri="{CE6537A1-D6FC-4f65-9D91-7224C49458BB}"/>
                <c:ext xmlns:c16="http://schemas.microsoft.com/office/drawing/2014/chart" uri="{C3380CC4-5D6E-409C-BE32-E72D297353CC}">
                  <c16:uniqueId val="{0000000E-FB8E-4C5B-B883-F9FC0AC082A9}"/>
                </c:ext>
              </c:extLst>
            </c:dLbl>
            <c:dLbl>
              <c:idx val="19"/>
              <c:delete val="1"/>
              <c:extLst>
                <c:ext xmlns:c15="http://schemas.microsoft.com/office/drawing/2012/chart" uri="{CE6537A1-D6FC-4f65-9D91-7224C49458BB}"/>
                <c:ext xmlns:c16="http://schemas.microsoft.com/office/drawing/2014/chart" uri="{C3380CC4-5D6E-409C-BE32-E72D297353CC}">
                  <c16:uniqueId val="{00000003-46F5-44D2-BD71-E9E526646CF4}"/>
                </c:ext>
              </c:extLst>
            </c:dLbl>
            <c:dLbl>
              <c:idx val="21"/>
              <c:delete val="1"/>
              <c:extLst>
                <c:ext xmlns:c15="http://schemas.microsoft.com/office/drawing/2012/chart" uri="{CE6537A1-D6FC-4f65-9D91-7224C49458BB}"/>
                <c:ext xmlns:c16="http://schemas.microsoft.com/office/drawing/2014/chart" uri="{C3380CC4-5D6E-409C-BE32-E72D297353CC}">
                  <c16:uniqueId val="{00000010-FB8E-4C5B-B883-F9FC0AC082A9}"/>
                </c:ext>
              </c:extLst>
            </c:dLbl>
            <c:dLbl>
              <c:idx val="22"/>
              <c:delete val="1"/>
              <c:extLst>
                <c:ext xmlns:c15="http://schemas.microsoft.com/office/drawing/2012/chart" uri="{CE6537A1-D6FC-4f65-9D91-7224C49458BB}"/>
                <c:ext xmlns:c16="http://schemas.microsoft.com/office/drawing/2014/chart" uri="{C3380CC4-5D6E-409C-BE32-E72D297353CC}">
                  <c16:uniqueId val="{00000011-FB8E-4C5B-B883-F9FC0AC082A9}"/>
                </c:ext>
              </c:extLst>
            </c:dLbl>
            <c:dLbl>
              <c:idx val="23"/>
              <c:delete val="1"/>
              <c:extLst>
                <c:ext xmlns:c15="http://schemas.microsoft.com/office/drawing/2012/chart" uri="{CE6537A1-D6FC-4f65-9D91-7224C49458BB}"/>
                <c:ext xmlns:c16="http://schemas.microsoft.com/office/drawing/2014/chart" uri="{C3380CC4-5D6E-409C-BE32-E72D297353CC}">
                  <c16:uniqueId val="{00000012-FB8E-4C5B-B883-F9FC0AC082A9}"/>
                </c:ext>
              </c:extLst>
            </c:dLbl>
            <c:dLbl>
              <c:idx val="24"/>
              <c:delete val="1"/>
              <c:extLst>
                <c:ext xmlns:c15="http://schemas.microsoft.com/office/drawing/2012/chart" uri="{CE6537A1-D6FC-4f65-9D91-7224C49458BB}"/>
                <c:ext xmlns:c16="http://schemas.microsoft.com/office/drawing/2014/chart" uri="{C3380CC4-5D6E-409C-BE32-E72D297353CC}">
                  <c16:uniqueId val="{00000004-46F5-44D2-BD71-E9E526646CF4}"/>
                </c:ext>
              </c:extLst>
            </c:dLbl>
            <c:dLbl>
              <c:idx val="26"/>
              <c:delete val="1"/>
              <c:extLst>
                <c:ext xmlns:c15="http://schemas.microsoft.com/office/drawing/2012/chart" uri="{CE6537A1-D6FC-4f65-9D91-7224C49458BB}"/>
                <c:ext xmlns:c16="http://schemas.microsoft.com/office/drawing/2014/chart" uri="{C3380CC4-5D6E-409C-BE32-E72D297353CC}">
                  <c16:uniqueId val="{00000014-FB8E-4C5B-B883-F9FC0AC082A9}"/>
                </c:ext>
              </c:extLst>
            </c:dLbl>
            <c:dLbl>
              <c:idx val="27"/>
              <c:delete val="1"/>
              <c:extLst>
                <c:ext xmlns:c15="http://schemas.microsoft.com/office/drawing/2012/chart" uri="{CE6537A1-D6FC-4f65-9D91-7224C49458BB}"/>
                <c:ext xmlns:c16="http://schemas.microsoft.com/office/drawing/2014/chart" uri="{C3380CC4-5D6E-409C-BE32-E72D297353CC}">
                  <c16:uniqueId val="{00000015-FB8E-4C5B-B883-F9FC0AC082A9}"/>
                </c:ext>
              </c:extLst>
            </c:dLbl>
            <c:dLbl>
              <c:idx val="28"/>
              <c:delete val="1"/>
              <c:extLst>
                <c:ext xmlns:c15="http://schemas.microsoft.com/office/drawing/2012/chart" uri="{CE6537A1-D6FC-4f65-9D91-7224C49458BB}"/>
                <c:ext xmlns:c16="http://schemas.microsoft.com/office/drawing/2014/chart" uri="{C3380CC4-5D6E-409C-BE32-E72D297353CC}">
                  <c16:uniqueId val="{00000016-FB8E-4C5B-B883-F9FC0AC082A9}"/>
                </c:ext>
              </c:extLst>
            </c:dLbl>
            <c:dLbl>
              <c:idx val="29"/>
              <c:delete val="1"/>
              <c:extLst>
                <c:ext xmlns:c15="http://schemas.microsoft.com/office/drawing/2012/chart" uri="{CE6537A1-D6FC-4f65-9D91-7224C49458BB}"/>
                <c:ext xmlns:c16="http://schemas.microsoft.com/office/drawing/2014/chart" uri="{C3380CC4-5D6E-409C-BE32-E72D297353CC}">
                  <c16:uniqueId val="{00000005-46F5-44D2-BD71-E9E526646CF4}"/>
                </c:ext>
              </c:extLst>
            </c:dLbl>
            <c:dLbl>
              <c:idx val="31"/>
              <c:delete val="1"/>
              <c:extLst>
                <c:ext xmlns:c15="http://schemas.microsoft.com/office/drawing/2012/chart" uri="{CE6537A1-D6FC-4f65-9D91-7224C49458BB}"/>
                <c:ext xmlns:c16="http://schemas.microsoft.com/office/drawing/2014/chart" uri="{C3380CC4-5D6E-409C-BE32-E72D297353CC}">
                  <c16:uniqueId val="{00000017-FB8E-4C5B-B883-F9FC0AC082A9}"/>
                </c:ext>
              </c:extLst>
            </c:dLbl>
            <c:dLbl>
              <c:idx val="32"/>
              <c:delete val="1"/>
              <c:extLst>
                <c:ext xmlns:c15="http://schemas.microsoft.com/office/drawing/2012/chart" uri="{CE6537A1-D6FC-4f65-9D91-7224C49458BB}"/>
                <c:ext xmlns:c16="http://schemas.microsoft.com/office/drawing/2014/chart" uri="{C3380CC4-5D6E-409C-BE32-E72D297353CC}">
                  <c16:uniqueId val="{00000018-FB8E-4C5B-B883-F9FC0AC082A9}"/>
                </c:ext>
              </c:extLst>
            </c:dLbl>
            <c:dLbl>
              <c:idx val="33"/>
              <c:delete val="1"/>
              <c:extLst>
                <c:ext xmlns:c15="http://schemas.microsoft.com/office/drawing/2012/chart" uri="{CE6537A1-D6FC-4f65-9D91-7224C49458BB}"/>
                <c:ext xmlns:c16="http://schemas.microsoft.com/office/drawing/2014/chart" uri="{C3380CC4-5D6E-409C-BE32-E72D297353CC}">
                  <c16:uniqueId val="{00000019-FB8E-4C5B-B883-F9FC0AC082A9}"/>
                </c:ext>
              </c:extLst>
            </c:dLbl>
            <c:dLbl>
              <c:idx val="34"/>
              <c:delete val="1"/>
              <c:extLst>
                <c:ext xmlns:c15="http://schemas.microsoft.com/office/drawing/2012/chart" uri="{CE6537A1-D6FC-4f65-9D91-7224C49458BB}"/>
                <c:ext xmlns:c16="http://schemas.microsoft.com/office/drawing/2014/chart" uri="{C3380CC4-5D6E-409C-BE32-E72D297353CC}">
                  <c16:uniqueId val="{00000006-46F5-44D2-BD71-E9E526646CF4}"/>
                </c:ext>
              </c:extLst>
            </c:dLbl>
            <c:spPr>
              <a:solidFill>
                <a:schemeClr val="lt1"/>
              </a:solidFill>
              <a:ln>
                <a:solidFill>
                  <a:srgbClr val="172C51"/>
                </a:solidFill>
              </a:ln>
              <a:effectLst/>
            </c:spPr>
            <c:txPr>
              <a:bodyPr rot="0" spcFirstLastPara="1" vertOverflow="clip" horzOverflow="clip" vert="horz" wrap="square" lIns="36576" tIns="18288" rIns="36576" bIns="18288" anchor="ctr" anchorCtr="1">
                <a:spAutoFit/>
              </a:bodyPr>
              <a:lstStyle/>
              <a:p>
                <a:pPr>
                  <a:defRPr sz="1100" b="1" i="0" u="none" strike="noStrike" kern="1200" baseline="0">
                    <a:solidFill>
                      <a:sysClr val="windowText" lastClr="000000"/>
                    </a:solidFill>
                    <a:latin typeface="Garamond" panose="02020404030301010803" pitchFamily="18"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numRef>
              <c:f>Data!$B$10:$B$45</c:f>
              <c:numCache>
                <c:formatCode>General</c:formatCode>
                <c:ptCount val="3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cat>
          <c:val>
            <c:numRef>
              <c:f>Data!$I$10:$I$45</c:f>
              <c:numCache>
                <c:formatCode>_("$"* #,##0_);_("$"* \(#,##0\);_("$"* "-"??_);_(@_)</c:formatCode>
                <c:ptCount val="36"/>
                <c:pt idx="0">
                  <c:v>0</c:v>
                </c:pt>
                <c:pt idx="1">
                  <c:v>34956</c:v>
                </c:pt>
                <c:pt idx="2">
                  <c:v>71135.459999999992</c:v>
                </c:pt>
                <c:pt idx="3">
                  <c:v>108581.20109999999</c:v>
                </c:pt>
                <c:pt idx="4">
                  <c:v>147337.54313849998</c:v>
                </c:pt>
                <c:pt idx="5">
                  <c:v>187450.35714834748</c:v>
                </c:pt>
                <c:pt idx="6">
                  <c:v>228967.11964853964</c:v>
                </c:pt>
                <c:pt idx="7">
                  <c:v>271936.96883623849</c:v>
                </c:pt>
                <c:pt idx="8">
                  <c:v>316410.76274550683</c:v>
                </c:pt>
                <c:pt idx="9">
                  <c:v>362441.13944159955</c:v>
                </c:pt>
                <c:pt idx="10">
                  <c:v>410082.57932205551</c:v>
                </c:pt>
                <c:pt idx="11">
                  <c:v>459391.46959832741</c:v>
                </c:pt>
                <c:pt idx="12">
                  <c:v>510426.17103426886</c:v>
                </c:pt>
                <c:pt idx="13">
                  <c:v>563247.0870204682</c:v>
                </c:pt>
                <c:pt idx="14">
                  <c:v>617916.73506618454</c:v>
                </c:pt>
                <c:pt idx="15">
                  <c:v>674499.82079350099</c:v>
                </c:pt>
                <c:pt idx="16">
                  <c:v>733063.31452127348</c:v>
                </c:pt>
                <c:pt idx="17">
                  <c:v>793676.53052951803</c:v>
                </c:pt>
                <c:pt idx="18">
                  <c:v>856411.20909805107</c:v>
                </c:pt>
                <c:pt idx="19">
                  <c:v>921341.60141648282</c:v>
                </c:pt>
                <c:pt idx="20">
                  <c:v>988544.55746605969</c:v>
                </c:pt>
                <c:pt idx="21">
                  <c:v>1058099.6169773717</c:v>
                </c:pt>
                <c:pt idx="22">
                  <c:v>1130089.1035715798</c:v>
                </c:pt>
                <c:pt idx="23">
                  <c:v>1204598.222196585</c:v>
                </c:pt>
                <c:pt idx="24">
                  <c:v>1281715.1599734654</c:v>
                </c:pt>
                <c:pt idx="25">
                  <c:v>1361531.1905725366</c:v>
                </c:pt>
                <c:pt idx="26">
                  <c:v>1444140.7822425752</c:v>
                </c:pt>
                <c:pt idx="27">
                  <c:v>1529641.7096210653</c:v>
                </c:pt>
                <c:pt idx="28">
                  <c:v>1618135.1694578025</c:v>
                </c:pt>
                <c:pt idx="29">
                  <c:v>1709725.9003888255</c:v>
                </c:pt>
                <c:pt idx="30">
                  <c:v>1804522.3069024342</c:v>
                </c:pt>
                <c:pt idx="31">
                  <c:v>1902636.5876440192</c:v>
                </c:pt>
                <c:pt idx="32">
                  <c:v>2004184.8682115597</c:v>
                </c:pt>
                <c:pt idx="33">
                  <c:v>2109287.3385989643</c:v>
                </c:pt>
                <c:pt idx="34">
                  <c:v>2218068.395449928</c:v>
                </c:pt>
                <c:pt idx="35">
                  <c:v>2330656.7892906754</c:v>
                </c:pt>
              </c:numCache>
            </c:numRef>
          </c:val>
          <c:extLst>
            <c:ext xmlns:c16="http://schemas.microsoft.com/office/drawing/2014/chart" uri="{C3380CC4-5D6E-409C-BE32-E72D297353CC}">
              <c16:uniqueId val="{0000001A-FB8E-4C5B-B883-F9FC0AC082A9}"/>
            </c:ext>
          </c:extLst>
        </c:ser>
        <c:ser>
          <c:idx val="0"/>
          <c:order val="1"/>
          <c:tx>
            <c:v>Accumulated Ownership Costs</c:v>
          </c:tx>
          <c:spPr>
            <a:solidFill>
              <a:srgbClr val="172C51"/>
            </a:solidFill>
            <a:ln w="12700">
              <a:solidFill>
                <a:schemeClr val="bg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22-FB8E-4C5B-B883-F9FC0AC082A9}"/>
                </c:ext>
              </c:extLst>
            </c:dLbl>
            <c:dLbl>
              <c:idx val="2"/>
              <c:delete val="1"/>
              <c:extLst>
                <c:ext xmlns:c15="http://schemas.microsoft.com/office/drawing/2012/chart" uri="{CE6537A1-D6FC-4f65-9D91-7224C49458BB}"/>
                <c:ext xmlns:c16="http://schemas.microsoft.com/office/drawing/2014/chart" uri="{C3380CC4-5D6E-409C-BE32-E72D297353CC}">
                  <c16:uniqueId val="{00000021-FB8E-4C5B-B883-F9FC0AC082A9}"/>
                </c:ext>
              </c:extLst>
            </c:dLbl>
            <c:dLbl>
              <c:idx val="3"/>
              <c:delete val="1"/>
              <c:extLst>
                <c:ext xmlns:c15="http://schemas.microsoft.com/office/drawing/2012/chart" uri="{CE6537A1-D6FC-4f65-9D91-7224C49458BB}"/>
                <c:ext xmlns:c16="http://schemas.microsoft.com/office/drawing/2014/chart" uri="{C3380CC4-5D6E-409C-BE32-E72D297353CC}">
                  <c16:uniqueId val="{00000023-FB8E-4C5B-B883-F9FC0AC082A9}"/>
                </c:ext>
              </c:extLst>
            </c:dLbl>
            <c:dLbl>
              <c:idx val="4"/>
              <c:delete val="1"/>
              <c:extLst>
                <c:ext xmlns:c15="http://schemas.microsoft.com/office/drawing/2012/chart" uri="{CE6537A1-D6FC-4f65-9D91-7224C49458BB}"/>
                <c:ext xmlns:c16="http://schemas.microsoft.com/office/drawing/2014/chart" uri="{C3380CC4-5D6E-409C-BE32-E72D297353CC}">
                  <c16:uniqueId val="{00000007-46F5-44D2-BD71-E9E526646CF4}"/>
                </c:ext>
              </c:extLst>
            </c:dLbl>
            <c:dLbl>
              <c:idx val="6"/>
              <c:delete val="1"/>
              <c:extLst>
                <c:ext xmlns:c15="http://schemas.microsoft.com/office/drawing/2012/chart" uri="{CE6537A1-D6FC-4f65-9D91-7224C49458BB}"/>
                <c:ext xmlns:c16="http://schemas.microsoft.com/office/drawing/2014/chart" uri="{C3380CC4-5D6E-409C-BE32-E72D297353CC}">
                  <c16:uniqueId val="{00000026-FB8E-4C5B-B883-F9FC0AC082A9}"/>
                </c:ext>
              </c:extLst>
            </c:dLbl>
            <c:dLbl>
              <c:idx val="7"/>
              <c:delete val="1"/>
              <c:extLst>
                <c:ext xmlns:c15="http://schemas.microsoft.com/office/drawing/2012/chart" uri="{CE6537A1-D6FC-4f65-9D91-7224C49458BB}"/>
                <c:ext xmlns:c16="http://schemas.microsoft.com/office/drawing/2014/chart" uri="{C3380CC4-5D6E-409C-BE32-E72D297353CC}">
                  <c16:uniqueId val="{00000027-FB8E-4C5B-B883-F9FC0AC082A9}"/>
                </c:ext>
              </c:extLst>
            </c:dLbl>
            <c:dLbl>
              <c:idx val="8"/>
              <c:delete val="1"/>
              <c:extLst>
                <c:ext xmlns:c15="http://schemas.microsoft.com/office/drawing/2012/chart" uri="{CE6537A1-D6FC-4f65-9D91-7224C49458BB}"/>
                <c:ext xmlns:c16="http://schemas.microsoft.com/office/drawing/2014/chart" uri="{C3380CC4-5D6E-409C-BE32-E72D297353CC}">
                  <c16:uniqueId val="{00000028-FB8E-4C5B-B883-F9FC0AC082A9}"/>
                </c:ext>
              </c:extLst>
            </c:dLbl>
            <c:dLbl>
              <c:idx val="9"/>
              <c:delete val="1"/>
              <c:extLst>
                <c:ext xmlns:c15="http://schemas.microsoft.com/office/drawing/2012/chart" uri="{CE6537A1-D6FC-4f65-9D91-7224C49458BB}"/>
                <c:ext xmlns:c16="http://schemas.microsoft.com/office/drawing/2014/chart" uri="{C3380CC4-5D6E-409C-BE32-E72D297353CC}">
                  <c16:uniqueId val="{00000008-46F5-44D2-BD71-E9E526646CF4}"/>
                </c:ext>
              </c:extLst>
            </c:dLbl>
            <c:dLbl>
              <c:idx val="11"/>
              <c:delete val="1"/>
              <c:extLst>
                <c:ext xmlns:c15="http://schemas.microsoft.com/office/drawing/2012/chart" uri="{CE6537A1-D6FC-4f65-9D91-7224C49458BB}"/>
                <c:ext xmlns:c16="http://schemas.microsoft.com/office/drawing/2014/chart" uri="{C3380CC4-5D6E-409C-BE32-E72D297353CC}">
                  <c16:uniqueId val="{0000002A-FB8E-4C5B-B883-F9FC0AC082A9}"/>
                </c:ext>
              </c:extLst>
            </c:dLbl>
            <c:dLbl>
              <c:idx val="12"/>
              <c:delete val="1"/>
              <c:extLst>
                <c:ext xmlns:c15="http://schemas.microsoft.com/office/drawing/2012/chart" uri="{CE6537A1-D6FC-4f65-9D91-7224C49458BB}"/>
                <c:ext xmlns:c16="http://schemas.microsoft.com/office/drawing/2014/chart" uri="{C3380CC4-5D6E-409C-BE32-E72D297353CC}">
                  <c16:uniqueId val="{0000002B-FB8E-4C5B-B883-F9FC0AC082A9}"/>
                </c:ext>
              </c:extLst>
            </c:dLbl>
            <c:dLbl>
              <c:idx val="13"/>
              <c:delete val="1"/>
              <c:extLst>
                <c:ext xmlns:c15="http://schemas.microsoft.com/office/drawing/2012/chart" uri="{CE6537A1-D6FC-4f65-9D91-7224C49458BB}"/>
                <c:ext xmlns:c16="http://schemas.microsoft.com/office/drawing/2014/chart" uri="{C3380CC4-5D6E-409C-BE32-E72D297353CC}">
                  <c16:uniqueId val="{0000002C-FB8E-4C5B-B883-F9FC0AC082A9}"/>
                </c:ext>
              </c:extLst>
            </c:dLbl>
            <c:dLbl>
              <c:idx val="14"/>
              <c:delete val="1"/>
              <c:extLst>
                <c:ext xmlns:c15="http://schemas.microsoft.com/office/drawing/2012/chart" uri="{CE6537A1-D6FC-4f65-9D91-7224C49458BB}"/>
                <c:ext xmlns:c16="http://schemas.microsoft.com/office/drawing/2014/chart" uri="{C3380CC4-5D6E-409C-BE32-E72D297353CC}">
                  <c16:uniqueId val="{00000009-46F5-44D2-BD71-E9E526646CF4}"/>
                </c:ext>
              </c:extLst>
            </c:dLbl>
            <c:dLbl>
              <c:idx val="16"/>
              <c:delete val="1"/>
              <c:extLst>
                <c:ext xmlns:c15="http://schemas.microsoft.com/office/drawing/2012/chart" uri="{CE6537A1-D6FC-4f65-9D91-7224C49458BB}"/>
                <c:ext xmlns:c16="http://schemas.microsoft.com/office/drawing/2014/chart" uri="{C3380CC4-5D6E-409C-BE32-E72D297353CC}">
                  <c16:uniqueId val="{0000002E-FB8E-4C5B-B883-F9FC0AC082A9}"/>
                </c:ext>
              </c:extLst>
            </c:dLbl>
            <c:dLbl>
              <c:idx val="17"/>
              <c:delete val="1"/>
              <c:extLst>
                <c:ext xmlns:c15="http://schemas.microsoft.com/office/drawing/2012/chart" uri="{CE6537A1-D6FC-4f65-9D91-7224C49458BB}"/>
                <c:ext xmlns:c16="http://schemas.microsoft.com/office/drawing/2014/chart" uri="{C3380CC4-5D6E-409C-BE32-E72D297353CC}">
                  <c16:uniqueId val="{0000002F-FB8E-4C5B-B883-F9FC0AC082A9}"/>
                </c:ext>
              </c:extLst>
            </c:dLbl>
            <c:dLbl>
              <c:idx val="18"/>
              <c:delete val="1"/>
              <c:extLst>
                <c:ext xmlns:c15="http://schemas.microsoft.com/office/drawing/2012/chart" uri="{CE6537A1-D6FC-4f65-9D91-7224C49458BB}"/>
                <c:ext xmlns:c16="http://schemas.microsoft.com/office/drawing/2014/chart" uri="{C3380CC4-5D6E-409C-BE32-E72D297353CC}">
                  <c16:uniqueId val="{00000030-FB8E-4C5B-B883-F9FC0AC082A9}"/>
                </c:ext>
              </c:extLst>
            </c:dLbl>
            <c:dLbl>
              <c:idx val="19"/>
              <c:delete val="1"/>
              <c:extLst>
                <c:ext xmlns:c15="http://schemas.microsoft.com/office/drawing/2012/chart" uri="{CE6537A1-D6FC-4f65-9D91-7224C49458BB}"/>
                <c:ext xmlns:c16="http://schemas.microsoft.com/office/drawing/2014/chart" uri="{C3380CC4-5D6E-409C-BE32-E72D297353CC}">
                  <c16:uniqueId val="{0000000A-46F5-44D2-BD71-E9E526646CF4}"/>
                </c:ext>
              </c:extLst>
            </c:dLbl>
            <c:dLbl>
              <c:idx val="21"/>
              <c:delete val="1"/>
              <c:extLst>
                <c:ext xmlns:c15="http://schemas.microsoft.com/office/drawing/2012/chart" uri="{CE6537A1-D6FC-4f65-9D91-7224C49458BB}"/>
                <c:ext xmlns:c16="http://schemas.microsoft.com/office/drawing/2014/chart" uri="{C3380CC4-5D6E-409C-BE32-E72D297353CC}">
                  <c16:uniqueId val="{00000032-FB8E-4C5B-B883-F9FC0AC082A9}"/>
                </c:ext>
              </c:extLst>
            </c:dLbl>
            <c:dLbl>
              <c:idx val="22"/>
              <c:delete val="1"/>
              <c:extLst>
                <c:ext xmlns:c15="http://schemas.microsoft.com/office/drawing/2012/chart" uri="{CE6537A1-D6FC-4f65-9D91-7224C49458BB}"/>
                <c:ext xmlns:c16="http://schemas.microsoft.com/office/drawing/2014/chart" uri="{C3380CC4-5D6E-409C-BE32-E72D297353CC}">
                  <c16:uniqueId val="{00000033-FB8E-4C5B-B883-F9FC0AC082A9}"/>
                </c:ext>
              </c:extLst>
            </c:dLbl>
            <c:dLbl>
              <c:idx val="23"/>
              <c:delete val="1"/>
              <c:extLst>
                <c:ext xmlns:c15="http://schemas.microsoft.com/office/drawing/2012/chart" uri="{CE6537A1-D6FC-4f65-9D91-7224C49458BB}"/>
                <c:ext xmlns:c16="http://schemas.microsoft.com/office/drawing/2014/chart" uri="{C3380CC4-5D6E-409C-BE32-E72D297353CC}">
                  <c16:uniqueId val="{00000034-FB8E-4C5B-B883-F9FC0AC082A9}"/>
                </c:ext>
              </c:extLst>
            </c:dLbl>
            <c:dLbl>
              <c:idx val="24"/>
              <c:delete val="1"/>
              <c:extLst>
                <c:ext xmlns:c15="http://schemas.microsoft.com/office/drawing/2012/chart" uri="{CE6537A1-D6FC-4f65-9D91-7224C49458BB}"/>
                <c:ext xmlns:c16="http://schemas.microsoft.com/office/drawing/2014/chart" uri="{C3380CC4-5D6E-409C-BE32-E72D297353CC}">
                  <c16:uniqueId val="{0000000B-46F5-44D2-BD71-E9E526646CF4}"/>
                </c:ext>
              </c:extLst>
            </c:dLbl>
            <c:dLbl>
              <c:idx val="26"/>
              <c:delete val="1"/>
              <c:extLst>
                <c:ext xmlns:c15="http://schemas.microsoft.com/office/drawing/2012/chart" uri="{CE6537A1-D6FC-4f65-9D91-7224C49458BB}"/>
                <c:ext xmlns:c16="http://schemas.microsoft.com/office/drawing/2014/chart" uri="{C3380CC4-5D6E-409C-BE32-E72D297353CC}">
                  <c16:uniqueId val="{00000036-FB8E-4C5B-B883-F9FC0AC082A9}"/>
                </c:ext>
              </c:extLst>
            </c:dLbl>
            <c:dLbl>
              <c:idx val="27"/>
              <c:delete val="1"/>
              <c:extLst>
                <c:ext xmlns:c15="http://schemas.microsoft.com/office/drawing/2012/chart" uri="{CE6537A1-D6FC-4f65-9D91-7224C49458BB}"/>
                <c:ext xmlns:c16="http://schemas.microsoft.com/office/drawing/2014/chart" uri="{C3380CC4-5D6E-409C-BE32-E72D297353CC}">
                  <c16:uniqueId val="{00000037-FB8E-4C5B-B883-F9FC0AC082A9}"/>
                </c:ext>
              </c:extLst>
            </c:dLbl>
            <c:dLbl>
              <c:idx val="28"/>
              <c:delete val="1"/>
              <c:extLst>
                <c:ext xmlns:c15="http://schemas.microsoft.com/office/drawing/2012/chart" uri="{CE6537A1-D6FC-4f65-9D91-7224C49458BB}"/>
                <c:ext xmlns:c16="http://schemas.microsoft.com/office/drawing/2014/chart" uri="{C3380CC4-5D6E-409C-BE32-E72D297353CC}">
                  <c16:uniqueId val="{00000038-FB8E-4C5B-B883-F9FC0AC082A9}"/>
                </c:ext>
              </c:extLst>
            </c:dLbl>
            <c:dLbl>
              <c:idx val="29"/>
              <c:delete val="1"/>
              <c:extLst>
                <c:ext xmlns:c15="http://schemas.microsoft.com/office/drawing/2012/chart" uri="{CE6537A1-D6FC-4f65-9D91-7224C49458BB}"/>
                <c:ext xmlns:c16="http://schemas.microsoft.com/office/drawing/2014/chart" uri="{C3380CC4-5D6E-409C-BE32-E72D297353CC}">
                  <c16:uniqueId val="{0000000C-46F5-44D2-BD71-E9E526646CF4}"/>
                </c:ext>
              </c:extLst>
            </c:dLbl>
            <c:dLbl>
              <c:idx val="31"/>
              <c:delete val="1"/>
              <c:extLst>
                <c:ext xmlns:c15="http://schemas.microsoft.com/office/drawing/2012/chart" uri="{CE6537A1-D6FC-4f65-9D91-7224C49458BB}"/>
                <c:ext xmlns:c16="http://schemas.microsoft.com/office/drawing/2014/chart" uri="{C3380CC4-5D6E-409C-BE32-E72D297353CC}">
                  <c16:uniqueId val="{0000003A-FB8E-4C5B-B883-F9FC0AC082A9}"/>
                </c:ext>
              </c:extLst>
            </c:dLbl>
            <c:dLbl>
              <c:idx val="32"/>
              <c:delete val="1"/>
              <c:extLst>
                <c:ext xmlns:c15="http://schemas.microsoft.com/office/drawing/2012/chart" uri="{CE6537A1-D6FC-4f65-9D91-7224C49458BB}"/>
                <c:ext xmlns:c16="http://schemas.microsoft.com/office/drawing/2014/chart" uri="{C3380CC4-5D6E-409C-BE32-E72D297353CC}">
                  <c16:uniqueId val="{0000003B-FB8E-4C5B-B883-F9FC0AC082A9}"/>
                </c:ext>
              </c:extLst>
            </c:dLbl>
            <c:dLbl>
              <c:idx val="33"/>
              <c:delete val="1"/>
              <c:extLst>
                <c:ext xmlns:c15="http://schemas.microsoft.com/office/drawing/2012/chart" uri="{CE6537A1-D6FC-4f65-9D91-7224C49458BB}"/>
                <c:ext xmlns:c16="http://schemas.microsoft.com/office/drawing/2014/chart" uri="{C3380CC4-5D6E-409C-BE32-E72D297353CC}">
                  <c16:uniqueId val="{0000003C-FB8E-4C5B-B883-F9FC0AC082A9}"/>
                </c:ext>
              </c:extLst>
            </c:dLbl>
            <c:dLbl>
              <c:idx val="34"/>
              <c:delete val="1"/>
              <c:extLst>
                <c:ext xmlns:c15="http://schemas.microsoft.com/office/drawing/2012/chart" uri="{CE6537A1-D6FC-4f65-9D91-7224C49458BB}"/>
                <c:ext xmlns:c16="http://schemas.microsoft.com/office/drawing/2014/chart" uri="{C3380CC4-5D6E-409C-BE32-E72D297353CC}">
                  <c16:uniqueId val="{0000000D-46F5-44D2-BD71-E9E526646CF4}"/>
                </c:ext>
              </c:extLst>
            </c:dLbl>
            <c:spPr>
              <a:solidFill>
                <a:schemeClr val="lt1"/>
              </a:solidFill>
              <a:ln>
                <a:solidFill>
                  <a:srgbClr val="172C51"/>
                </a:solidFill>
              </a:ln>
              <a:effectLst/>
            </c:spPr>
            <c:txPr>
              <a:bodyPr rot="0" spcFirstLastPara="1" vertOverflow="clip" horzOverflow="clip" vert="horz" wrap="square" lIns="36576" tIns="18288" rIns="36576" bIns="18288" anchor="ctr" anchorCtr="1">
                <a:spAutoFit/>
              </a:bodyPr>
              <a:lstStyle/>
              <a:p>
                <a:pPr>
                  <a:defRPr sz="1100" b="1" i="0" u="none" strike="noStrike" kern="1200" baseline="0">
                    <a:solidFill>
                      <a:sysClr val="windowText" lastClr="000000"/>
                    </a:solidFill>
                    <a:latin typeface="Garamond" panose="02020404030301010803" pitchFamily="18"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Data!$B$10:$B$45</c:f>
              <c:numCache>
                <c:formatCode>General</c:formatCode>
                <c:ptCount val="3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cat>
          <c:val>
            <c:numRef>
              <c:f>Data!$W$10:$W$45</c:f>
              <c:numCache>
                <c:formatCode>_("$"* #,##0_);_("$"* \(#,##0\);_("$"* "-"??_);_(@_)</c:formatCode>
                <c:ptCount val="36"/>
                <c:pt idx="0">
                  <c:v>0</c:v>
                </c:pt>
                <c:pt idx="1">
                  <c:v>44201.345565042793</c:v>
                </c:pt>
                <c:pt idx="2">
                  <c:v>88598.883630085591</c:v>
                </c:pt>
                <c:pt idx="3">
                  <c:v>133199.48093262839</c:v>
                </c:pt>
                <c:pt idx="4">
                  <c:v>176354.24454598367</c:v>
                </c:pt>
                <c:pt idx="5">
                  <c:v>219726.53029102989</c:v>
                </c:pt>
                <c:pt idx="6">
                  <c:v>263323.95144237624</c:v>
                </c:pt>
                <c:pt idx="7">
                  <c:v>307154.38773924322</c:v>
                </c:pt>
                <c:pt idx="8">
                  <c:v>351225.99471172405</c:v>
                </c:pt>
                <c:pt idx="9">
                  <c:v>395547.21333346522</c:v>
                </c:pt>
                <c:pt idx="10">
                  <c:v>440126.78001219081</c:v>
                </c:pt>
                <c:pt idx="11">
                  <c:v>484973.7369298953</c:v>
                </c:pt>
                <c:pt idx="12">
                  <c:v>530097.44274494296</c:v>
                </c:pt>
                <c:pt idx="13">
                  <c:v>575507.58366874082</c:v>
                </c:pt>
                <c:pt idx="14">
                  <c:v>621214.1849300951</c:v>
                </c:pt>
                <c:pt idx="15">
                  <c:v>667227.62264082022</c:v>
                </c:pt>
                <c:pt idx="16">
                  <c:v>713558.6360766443</c:v>
                </c:pt>
                <c:pt idx="17">
                  <c:v>760218.34038794565</c:v>
                </c:pt>
                <c:pt idx="18">
                  <c:v>807218.23975536611</c:v>
                </c:pt>
                <c:pt idx="19">
                  <c:v>854570.2410058697</c:v>
                </c:pt>
                <c:pt idx="20">
                  <c:v>902286.66770536441</c:v>
                </c:pt>
                <c:pt idx="21">
                  <c:v>950380.27474456502</c:v>
                </c:pt>
                <c:pt idx="22">
                  <c:v>998864.26343536109</c:v>
                </c:pt>
                <c:pt idx="23">
                  <c:v>1047752.2971355586</c:v>
                </c:pt>
                <c:pt idx="24">
                  <c:v>1097058.5174204865</c:v>
                </c:pt>
                <c:pt idx="25">
                  <c:v>1146797.5608206105</c:v>
                </c:pt>
                <c:pt idx="26">
                  <c:v>1196984.5761449621</c:v>
                </c:pt>
                <c:pt idx="27">
                  <c:v>1247635.2424108896</c:v>
                </c:pt>
                <c:pt idx="28">
                  <c:v>1298765.7874013481</c:v>
                </c:pt>
                <c:pt idx="29">
                  <c:v>1350393.0068716961</c:v>
                </c:pt>
                <c:pt idx="30">
                  <c:v>1402534.2844287297</c:v>
                </c:pt>
                <c:pt idx="31">
                  <c:v>1455207.612105483</c:v>
                </c:pt>
                <c:pt idx="32">
                  <c:v>1471491.7660911034</c:v>
                </c:pt>
                <c:pt idx="33">
                  <c:v>1488345.8654662205</c:v>
                </c:pt>
                <c:pt idx="34">
                  <c:v>1505789.8583194667</c:v>
                </c:pt>
                <c:pt idx="35">
                  <c:v>1523844.3909225767</c:v>
                </c:pt>
              </c:numCache>
            </c:numRef>
          </c:val>
          <c:extLst>
            <c:ext xmlns:c16="http://schemas.microsoft.com/office/drawing/2014/chart" uri="{C3380CC4-5D6E-409C-BE32-E72D297353CC}">
              <c16:uniqueId val="{0000001F-FB8E-4C5B-B883-F9FC0AC082A9}"/>
            </c:ext>
          </c:extLst>
        </c:ser>
        <c:dLbls>
          <c:dLblPos val="outEnd"/>
          <c:showLegendKey val="0"/>
          <c:showVal val="1"/>
          <c:showCatName val="0"/>
          <c:showSerName val="0"/>
          <c:showPercent val="0"/>
          <c:showBubbleSize val="0"/>
        </c:dLbls>
        <c:gapWidth val="150"/>
        <c:axId val="1404453696"/>
        <c:axId val="1447984544"/>
      </c:barChart>
      <c:catAx>
        <c:axId val="1404453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Garamond" panose="02020404030301010803" pitchFamily="18" charset="0"/>
                <a:ea typeface="+mn-ea"/>
                <a:cs typeface="+mn-cs"/>
              </a:defRPr>
            </a:pPr>
            <a:endParaRPr lang="en-US"/>
          </a:p>
        </c:txPr>
        <c:crossAx val="1447984544"/>
        <c:crosses val="autoZero"/>
        <c:auto val="1"/>
        <c:lblAlgn val="ctr"/>
        <c:lblOffset val="100"/>
        <c:noMultiLvlLbl val="0"/>
      </c:catAx>
      <c:valAx>
        <c:axId val="144798454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Garamond" panose="02020404030301010803" pitchFamily="18" charset="0"/>
                <a:ea typeface="+mn-ea"/>
                <a:cs typeface="+mn-cs"/>
              </a:defRPr>
            </a:pPr>
            <a:endParaRPr lang="en-US"/>
          </a:p>
        </c:txPr>
        <c:crossAx val="1404453696"/>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400" b="1" i="0" u="none" strike="noStrike" kern="1200" baseline="0">
                <a:solidFill>
                  <a:sysClr val="windowText" lastClr="000000"/>
                </a:solidFill>
                <a:latin typeface="Garamond" panose="02020404030301010803" pitchFamily="18" charset="0"/>
                <a:ea typeface="+mn-ea"/>
                <a:cs typeface="+mn-cs"/>
              </a:defRPr>
            </a:pPr>
            <a:endParaRPr lang="en-US"/>
          </a:p>
        </c:txPr>
      </c:legendEntry>
      <c:legendEntry>
        <c:idx val="1"/>
        <c:txPr>
          <a:bodyPr rot="0" spcFirstLastPara="1" vertOverflow="ellipsis" vert="horz" wrap="square" anchor="ctr" anchorCtr="1"/>
          <a:lstStyle/>
          <a:p>
            <a:pPr>
              <a:defRPr sz="1200" b="1" i="0" u="none" strike="noStrike" kern="1200" baseline="0">
                <a:solidFill>
                  <a:sysClr val="windowText" lastClr="000000"/>
                </a:solidFill>
                <a:latin typeface="Garamond" panose="02020404030301010803" pitchFamily="18" charset="0"/>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gradFill>
    <a:ln w="9525" cap="flat" cmpd="sng" algn="ctr">
      <a:solidFill>
        <a:schemeClr val="tx1">
          <a:lumMod val="50000"/>
          <a:lumOff val="50000"/>
        </a:schemeClr>
      </a:solidFill>
      <a:round/>
    </a:ln>
    <a:effectLst>
      <a:outerShdw blurRad="50800" dist="38100" dir="2700000" algn="tl" rotWithShape="0">
        <a:prstClr val="black">
          <a:alpha val="40000"/>
        </a:prstClr>
      </a:outerShdw>
    </a:effectLst>
  </c:spPr>
  <c:txPr>
    <a:bodyPr/>
    <a:lstStyle/>
    <a:p>
      <a:pPr>
        <a:defRPr sz="1100">
          <a:latin typeface="Garamond" panose="02020404030301010803" pitchFamily="18" charset="0"/>
        </a:defRPr>
      </a:pPr>
      <a:endParaRPr lang="en-US"/>
    </a:p>
  </c:txPr>
  <c:printSettings>
    <c:headerFooter/>
    <c:pageMargins b="0.75" l="0.25" r="0.25"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Garamond" panose="02020404030301010803" pitchFamily="18" charset="0"/>
                <a:ea typeface="+mn-ea"/>
                <a:cs typeface="+mn-cs"/>
              </a:defRPr>
            </a:pPr>
            <a:r>
              <a:rPr lang="en-US" sz="2000" b="1">
                <a:latin typeface="Garamond" panose="02020404030301010803" pitchFamily="18" charset="0"/>
              </a:rPr>
              <a:t>Total Wealth Difference</a:t>
            </a:r>
          </a:p>
          <a:p>
            <a:pPr>
              <a:defRPr sz="2000" b="1">
                <a:latin typeface="Garamond" panose="02020404030301010803" pitchFamily="18" charset="0"/>
              </a:defRPr>
            </a:pPr>
            <a:r>
              <a:rPr lang="en-US" sz="2000" b="1">
                <a:latin typeface="Garamond" panose="02020404030301010803" pitchFamily="18" charset="0"/>
              </a:rPr>
              <a:t>(Equity &amp; Total Cost)</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Garamond" panose="02020404030301010803" pitchFamily="18" charset="0"/>
              <a:ea typeface="+mn-ea"/>
              <a:cs typeface="+mn-cs"/>
            </a:defRPr>
          </a:pPr>
          <a:endParaRPr lang="en-US"/>
        </a:p>
      </c:txPr>
    </c:title>
    <c:autoTitleDeleted val="0"/>
    <c:plotArea>
      <c:layout>
        <c:manualLayout>
          <c:layoutTarget val="inner"/>
          <c:xMode val="edge"/>
          <c:yMode val="edge"/>
          <c:x val="5.6266870065187061E-2"/>
          <c:y val="1.0823707614113855E-2"/>
          <c:w val="0.93005701764924298"/>
          <c:h val="0.846746293761929"/>
        </c:manualLayout>
      </c:layout>
      <c:lineChart>
        <c:grouping val="standard"/>
        <c:varyColors val="0"/>
        <c:ser>
          <c:idx val="0"/>
          <c:order val="0"/>
          <c:tx>
            <c:v>Owner Wealth</c:v>
          </c:tx>
          <c:spPr>
            <a:ln w="28575" cap="rnd">
              <a:solidFill>
                <a:srgbClr val="172C5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2435-43E1-8020-2673EA0859E8}"/>
                </c:ext>
              </c:extLst>
            </c:dLbl>
            <c:dLbl>
              <c:idx val="1"/>
              <c:delete val="1"/>
              <c:extLst>
                <c:ext xmlns:c15="http://schemas.microsoft.com/office/drawing/2012/chart" uri="{CE6537A1-D6FC-4f65-9D91-7224C49458BB}"/>
                <c:ext xmlns:c16="http://schemas.microsoft.com/office/drawing/2014/chart" uri="{C3380CC4-5D6E-409C-BE32-E72D297353CC}">
                  <c16:uniqueId val="{00000001-2435-43E1-8020-2673EA0859E8}"/>
                </c:ext>
              </c:extLst>
            </c:dLbl>
            <c:dLbl>
              <c:idx val="2"/>
              <c:delete val="1"/>
              <c:extLst>
                <c:ext xmlns:c15="http://schemas.microsoft.com/office/drawing/2012/chart" uri="{CE6537A1-D6FC-4f65-9D91-7224C49458BB}"/>
                <c:ext xmlns:c16="http://schemas.microsoft.com/office/drawing/2014/chart" uri="{C3380CC4-5D6E-409C-BE32-E72D297353CC}">
                  <c16:uniqueId val="{00000002-2435-43E1-8020-2673EA0859E8}"/>
                </c:ext>
              </c:extLst>
            </c:dLbl>
            <c:dLbl>
              <c:idx val="3"/>
              <c:delete val="1"/>
              <c:extLst>
                <c:ext xmlns:c15="http://schemas.microsoft.com/office/drawing/2012/chart" uri="{CE6537A1-D6FC-4f65-9D91-7224C49458BB}"/>
                <c:ext xmlns:c16="http://schemas.microsoft.com/office/drawing/2014/chart" uri="{C3380CC4-5D6E-409C-BE32-E72D297353CC}">
                  <c16:uniqueId val="{00000003-2435-43E1-8020-2673EA0859E8}"/>
                </c:ext>
              </c:extLst>
            </c:dLbl>
            <c:dLbl>
              <c:idx val="5"/>
              <c:delete val="1"/>
              <c:extLst>
                <c:ext xmlns:c15="http://schemas.microsoft.com/office/drawing/2012/chart" uri="{CE6537A1-D6FC-4f65-9D91-7224C49458BB}"/>
                <c:ext xmlns:c16="http://schemas.microsoft.com/office/drawing/2014/chart" uri="{C3380CC4-5D6E-409C-BE32-E72D297353CC}">
                  <c16:uniqueId val="{00000004-2435-43E1-8020-2673EA0859E8}"/>
                </c:ext>
              </c:extLst>
            </c:dLbl>
            <c:dLbl>
              <c:idx val="6"/>
              <c:delete val="1"/>
              <c:extLst>
                <c:ext xmlns:c15="http://schemas.microsoft.com/office/drawing/2012/chart" uri="{CE6537A1-D6FC-4f65-9D91-7224C49458BB}"/>
                <c:ext xmlns:c16="http://schemas.microsoft.com/office/drawing/2014/chart" uri="{C3380CC4-5D6E-409C-BE32-E72D297353CC}">
                  <c16:uniqueId val="{00000005-2435-43E1-8020-2673EA0859E8}"/>
                </c:ext>
              </c:extLst>
            </c:dLbl>
            <c:dLbl>
              <c:idx val="7"/>
              <c:delete val="1"/>
              <c:extLst>
                <c:ext xmlns:c15="http://schemas.microsoft.com/office/drawing/2012/chart" uri="{CE6537A1-D6FC-4f65-9D91-7224C49458BB}"/>
                <c:ext xmlns:c16="http://schemas.microsoft.com/office/drawing/2014/chart" uri="{C3380CC4-5D6E-409C-BE32-E72D297353CC}">
                  <c16:uniqueId val="{00000006-2435-43E1-8020-2673EA0859E8}"/>
                </c:ext>
              </c:extLst>
            </c:dLbl>
            <c:dLbl>
              <c:idx val="8"/>
              <c:delete val="1"/>
              <c:extLst>
                <c:ext xmlns:c15="http://schemas.microsoft.com/office/drawing/2012/chart" uri="{CE6537A1-D6FC-4f65-9D91-7224C49458BB}"/>
                <c:ext xmlns:c16="http://schemas.microsoft.com/office/drawing/2014/chart" uri="{C3380CC4-5D6E-409C-BE32-E72D297353CC}">
                  <c16:uniqueId val="{00000007-2435-43E1-8020-2673EA0859E8}"/>
                </c:ext>
              </c:extLst>
            </c:dLbl>
            <c:dLbl>
              <c:idx val="10"/>
              <c:delete val="1"/>
              <c:extLst>
                <c:ext xmlns:c15="http://schemas.microsoft.com/office/drawing/2012/chart" uri="{CE6537A1-D6FC-4f65-9D91-7224C49458BB}"/>
                <c:ext xmlns:c16="http://schemas.microsoft.com/office/drawing/2014/chart" uri="{C3380CC4-5D6E-409C-BE32-E72D297353CC}">
                  <c16:uniqueId val="{00000008-2435-43E1-8020-2673EA0859E8}"/>
                </c:ext>
              </c:extLst>
            </c:dLbl>
            <c:dLbl>
              <c:idx val="11"/>
              <c:delete val="1"/>
              <c:extLst>
                <c:ext xmlns:c15="http://schemas.microsoft.com/office/drawing/2012/chart" uri="{CE6537A1-D6FC-4f65-9D91-7224C49458BB}"/>
                <c:ext xmlns:c16="http://schemas.microsoft.com/office/drawing/2014/chart" uri="{C3380CC4-5D6E-409C-BE32-E72D297353CC}">
                  <c16:uniqueId val="{00000009-2435-43E1-8020-2673EA0859E8}"/>
                </c:ext>
              </c:extLst>
            </c:dLbl>
            <c:dLbl>
              <c:idx val="12"/>
              <c:delete val="1"/>
              <c:extLst>
                <c:ext xmlns:c15="http://schemas.microsoft.com/office/drawing/2012/chart" uri="{CE6537A1-D6FC-4f65-9D91-7224C49458BB}"/>
                <c:ext xmlns:c16="http://schemas.microsoft.com/office/drawing/2014/chart" uri="{C3380CC4-5D6E-409C-BE32-E72D297353CC}">
                  <c16:uniqueId val="{0000000A-2435-43E1-8020-2673EA0859E8}"/>
                </c:ext>
              </c:extLst>
            </c:dLbl>
            <c:dLbl>
              <c:idx val="13"/>
              <c:delete val="1"/>
              <c:extLst>
                <c:ext xmlns:c15="http://schemas.microsoft.com/office/drawing/2012/chart" uri="{CE6537A1-D6FC-4f65-9D91-7224C49458BB}"/>
                <c:ext xmlns:c16="http://schemas.microsoft.com/office/drawing/2014/chart" uri="{C3380CC4-5D6E-409C-BE32-E72D297353CC}">
                  <c16:uniqueId val="{0000000B-2435-43E1-8020-2673EA0859E8}"/>
                </c:ext>
              </c:extLst>
            </c:dLbl>
            <c:dLbl>
              <c:idx val="15"/>
              <c:delete val="1"/>
              <c:extLst>
                <c:ext xmlns:c15="http://schemas.microsoft.com/office/drawing/2012/chart" uri="{CE6537A1-D6FC-4f65-9D91-7224C49458BB}"/>
                <c:ext xmlns:c16="http://schemas.microsoft.com/office/drawing/2014/chart" uri="{C3380CC4-5D6E-409C-BE32-E72D297353CC}">
                  <c16:uniqueId val="{0000000C-2435-43E1-8020-2673EA0859E8}"/>
                </c:ext>
              </c:extLst>
            </c:dLbl>
            <c:dLbl>
              <c:idx val="16"/>
              <c:delete val="1"/>
              <c:extLst>
                <c:ext xmlns:c15="http://schemas.microsoft.com/office/drawing/2012/chart" uri="{CE6537A1-D6FC-4f65-9D91-7224C49458BB}"/>
                <c:ext xmlns:c16="http://schemas.microsoft.com/office/drawing/2014/chart" uri="{C3380CC4-5D6E-409C-BE32-E72D297353CC}">
                  <c16:uniqueId val="{0000000D-2435-43E1-8020-2673EA0859E8}"/>
                </c:ext>
              </c:extLst>
            </c:dLbl>
            <c:dLbl>
              <c:idx val="17"/>
              <c:delete val="1"/>
              <c:extLst>
                <c:ext xmlns:c15="http://schemas.microsoft.com/office/drawing/2012/chart" uri="{CE6537A1-D6FC-4f65-9D91-7224C49458BB}"/>
                <c:ext xmlns:c16="http://schemas.microsoft.com/office/drawing/2014/chart" uri="{C3380CC4-5D6E-409C-BE32-E72D297353CC}">
                  <c16:uniqueId val="{0000000E-2435-43E1-8020-2673EA0859E8}"/>
                </c:ext>
              </c:extLst>
            </c:dLbl>
            <c:dLbl>
              <c:idx val="18"/>
              <c:delete val="1"/>
              <c:extLst>
                <c:ext xmlns:c15="http://schemas.microsoft.com/office/drawing/2012/chart" uri="{CE6537A1-D6FC-4f65-9D91-7224C49458BB}"/>
                <c:ext xmlns:c16="http://schemas.microsoft.com/office/drawing/2014/chart" uri="{C3380CC4-5D6E-409C-BE32-E72D297353CC}">
                  <c16:uniqueId val="{0000000F-2435-43E1-8020-2673EA0859E8}"/>
                </c:ext>
              </c:extLst>
            </c:dLbl>
            <c:numFmt formatCode="&quot;$&quot;#,##0_);[Red]\(&quot;$&quot;#,##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Garamond" panose="02020404030301010803" pitchFamily="18"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Data!$AF$11:$AF$45</c15:sqref>
                  </c15:fullRef>
                </c:ext>
              </c:extLst>
              <c:f>Data!$AF$11:$AF$30</c:f>
              <c:numCache>
                <c:formatCode>_("$"* #,##0_);_("$"* \(#,##0\);_("$"* "-"??_);_(@_)</c:formatCode>
                <c:ptCount val="20"/>
                <c:pt idx="0">
                  <c:v>-18458.89202728057</c:v>
                </c:pt>
                <c:pt idx="1">
                  <c:v>-35824.724673303746</c:v>
                </c:pt>
                <c:pt idx="2">
                  <c:v>-52036.540686935303</c:v>
                </c:pt>
                <c:pt idx="3">
                  <c:v>-65373.835908321256</c:v>
                </c:pt>
                <c:pt idx="4">
                  <c:v>-77424.342147917079</c:v>
                </c:pt>
                <c:pt idx="5">
                  <c:v>-88115.796080250177</c:v>
                </c:pt>
                <c:pt idx="6">
                  <c:v>-97371.693210503552</c:v>
                </c:pt>
                <c:pt idx="7">
                  <c:v>-105111.02590630943</c:v>
                </c:pt>
                <c:pt idx="8">
                  <c:v>-111248.00441674603</c:v>
                </c:pt>
                <c:pt idx="9">
                  <c:v>-115691.75972508814</c:v>
                </c:pt>
                <c:pt idx="10">
                  <c:v>-118346.02700101276</c:v>
                </c:pt>
                <c:pt idx="11">
                  <c:v>-119108.80833131215</c:v>
                </c:pt>
                <c:pt idx="12">
                  <c:v>-117872.01331528416</c:v>
                </c:pt>
                <c:pt idx="13">
                  <c:v>-114521.07601141185</c:v>
                </c:pt>
                <c:pt idx="14">
                  <c:v>-108934.54661521583</c:v>
                </c:pt>
                <c:pt idx="15">
                  <c:v>-100983.65613374114</c:v>
                </c:pt>
                <c:pt idx="16">
                  <c:v>-90531.852199461428</c:v>
                </c:pt>
                <c:pt idx="17">
                  <c:v>-77434.304034851026</c:v>
                </c:pt>
                <c:pt idx="18">
                  <c:v>-61537.374437824357</c:v>
                </c:pt>
                <c:pt idx="19">
                  <c:v>-42678.056506997207</c:v>
                </c:pt>
              </c:numCache>
            </c:numRef>
          </c:val>
          <c:smooth val="0"/>
          <c:extLst>
            <c:ext xmlns:c15="http://schemas.microsoft.com/office/drawing/2012/chart" uri="{02D57815-91ED-43cb-92C2-25804820EDAC}">
              <c15:categoryFilterExceptions>
                <c15:categoryFilterException>
                  <c15:sqref>Data!$AF$31</c15:sqref>
                  <c15:dLbl>
                    <c:idx val="19"/>
                    <c:delete val="1"/>
                    <c:extLst>
                      <c:ext uri="{CE6537A1-D6FC-4f65-9D91-7224C49458BB}"/>
                      <c:ext xmlns:c16="http://schemas.microsoft.com/office/drawing/2014/chart" uri="{C3380CC4-5D6E-409C-BE32-E72D297353CC}">
                        <c16:uniqueId val="{00000000-3AC8-4169-9242-7F89F4EB693B}"/>
                      </c:ext>
                    </c:extLst>
                  </c15:dLbl>
                </c15:categoryFilterException>
                <c15:categoryFilterException>
                  <c15:sqref>Data!$AF$32</c15:sqref>
                  <c15:dLbl>
                    <c:idx val="19"/>
                    <c:delete val="1"/>
                    <c:extLst>
                      <c:ext uri="{CE6537A1-D6FC-4f65-9D91-7224C49458BB}"/>
                      <c:ext xmlns:c16="http://schemas.microsoft.com/office/drawing/2014/chart" uri="{C3380CC4-5D6E-409C-BE32-E72D297353CC}">
                        <c16:uniqueId val="{00000001-3AC8-4169-9242-7F89F4EB693B}"/>
                      </c:ext>
                    </c:extLst>
                  </c15:dLbl>
                </c15:categoryFilterException>
                <c15:categoryFilterException>
                  <c15:sqref>Data!$AF$33</c15:sqref>
                  <c15:dLbl>
                    <c:idx val="19"/>
                    <c:delete val="1"/>
                    <c:extLst>
                      <c:ext uri="{CE6537A1-D6FC-4f65-9D91-7224C49458BB}"/>
                      <c:ext xmlns:c16="http://schemas.microsoft.com/office/drawing/2014/chart" uri="{C3380CC4-5D6E-409C-BE32-E72D297353CC}">
                        <c16:uniqueId val="{00000002-3AC8-4169-9242-7F89F4EB693B}"/>
                      </c:ext>
                    </c:extLst>
                  </c15:dLbl>
                </c15:categoryFilterException>
                <c15:categoryFilterException>
                  <c15:sqref>Data!$AF$34</c15:sqref>
                  <c15:dLbl>
                    <c:idx val="19"/>
                    <c:delete val="1"/>
                    <c:extLst>
                      <c:ext uri="{CE6537A1-D6FC-4f65-9D91-7224C49458BB}"/>
                      <c:ext xmlns:c16="http://schemas.microsoft.com/office/drawing/2014/chart" uri="{C3380CC4-5D6E-409C-BE32-E72D297353CC}">
                        <c16:uniqueId val="{00000003-3AC8-4169-9242-7F89F4EB693B}"/>
                      </c:ext>
                    </c:extLst>
                  </c15:dLbl>
                </c15:categoryFilterException>
                <c15:categoryFilterException>
                  <c15:sqref>Data!$AF$36</c15:sqref>
                  <c15:dLbl>
                    <c:idx val="19"/>
                    <c:delete val="1"/>
                    <c:extLst>
                      <c:ext uri="{CE6537A1-D6FC-4f65-9D91-7224C49458BB}"/>
                      <c:ext xmlns:c16="http://schemas.microsoft.com/office/drawing/2014/chart" uri="{C3380CC4-5D6E-409C-BE32-E72D297353CC}">
                        <c16:uniqueId val="{00000004-3AC8-4169-9242-7F89F4EB693B}"/>
                      </c:ext>
                    </c:extLst>
                  </c15:dLbl>
                </c15:categoryFilterException>
                <c15:categoryFilterException>
                  <c15:sqref>Data!$AF$37</c15:sqref>
                  <c15:dLbl>
                    <c:idx val="19"/>
                    <c:delete val="1"/>
                    <c:extLst>
                      <c:ext uri="{CE6537A1-D6FC-4f65-9D91-7224C49458BB}"/>
                      <c:ext xmlns:c16="http://schemas.microsoft.com/office/drawing/2014/chart" uri="{C3380CC4-5D6E-409C-BE32-E72D297353CC}">
                        <c16:uniqueId val="{00000005-3AC8-4169-9242-7F89F4EB693B}"/>
                      </c:ext>
                    </c:extLst>
                  </c15:dLbl>
                </c15:categoryFilterException>
                <c15:categoryFilterException>
                  <c15:sqref>Data!$AF$38</c15:sqref>
                  <c15:dLbl>
                    <c:idx val="19"/>
                    <c:delete val="1"/>
                    <c:extLst>
                      <c:ext uri="{CE6537A1-D6FC-4f65-9D91-7224C49458BB}"/>
                      <c:ext xmlns:c16="http://schemas.microsoft.com/office/drawing/2014/chart" uri="{C3380CC4-5D6E-409C-BE32-E72D297353CC}">
                        <c16:uniqueId val="{00000006-3AC8-4169-9242-7F89F4EB693B}"/>
                      </c:ext>
                    </c:extLst>
                  </c15:dLbl>
                </c15:categoryFilterException>
                <c15:categoryFilterException>
                  <c15:sqref>Data!$AF$39</c15:sqref>
                  <c15:dLbl>
                    <c:idx val="19"/>
                    <c:delete val="1"/>
                    <c:extLst>
                      <c:ext uri="{CE6537A1-D6FC-4f65-9D91-7224C49458BB}"/>
                      <c:ext xmlns:c16="http://schemas.microsoft.com/office/drawing/2014/chart" uri="{C3380CC4-5D6E-409C-BE32-E72D297353CC}">
                        <c16:uniqueId val="{00000007-3AC8-4169-9242-7F89F4EB693B}"/>
                      </c:ext>
                    </c:extLst>
                  </c15:dLbl>
                </c15:categoryFilterException>
                <c15:categoryFilterException>
                  <c15:sqref>Data!$AF$41</c15:sqref>
                  <c15:dLbl>
                    <c:idx val="19"/>
                    <c:delete val="1"/>
                    <c:extLst>
                      <c:ext uri="{CE6537A1-D6FC-4f65-9D91-7224C49458BB}"/>
                      <c:ext xmlns:c16="http://schemas.microsoft.com/office/drawing/2014/chart" uri="{C3380CC4-5D6E-409C-BE32-E72D297353CC}">
                        <c16:uniqueId val="{00000008-3AC8-4169-9242-7F89F4EB693B}"/>
                      </c:ext>
                    </c:extLst>
                  </c15:dLbl>
                </c15:categoryFilterException>
                <c15:categoryFilterException>
                  <c15:sqref>Data!$AF$42</c15:sqref>
                  <c15:dLbl>
                    <c:idx val="19"/>
                    <c:delete val="1"/>
                    <c:extLst>
                      <c:ext uri="{CE6537A1-D6FC-4f65-9D91-7224C49458BB}"/>
                      <c:ext xmlns:c16="http://schemas.microsoft.com/office/drawing/2014/chart" uri="{C3380CC4-5D6E-409C-BE32-E72D297353CC}">
                        <c16:uniqueId val="{00000009-3AC8-4169-9242-7F89F4EB693B}"/>
                      </c:ext>
                    </c:extLst>
                  </c15:dLbl>
                </c15:categoryFilterException>
                <c15:categoryFilterException>
                  <c15:sqref>Data!$AF$43</c15:sqref>
                  <c15:dLbl>
                    <c:idx val="19"/>
                    <c:delete val="1"/>
                    <c:extLst>
                      <c:ext uri="{CE6537A1-D6FC-4f65-9D91-7224C49458BB}"/>
                      <c:ext xmlns:c16="http://schemas.microsoft.com/office/drawing/2014/chart" uri="{C3380CC4-5D6E-409C-BE32-E72D297353CC}">
                        <c16:uniqueId val="{0000000A-3AC8-4169-9242-7F89F4EB693B}"/>
                      </c:ext>
                    </c:extLst>
                  </c15:dLbl>
                </c15:categoryFilterException>
                <c15:categoryFilterException>
                  <c15:sqref>Data!$AF$44</c15:sqref>
                  <c15:dLbl>
                    <c:idx val="19"/>
                    <c:delete val="1"/>
                    <c:extLst>
                      <c:ext uri="{CE6537A1-D6FC-4f65-9D91-7224C49458BB}"/>
                      <c:ext xmlns:c16="http://schemas.microsoft.com/office/drawing/2014/chart" uri="{C3380CC4-5D6E-409C-BE32-E72D297353CC}">
                        <c16:uniqueId val="{0000000B-3AC8-4169-9242-7F89F4EB693B}"/>
                      </c:ext>
                    </c:extLst>
                  </c15:dLbl>
                </c15:categoryFilterException>
              </c15:categoryFilterExceptions>
            </c:ext>
            <c:ext xmlns:c16="http://schemas.microsoft.com/office/drawing/2014/chart" uri="{C3380CC4-5D6E-409C-BE32-E72D297353CC}">
              <c16:uniqueId val="{0000001C-2435-43E1-8020-2673EA0859E8}"/>
            </c:ext>
          </c:extLst>
        </c:ser>
        <c:ser>
          <c:idx val="1"/>
          <c:order val="1"/>
          <c:tx>
            <c:v>Renter Wealth</c:v>
          </c:tx>
          <c:spPr>
            <a:ln w="28575" cap="rnd">
              <a:solidFill>
                <a:srgbClr val="970A1A"/>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D-2435-43E1-8020-2673EA0859E8}"/>
                </c:ext>
              </c:extLst>
            </c:dLbl>
            <c:dLbl>
              <c:idx val="1"/>
              <c:delete val="1"/>
              <c:extLst>
                <c:ext xmlns:c15="http://schemas.microsoft.com/office/drawing/2012/chart" uri="{CE6537A1-D6FC-4f65-9D91-7224C49458BB}"/>
                <c:ext xmlns:c16="http://schemas.microsoft.com/office/drawing/2014/chart" uri="{C3380CC4-5D6E-409C-BE32-E72D297353CC}">
                  <c16:uniqueId val="{0000001E-2435-43E1-8020-2673EA0859E8}"/>
                </c:ext>
              </c:extLst>
            </c:dLbl>
            <c:dLbl>
              <c:idx val="2"/>
              <c:delete val="1"/>
              <c:extLst>
                <c:ext xmlns:c15="http://schemas.microsoft.com/office/drawing/2012/chart" uri="{CE6537A1-D6FC-4f65-9D91-7224C49458BB}"/>
                <c:ext xmlns:c16="http://schemas.microsoft.com/office/drawing/2014/chart" uri="{C3380CC4-5D6E-409C-BE32-E72D297353CC}">
                  <c16:uniqueId val="{0000001F-2435-43E1-8020-2673EA0859E8}"/>
                </c:ext>
              </c:extLst>
            </c:dLbl>
            <c:dLbl>
              <c:idx val="3"/>
              <c:delete val="1"/>
              <c:extLst>
                <c:ext xmlns:c15="http://schemas.microsoft.com/office/drawing/2012/chart" uri="{CE6537A1-D6FC-4f65-9D91-7224C49458BB}"/>
                <c:ext xmlns:c16="http://schemas.microsoft.com/office/drawing/2014/chart" uri="{C3380CC4-5D6E-409C-BE32-E72D297353CC}">
                  <c16:uniqueId val="{00000020-2435-43E1-8020-2673EA0859E8}"/>
                </c:ext>
              </c:extLst>
            </c:dLbl>
            <c:dLbl>
              <c:idx val="5"/>
              <c:delete val="1"/>
              <c:extLst>
                <c:ext xmlns:c15="http://schemas.microsoft.com/office/drawing/2012/chart" uri="{CE6537A1-D6FC-4f65-9D91-7224C49458BB}"/>
                <c:ext xmlns:c16="http://schemas.microsoft.com/office/drawing/2014/chart" uri="{C3380CC4-5D6E-409C-BE32-E72D297353CC}">
                  <c16:uniqueId val="{00000021-2435-43E1-8020-2673EA0859E8}"/>
                </c:ext>
              </c:extLst>
            </c:dLbl>
            <c:dLbl>
              <c:idx val="6"/>
              <c:delete val="1"/>
              <c:extLst>
                <c:ext xmlns:c15="http://schemas.microsoft.com/office/drawing/2012/chart" uri="{CE6537A1-D6FC-4f65-9D91-7224C49458BB}"/>
                <c:ext xmlns:c16="http://schemas.microsoft.com/office/drawing/2014/chart" uri="{C3380CC4-5D6E-409C-BE32-E72D297353CC}">
                  <c16:uniqueId val="{00000022-2435-43E1-8020-2673EA0859E8}"/>
                </c:ext>
              </c:extLst>
            </c:dLbl>
            <c:dLbl>
              <c:idx val="7"/>
              <c:delete val="1"/>
              <c:extLst>
                <c:ext xmlns:c15="http://schemas.microsoft.com/office/drawing/2012/chart" uri="{CE6537A1-D6FC-4f65-9D91-7224C49458BB}"/>
                <c:ext xmlns:c16="http://schemas.microsoft.com/office/drawing/2014/chart" uri="{C3380CC4-5D6E-409C-BE32-E72D297353CC}">
                  <c16:uniqueId val="{00000023-2435-43E1-8020-2673EA0859E8}"/>
                </c:ext>
              </c:extLst>
            </c:dLbl>
            <c:dLbl>
              <c:idx val="8"/>
              <c:delete val="1"/>
              <c:extLst>
                <c:ext xmlns:c15="http://schemas.microsoft.com/office/drawing/2012/chart" uri="{CE6537A1-D6FC-4f65-9D91-7224C49458BB}"/>
                <c:ext xmlns:c16="http://schemas.microsoft.com/office/drawing/2014/chart" uri="{C3380CC4-5D6E-409C-BE32-E72D297353CC}">
                  <c16:uniqueId val="{00000024-2435-43E1-8020-2673EA0859E8}"/>
                </c:ext>
              </c:extLst>
            </c:dLbl>
            <c:dLbl>
              <c:idx val="10"/>
              <c:delete val="1"/>
              <c:extLst>
                <c:ext xmlns:c15="http://schemas.microsoft.com/office/drawing/2012/chart" uri="{CE6537A1-D6FC-4f65-9D91-7224C49458BB}"/>
                <c:ext xmlns:c16="http://schemas.microsoft.com/office/drawing/2014/chart" uri="{C3380CC4-5D6E-409C-BE32-E72D297353CC}">
                  <c16:uniqueId val="{00000025-2435-43E1-8020-2673EA0859E8}"/>
                </c:ext>
              </c:extLst>
            </c:dLbl>
            <c:dLbl>
              <c:idx val="11"/>
              <c:delete val="1"/>
              <c:extLst>
                <c:ext xmlns:c15="http://schemas.microsoft.com/office/drawing/2012/chart" uri="{CE6537A1-D6FC-4f65-9D91-7224C49458BB}"/>
                <c:ext xmlns:c16="http://schemas.microsoft.com/office/drawing/2014/chart" uri="{C3380CC4-5D6E-409C-BE32-E72D297353CC}">
                  <c16:uniqueId val="{00000026-2435-43E1-8020-2673EA0859E8}"/>
                </c:ext>
              </c:extLst>
            </c:dLbl>
            <c:dLbl>
              <c:idx val="12"/>
              <c:delete val="1"/>
              <c:extLst>
                <c:ext xmlns:c15="http://schemas.microsoft.com/office/drawing/2012/chart" uri="{CE6537A1-D6FC-4f65-9D91-7224C49458BB}"/>
                <c:ext xmlns:c16="http://schemas.microsoft.com/office/drawing/2014/chart" uri="{C3380CC4-5D6E-409C-BE32-E72D297353CC}">
                  <c16:uniqueId val="{00000027-2435-43E1-8020-2673EA0859E8}"/>
                </c:ext>
              </c:extLst>
            </c:dLbl>
            <c:dLbl>
              <c:idx val="13"/>
              <c:delete val="1"/>
              <c:extLst>
                <c:ext xmlns:c15="http://schemas.microsoft.com/office/drawing/2012/chart" uri="{CE6537A1-D6FC-4f65-9D91-7224C49458BB}"/>
                <c:ext xmlns:c16="http://schemas.microsoft.com/office/drawing/2014/chart" uri="{C3380CC4-5D6E-409C-BE32-E72D297353CC}">
                  <c16:uniqueId val="{00000028-2435-43E1-8020-2673EA0859E8}"/>
                </c:ext>
              </c:extLst>
            </c:dLbl>
            <c:dLbl>
              <c:idx val="15"/>
              <c:delete val="1"/>
              <c:extLst>
                <c:ext xmlns:c15="http://schemas.microsoft.com/office/drawing/2012/chart" uri="{CE6537A1-D6FC-4f65-9D91-7224C49458BB}"/>
                <c:ext xmlns:c16="http://schemas.microsoft.com/office/drawing/2014/chart" uri="{C3380CC4-5D6E-409C-BE32-E72D297353CC}">
                  <c16:uniqueId val="{00000029-2435-43E1-8020-2673EA0859E8}"/>
                </c:ext>
              </c:extLst>
            </c:dLbl>
            <c:dLbl>
              <c:idx val="16"/>
              <c:delete val="1"/>
              <c:extLst>
                <c:ext xmlns:c15="http://schemas.microsoft.com/office/drawing/2012/chart" uri="{CE6537A1-D6FC-4f65-9D91-7224C49458BB}"/>
                <c:ext xmlns:c16="http://schemas.microsoft.com/office/drawing/2014/chart" uri="{C3380CC4-5D6E-409C-BE32-E72D297353CC}">
                  <c16:uniqueId val="{0000002A-2435-43E1-8020-2673EA0859E8}"/>
                </c:ext>
              </c:extLst>
            </c:dLbl>
            <c:dLbl>
              <c:idx val="17"/>
              <c:delete val="1"/>
              <c:extLst>
                <c:ext xmlns:c15="http://schemas.microsoft.com/office/drawing/2012/chart" uri="{CE6537A1-D6FC-4f65-9D91-7224C49458BB}"/>
                <c:ext xmlns:c16="http://schemas.microsoft.com/office/drawing/2014/chart" uri="{C3380CC4-5D6E-409C-BE32-E72D297353CC}">
                  <c16:uniqueId val="{0000002B-2435-43E1-8020-2673EA0859E8}"/>
                </c:ext>
              </c:extLst>
            </c:dLbl>
            <c:dLbl>
              <c:idx val="18"/>
              <c:delete val="1"/>
              <c:extLst>
                <c:ext xmlns:c15="http://schemas.microsoft.com/office/drawing/2012/chart" uri="{CE6537A1-D6FC-4f65-9D91-7224C49458BB}"/>
                <c:ext xmlns:c16="http://schemas.microsoft.com/office/drawing/2014/chart" uri="{C3380CC4-5D6E-409C-BE32-E72D297353CC}">
                  <c16:uniqueId val="{0000002C-2435-43E1-8020-2673EA0859E8}"/>
                </c:ext>
              </c:extLst>
            </c:dLbl>
            <c:numFmt formatCode="&quot;$&quot;#,##0_);[Red]\(&quot;$&quot;#,##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Garamond" panose="02020404030301010803" pitchFamily="18" charset="0"/>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Data!$J$11:$J$45</c15:sqref>
                  </c15:fullRef>
                </c:ext>
              </c:extLst>
              <c:f>Data!$J$11:$J$30</c:f>
              <c:numCache>
                <c:formatCode>_("$"* #,##0_);_("$"* \(#,##0\);_("$"* "-"??_);_(@_)</c:formatCode>
                <c:ptCount val="20"/>
                <c:pt idx="0">
                  <c:v>-34956</c:v>
                </c:pt>
                <c:pt idx="1">
                  <c:v>-71135.459999999992</c:v>
                </c:pt>
                <c:pt idx="2">
                  <c:v>-108581.20109999999</c:v>
                </c:pt>
                <c:pt idx="3">
                  <c:v>-147337.54313849998</c:v>
                </c:pt>
                <c:pt idx="4">
                  <c:v>-187450.35714834748</c:v>
                </c:pt>
                <c:pt idx="5">
                  <c:v>-228967.11964853964</c:v>
                </c:pt>
                <c:pt idx="6">
                  <c:v>-271936.96883623849</c:v>
                </c:pt>
                <c:pt idx="7">
                  <c:v>-316410.76274550683</c:v>
                </c:pt>
                <c:pt idx="8">
                  <c:v>-362441.13944159955</c:v>
                </c:pt>
                <c:pt idx="9">
                  <c:v>-410082.57932205551</c:v>
                </c:pt>
                <c:pt idx="10">
                  <c:v>-459391.46959832741</c:v>
                </c:pt>
                <c:pt idx="11">
                  <c:v>-510426.17103426886</c:v>
                </c:pt>
                <c:pt idx="12">
                  <c:v>-563247.0870204682</c:v>
                </c:pt>
                <c:pt idx="13">
                  <c:v>-617916.73506618454</c:v>
                </c:pt>
                <c:pt idx="14">
                  <c:v>-674499.82079350099</c:v>
                </c:pt>
                <c:pt idx="15">
                  <c:v>-733063.31452127348</c:v>
                </c:pt>
                <c:pt idx="16">
                  <c:v>-793676.53052951803</c:v>
                </c:pt>
                <c:pt idx="17">
                  <c:v>-856411.20909805107</c:v>
                </c:pt>
                <c:pt idx="18">
                  <c:v>-921341.60141648282</c:v>
                </c:pt>
                <c:pt idx="19">
                  <c:v>-988544.55746605969</c:v>
                </c:pt>
              </c:numCache>
            </c:numRef>
          </c:val>
          <c:smooth val="0"/>
          <c:extLst>
            <c:ext xmlns:c15="http://schemas.microsoft.com/office/drawing/2012/chart" uri="{02D57815-91ED-43cb-92C2-25804820EDAC}">
              <c15:categoryFilterExceptions>
                <c15:categoryFilterException>
                  <c15:sqref>Data!$J$31</c15:sqref>
                  <c15:dLbl>
                    <c:idx val="19"/>
                    <c:delete val="1"/>
                    <c:extLst>
                      <c:ext uri="{CE6537A1-D6FC-4f65-9D91-7224C49458BB}"/>
                      <c:ext xmlns:c16="http://schemas.microsoft.com/office/drawing/2014/chart" uri="{C3380CC4-5D6E-409C-BE32-E72D297353CC}">
                        <c16:uniqueId val="{0000000C-3AC8-4169-9242-7F89F4EB693B}"/>
                      </c:ext>
                    </c:extLst>
                  </c15:dLbl>
                </c15:categoryFilterException>
                <c15:categoryFilterException>
                  <c15:sqref>Data!$J$32</c15:sqref>
                  <c15:dLbl>
                    <c:idx val="19"/>
                    <c:delete val="1"/>
                    <c:extLst>
                      <c:ext uri="{CE6537A1-D6FC-4f65-9D91-7224C49458BB}"/>
                      <c:ext xmlns:c16="http://schemas.microsoft.com/office/drawing/2014/chart" uri="{C3380CC4-5D6E-409C-BE32-E72D297353CC}">
                        <c16:uniqueId val="{0000000D-3AC8-4169-9242-7F89F4EB693B}"/>
                      </c:ext>
                    </c:extLst>
                  </c15:dLbl>
                </c15:categoryFilterException>
                <c15:categoryFilterException>
                  <c15:sqref>Data!$J$33</c15:sqref>
                  <c15:dLbl>
                    <c:idx val="19"/>
                    <c:delete val="1"/>
                    <c:extLst>
                      <c:ext uri="{CE6537A1-D6FC-4f65-9D91-7224C49458BB}"/>
                      <c:ext xmlns:c16="http://schemas.microsoft.com/office/drawing/2014/chart" uri="{C3380CC4-5D6E-409C-BE32-E72D297353CC}">
                        <c16:uniqueId val="{0000000E-3AC8-4169-9242-7F89F4EB693B}"/>
                      </c:ext>
                    </c:extLst>
                  </c15:dLbl>
                </c15:categoryFilterException>
                <c15:categoryFilterException>
                  <c15:sqref>Data!$J$34</c15:sqref>
                  <c15:dLbl>
                    <c:idx val="19"/>
                    <c:delete val="1"/>
                    <c:extLst>
                      <c:ext uri="{CE6537A1-D6FC-4f65-9D91-7224C49458BB}"/>
                      <c:ext xmlns:c16="http://schemas.microsoft.com/office/drawing/2014/chart" uri="{C3380CC4-5D6E-409C-BE32-E72D297353CC}">
                        <c16:uniqueId val="{0000000F-3AC8-4169-9242-7F89F4EB693B}"/>
                      </c:ext>
                    </c:extLst>
                  </c15:dLbl>
                </c15:categoryFilterException>
                <c15:categoryFilterException>
                  <c15:sqref>Data!$J$36</c15:sqref>
                  <c15:dLbl>
                    <c:idx val="19"/>
                    <c:delete val="1"/>
                    <c:extLst>
                      <c:ext uri="{CE6537A1-D6FC-4f65-9D91-7224C49458BB}"/>
                      <c:ext xmlns:c16="http://schemas.microsoft.com/office/drawing/2014/chart" uri="{C3380CC4-5D6E-409C-BE32-E72D297353CC}">
                        <c16:uniqueId val="{00000010-3AC8-4169-9242-7F89F4EB693B}"/>
                      </c:ext>
                    </c:extLst>
                  </c15:dLbl>
                </c15:categoryFilterException>
                <c15:categoryFilterException>
                  <c15:sqref>Data!$J$37</c15:sqref>
                  <c15:dLbl>
                    <c:idx val="19"/>
                    <c:delete val="1"/>
                    <c:extLst>
                      <c:ext uri="{CE6537A1-D6FC-4f65-9D91-7224C49458BB}"/>
                      <c:ext xmlns:c16="http://schemas.microsoft.com/office/drawing/2014/chart" uri="{C3380CC4-5D6E-409C-BE32-E72D297353CC}">
                        <c16:uniqueId val="{00000011-3AC8-4169-9242-7F89F4EB693B}"/>
                      </c:ext>
                    </c:extLst>
                  </c15:dLbl>
                </c15:categoryFilterException>
                <c15:categoryFilterException>
                  <c15:sqref>Data!$J$38</c15:sqref>
                  <c15:dLbl>
                    <c:idx val="19"/>
                    <c:delete val="1"/>
                    <c:extLst>
                      <c:ext uri="{CE6537A1-D6FC-4f65-9D91-7224C49458BB}"/>
                      <c:ext xmlns:c16="http://schemas.microsoft.com/office/drawing/2014/chart" uri="{C3380CC4-5D6E-409C-BE32-E72D297353CC}">
                        <c16:uniqueId val="{00000012-3AC8-4169-9242-7F89F4EB693B}"/>
                      </c:ext>
                    </c:extLst>
                  </c15:dLbl>
                </c15:categoryFilterException>
                <c15:categoryFilterException>
                  <c15:sqref>Data!$J$39</c15:sqref>
                  <c15:dLbl>
                    <c:idx val="19"/>
                    <c:delete val="1"/>
                    <c:extLst>
                      <c:ext uri="{CE6537A1-D6FC-4f65-9D91-7224C49458BB}"/>
                      <c:ext xmlns:c16="http://schemas.microsoft.com/office/drawing/2014/chart" uri="{C3380CC4-5D6E-409C-BE32-E72D297353CC}">
                        <c16:uniqueId val="{00000013-3AC8-4169-9242-7F89F4EB693B}"/>
                      </c:ext>
                    </c:extLst>
                  </c15:dLbl>
                </c15:categoryFilterException>
                <c15:categoryFilterException>
                  <c15:sqref>Data!$J$41</c15:sqref>
                  <c15:dLbl>
                    <c:idx val="19"/>
                    <c:delete val="1"/>
                    <c:extLst>
                      <c:ext uri="{CE6537A1-D6FC-4f65-9D91-7224C49458BB}"/>
                      <c:ext xmlns:c16="http://schemas.microsoft.com/office/drawing/2014/chart" uri="{C3380CC4-5D6E-409C-BE32-E72D297353CC}">
                        <c16:uniqueId val="{00000014-3AC8-4169-9242-7F89F4EB693B}"/>
                      </c:ext>
                    </c:extLst>
                  </c15:dLbl>
                </c15:categoryFilterException>
                <c15:categoryFilterException>
                  <c15:sqref>Data!$J$42</c15:sqref>
                  <c15:dLbl>
                    <c:idx val="19"/>
                    <c:delete val="1"/>
                    <c:extLst>
                      <c:ext uri="{CE6537A1-D6FC-4f65-9D91-7224C49458BB}"/>
                      <c:ext xmlns:c16="http://schemas.microsoft.com/office/drawing/2014/chart" uri="{C3380CC4-5D6E-409C-BE32-E72D297353CC}">
                        <c16:uniqueId val="{00000015-3AC8-4169-9242-7F89F4EB693B}"/>
                      </c:ext>
                    </c:extLst>
                  </c15:dLbl>
                </c15:categoryFilterException>
                <c15:categoryFilterException>
                  <c15:sqref>Data!$J$43</c15:sqref>
                  <c15:dLbl>
                    <c:idx val="19"/>
                    <c:delete val="1"/>
                    <c:extLst>
                      <c:ext uri="{CE6537A1-D6FC-4f65-9D91-7224C49458BB}"/>
                      <c:ext xmlns:c16="http://schemas.microsoft.com/office/drawing/2014/chart" uri="{C3380CC4-5D6E-409C-BE32-E72D297353CC}">
                        <c16:uniqueId val="{00000016-3AC8-4169-9242-7F89F4EB693B}"/>
                      </c:ext>
                    </c:extLst>
                  </c15:dLbl>
                </c15:categoryFilterException>
                <c15:categoryFilterException>
                  <c15:sqref>Data!$J$44</c15:sqref>
                  <c15:dLbl>
                    <c:idx val="19"/>
                    <c:delete val="1"/>
                    <c:extLst>
                      <c:ext uri="{CE6537A1-D6FC-4f65-9D91-7224C49458BB}"/>
                      <c:ext xmlns:c16="http://schemas.microsoft.com/office/drawing/2014/chart" uri="{C3380CC4-5D6E-409C-BE32-E72D297353CC}">
                        <c16:uniqueId val="{00000017-3AC8-4169-9242-7F89F4EB693B}"/>
                      </c:ext>
                    </c:extLst>
                  </c15:dLbl>
                </c15:categoryFilterException>
              </c15:categoryFilterExceptions>
            </c:ext>
            <c:ext xmlns:c16="http://schemas.microsoft.com/office/drawing/2014/chart" uri="{C3380CC4-5D6E-409C-BE32-E72D297353CC}">
              <c16:uniqueId val="{00000039-2435-43E1-8020-2673EA0859E8}"/>
            </c:ext>
          </c:extLst>
        </c:ser>
        <c:dLbls>
          <c:dLblPos val="t"/>
          <c:showLegendKey val="0"/>
          <c:showVal val="1"/>
          <c:showCatName val="0"/>
          <c:showSerName val="0"/>
          <c:showPercent val="0"/>
          <c:showBubbleSize val="0"/>
        </c:dLbls>
        <c:upDownBars>
          <c:gapWidth val="100"/>
          <c:upBars>
            <c:spPr>
              <a:solidFill>
                <a:schemeClr val="lt1"/>
              </a:solidFill>
              <a:ln w="9525">
                <a:solidFill>
                  <a:schemeClr val="tx1">
                    <a:lumMod val="15000"/>
                    <a:lumOff val="85000"/>
                  </a:schemeClr>
                </a:solidFill>
              </a:ln>
              <a:effectLst/>
            </c:spPr>
          </c:upBars>
          <c:downBars>
            <c:spPr>
              <a:solidFill>
                <a:srgbClr val="9BB3FF">
                  <a:alpha val="33000"/>
                </a:srgbClr>
              </a:solidFill>
              <a:ln w="9525">
                <a:solidFill>
                  <a:srgbClr val="172C51"/>
                </a:solidFill>
              </a:ln>
              <a:effectLst/>
            </c:spPr>
          </c:downBars>
        </c:upDownBars>
        <c:smooth val="0"/>
        <c:axId val="1536281552"/>
        <c:axId val="1536279056"/>
      </c:lineChart>
      <c:catAx>
        <c:axId val="1536281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1536279056"/>
        <c:crosses val="autoZero"/>
        <c:auto val="1"/>
        <c:lblAlgn val="ctr"/>
        <c:lblOffset val="100"/>
        <c:noMultiLvlLbl val="0"/>
      </c:catAx>
      <c:valAx>
        <c:axId val="153627905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153628155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gradFill>
    <a:ln w="9525" cap="flat" cmpd="sng" algn="ctr">
      <a:solidFill>
        <a:schemeClr val="tx1">
          <a:lumMod val="50000"/>
          <a:lumOff val="50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25" r="0.25" t="0.75" header="0.3" footer="0.3"/>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Garamond" panose="02020404030301010803" pitchFamily="18" charset="0"/>
                <a:ea typeface="+mn-ea"/>
                <a:cs typeface="+mn-cs"/>
              </a:defRPr>
            </a:pPr>
            <a:r>
              <a:rPr lang="en-US" sz="2000" b="1">
                <a:solidFill>
                  <a:sysClr val="windowText" lastClr="000000"/>
                </a:solidFill>
                <a:latin typeface="Garamond" panose="02020404030301010803" pitchFamily="18" charset="0"/>
              </a:rPr>
              <a:t>Total Wealth Difference</a:t>
            </a:r>
          </a:p>
          <a:p>
            <a:pPr>
              <a:defRPr sz="2000" b="1">
                <a:solidFill>
                  <a:sysClr val="windowText" lastClr="000000"/>
                </a:solidFill>
                <a:latin typeface="Garamond" panose="02020404030301010803" pitchFamily="18" charset="0"/>
              </a:defRPr>
            </a:pPr>
            <a:r>
              <a:rPr lang="en-US" sz="2000" b="1">
                <a:solidFill>
                  <a:sysClr val="windowText" lastClr="000000"/>
                </a:solidFill>
                <a:latin typeface="Garamond" panose="02020404030301010803" pitchFamily="18" charset="0"/>
              </a:rPr>
              <a:t>(Equity &amp; Total Cost)</a:t>
            </a:r>
          </a:p>
        </c:rich>
      </c:tx>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manualLayout>
          <c:layoutTarget val="inner"/>
          <c:xMode val="edge"/>
          <c:yMode val="edge"/>
          <c:x val="5.6266870065187061E-2"/>
          <c:y val="1.0823707614113855E-2"/>
          <c:w val="0.93005701764924298"/>
          <c:h val="0.846746293761929"/>
        </c:manualLayout>
      </c:layout>
      <c:lineChart>
        <c:grouping val="standard"/>
        <c:varyColors val="0"/>
        <c:ser>
          <c:idx val="0"/>
          <c:order val="0"/>
          <c:tx>
            <c:v>Owner Wealth</c:v>
          </c:tx>
          <c:spPr>
            <a:ln w="28575" cap="rnd">
              <a:solidFill>
                <a:srgbClr val="172C5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A-1381-42FD-8BD9-6F9B463208D4}"/>
                </c:ext>
              </c:extLst>
            </c:dLbl>
            <c:dLbl>
              <c:idx val="1"/>
              <c:delete val="1"/>
              <c:extLst>
                <c:ext xmlns:c15="http://schemas.microsoft.com/office/drawing/2012/chart" uri="{CE6537A1-D6FC-4f65-9D91-7224C49458BB}"/>
                <c:ext xmlns:c16="http://schemas.microsoft.com/office/drawing/2014/chart" uri="{C3380CC4-5D6E-409C-BE32-E72D297353CC}">
                  <c16:uniqueId val="{0000002B-1381-42FD-8BD9-6F9B463208D4}"/>
                </c:ext>
              </c:extLst>
            </c:dLbl>
            <c:dLbl>
              <c:idx val="2"/>
              <c:delete val="1"/>
              <c:extLst>
                <c:ext xmlns:c15="http://schemas.microsoft.com/office/drawing/2012/chart" uri="{CE6537A1-D6FC-4f65-9D91-7224C49458BB}"/>
                <c:ext xmlns:c16="http://schemas.microsoft.com/office/drawing/2014/chart" uri="{C3380CC4-5D6E-409C-BE32-E72D297353CC}">
                  <c16:uniqueId val="{0000002C-1381-42FD-8BD9-6F9B463208D4}"/>
                </c:ext>
              </c:extLst>
            </c:dLbl>
            <c:dLbl>
              <c:idx val="3"/>
              <c:delete val="1"/>
              <c:extLst>
                <c:ext xmlns:c15="http://schemas.microsoft.com/office/drawing/2012/chart" uri="{CE6537A1-D6FC-4f65-9D91-7224C49458BB}"/>
                <c:ext xmlns:c16="http://schemas.microsoft.com/office/drawing/2014/chart" uri="{C3380CC4-5D6E-409C-BE32-E72D297353CC}">
                  <c16:uniqueId val="{0000002D-1381-42FD-8BD9-6F9B463208D4}"/>
                </c:ext>
              </c:extLst>
            </c:dLbl>
            <c:dLbl>
              <c:idx val="4"/>
              <c:delete val="1"/>
              <c:extLst>
                <c:ext xmlns:c15="http://schemas.microsoft.com/office/drawing/2012/chart" uri="{CE6537A1-D6FC-4f65-9D91-7224C49458BB}"/>
                <c:ext xmlns:c16="http://schemas.microsoft.com/office/drawing/2014/chart" uri="{C3380CC4-5D6E-409C-BE32-E72D297353CC}">
                  <c16:uniqueId val="{00000000-0AA8-4D45-89BA-670B68D52FF5}"/>
                </c:ext>
              </c:extLst>
            </c:dLbl>
            <c:dLbl>
              <c:idx val="6"/>
              <c:delete val="1"/>
              <c:extLst>
                <c:ext xmlns:c15="http://schemas.microsoft.com/office/drawing/2012/chart" uri="{CE6537A1-D6FC-4f65-9D91-7224C49458BB}"/>
                <c:ext xmlns:c16="http://schemas.microsoft.com/office/drawing/2014/chart" uri="{C3380CC4-5D6E-409C-BE32-E72D297353CC}">
                  <c16:uniqueId val="{0000002E-1381-42FD-8BD9-6F9B463208D4}"/>
                </c:ext>
              </c:extLst>
            </c:dLbl>
            <c:dLbl>
              <c:idx val="7"/>
              <c:delete val="1"/>
              <c:extLst>
                <c:ext xmlns:c15="http://schemas.microsoft.com/office/drawing/2012/chart" uri="{CE6537A1-D6FC-4f65-9D91-7224C49458BB}"/>
                <c:ext xmlns:c16="http://schemas.microsoft.com/office/drawing/2014/chart" uri="{C3380CC4-5D6E-409C-BE32-E72D297353CC}">
                  <c16:uniqueId val="{00000030-1381-42FD-8BD9-6F9B463208D4}"/>
                </c:ext>
              </c:extLst>
            </c:dLbl>
            <c:dLbl>
              <c:idx val="8"/>
              <c:delete val="1"/>
              <c:extLst>
                <c:ext xmlns:c15="http://schemas.microsoft.com/office/drawing/2012/chart" uri="{CE6537A1-D6FC-4f65-9D91-7224C49458BB}"/>
                <c:ext xmlns:c16="http://schemas.microsoft.com/office/drawing/2014/chart" uri="{C3380CC4-5D6E-409C-BE32-E72D297353CC}">
                  <c16:uniqueId val="{00000031-1381-42FD-8BD9-6F9B463208D4}"/>
                </c:ext>
              </c:extLst>
            </c:dLbl>
            <c:dLbl>
              <c:idx val="9"/>
              <c:delete val="1"/>
              <c:extLst>
                <c:ext xmlns:c15="http://schemas.microsoft.com/office/drawing/2012/chart" uri="{CE6537A1-D6FC-4f65-9D91-7224C49458BB}"/>
                <c:ext xmlns:c16="http://schemas.microsoft.com/office/drawing/2014/chart" uri="{C3380CC4-5D6E-409C-BE32-E72D297353CC}">
                  <c16:uniqueId val="{00000001-0AA8-4D45-89BA-670B68D52FF5}"/>
                </c:ext>
              </c:extLst>
            </c:dLbl>
            <c:dLbl>
              <c:idx val="11"/>
              <c:delete val="1"/>
              <c:extLst>
                <c:ext xmlns:c15="http://schemas.microsoft.com/office/drawing/2012/chart" uri="{CE6537A1-D6FC-4f65-9D91-7224C49458BB}"/>
                <c:ext xmlns:c16="http://schemas.microsoft.com/office/drawing/2014/chart" uri="{C3380CC4-5D6E-409C-BE32-E72D297353CC}">
                  <c16:uniqueId val="{00000033-1381-42FD-8BD9-6F9B463208D4}"/>
                </c:ext>
              </c:extLst>
            </c:dLbl>
            <c:dLbl>
              <c:idx val="12"/>
              <c:delete val="1"/>
              <c:extLst>
                <c:ext xmlns:c15="http://schemas.microsoft.com/office/drawing/2012/chart" uri="{CE6537A1-D6FC-4f65-9D91-7224C49458BB}"/>
                <c:ext xmlns:c16="http://schemas.microsoft.com/office/drawing/2014/chart" uri="{C3380CC4-5D6E-409C-BE32-E72D297353CC}">
                  <c16:uniqueId val="{00000034-1381-42FD-8BD9-6F9B463208D4}"/>
                </c:ext>
              </c:extLst>
            </c:dLbl>
            <c:dLbl>
              <c:idx val="13"/>
              <c:delete val="1"/>
              <c:extLst>
                <c:ext xmlns:c15="http://schemas.microsoft.com/office/drawing/2012/chart" uri="{CE6537A1-D6FC-4f65-9D91-7224C49458BB}"/>
                <c:ext xmlns:c16="http://schemas.microsoft.com/office/drawing/2014/chart" uri="{C3380CC4-5D6E-409C-BE32-E72D297353CC}">
                  <c16:uniqueId val="{00000035-1381-42FD-8BD9-6F9B463208D4}"/>
                </c:ext>
              </c:extLst>
            </c:dLbl>
            <c:dLbl>
              <c:idx val="14"/>
              <c:delete val="1"/>
              <c:extLst>
                <c:ext xmlns:c15="http://schemas.microsoft.com/office/drawing/2012/chart" uri="{CE6537A1-D6FC-4f65-9D91-7224C49458BB}"/>
                <c:ext xmlns:c16="http://schemas.microsoft.com/office/drawing/2014/chart" uri="{C3380CC4-5D6E-409C-BE32-E72D297353CC}">
                  <c16:uniqueId val="{00000002-0AA8-4D45-89BA-670B68D52FF5}"/>
                </c:ext>
              </c:extLst>
            </c:dLbl>
            <c:dLbl>
              <c:idx val="16"/>
              <c:delete val="1"/>
              <c:extLst>
                <c:ext xmlns:c15="http://schemas.microsoft.com/office/drawing/2012/chart" uri="{CE6537A1-D6FC-4f65-9D91-7224C49458BB}"/>
                <c:ext xmlns:c16="http://schemas.microsoft.com/office/drawing/2014/chart" uri="{C3380CC4-5D6E-409C-BE32-E72D297353CC}">
                  <c16:uniqueId val="{00000037-1381-42FD-8BD9-6F9B463208D4}"/>
                </c:ext>
              </c:extLst>
            </c:dLbl>
            <c:dLbl>
              <c:idx val="17"/>
              <c:delete val="1"/>
              <c:extLst>
                <c:ext xmlns:c15="http://schemas.microsoft.com/office/drawing/2012/chart" uri="{CE6537A1-D6FC-4f65-9D91-7224C49458BB}"/>
                <c:ext xmlns:c16="http://schemas.microsoft.com/office/drawing/2014/chart" uri="{C3380CC4-5D6E-409C-BE32-E72D297353CC}">
                  <c16:uniqueId val="{00000038-1381-42FD-8BD9-6F9B463208D4}"/>
                </c:ext>
              </c:extLst>
            </c:dLbl>
            <c:dLbl>
              <c:idx val="18"/>
              <c:delete val="1"/>
              <c:extLst>
                <c:ext xmlns:c15="http://schemas.microsoft.com/office/drawing/2012/chart" uri="{CE6537A1-D6FC-4f65-9D91-7224C49458BB}"/>
                <c:ext xmlns:c16="http://schemas.microsoft.com/office/drawing/2014/chart" uri="{C3380CC4-5D6E-409C-BE32-E72D297353CC}">
                  <c16:uniqueId val="{00000039-1381-42FD-8BD9-6F9B463208D4}"/>
                </c:ext>
              </c:extLst>
            </c:dLbl>
            <c:dLbl>
              <c:idx val="19"/>
              <c:delete val="1"/>
              <c:extLst>
                <c:ext xmlns:c15="http://schemas.microsoft.com/office/drawing/2012/chart" uri="{CE6537A1-D6FC-4f65-9D91-7224C49458BB}"/>
                <c:ext xmlns:c16="http://schemas.microsoft.com/office/drawing/2014/chart" uri="{C3380CC4-5D6E-409C-BE32-E72D297353CC}">
                  <c16:uniqueId val="{00000003-0AA8-4D45-89BA-670B68D52FF5}"/>
                </c:ext>
              </c:extLst>
            </c:dLbl>
            <c:dLbl>
              <c:idx val="21"/>
              <c:delete val="1"/>
              <c:extLst>
                <c:ext xmlns:c15="http://schemas.microsoft.com/office/drawing/2012/chart" uri="{CE6537A1-D6FC-4f65-9D91-7224C49458BB}"/>
                <c:ext xmlns:c16="http://schemas.microsoft.com/office/drawing/2014/chart" uri="{C3380CC4-5D6E-409C-BE32-E72D297353CC}">
                  <c16:uniqueId val="{0000003B-1381-42FD-8BD9-6F9B463208D4}"/>
                </c:ext>
              </c:extLst>
            </c:dLbl>
            <c:dLbl>
              <c:idx val="22"/>
              <c:delete val="1"/>
              <c:extLst>
                <c:ext xmlns:c15="http://schemas.microsoft.com/office/drawing/2012/chart" uri="{CE6537A1-D6FC-4f65-9D91-7224C49458BB}"/>
                <c:ext xmlns:c16="http://schemas.microsoft.com/office/drawing/2014/chart" uri="{C3380CC4-5D6E-409C-BE32-E72D297353CC}">
                  <c16:uniqueId val="{0000003C-1381-42FD-8BD9-6F9B463208D4}"/>
                </c:ext>
              </c:extLst>
            </c:dLbl>
            <c:dLbl>
              <c:idx val="23"/>
              <c:delete val="1"/>
              <c:extLst>
                <c:ext xmlns:c15="http://schemas.microsoft.com/office/drawing/2012/chart" uri="{CE6537A1-D6FC-4f65-9D91-7224C49458BB}"/>
                <c:ext xmlns:c16="http://schemas.microsoft.com/office/drawing/2014/chart" uri="{C3380CC4-5D6E-409C-BE32-E72D297353CC}">
                  <c16:uniqueId val="{0000003D-1381-42FD-8BD9-6F9B463208D4}"/>
                </c:ext>
              </c:extLst>
            </c:dLbl>
            <c:dLbl>
              <c:idx val="24"/>
              <c:delete val="1"/>
              <c:extLst>
                <c:ext xmlns:c15="http://schemas.microsoft.com/office/drawing/2012/chart" uri="{CE6537A1-D6FC-4f65-9D91-7224C49458BB}"/>
                <c:ext xmlns:c16="http://schemas.microsoft.com/office/drawing/2014/chart" uri="{C3380CC4-5D6E-409C-BE32-E72D297353CC}">
                  <c16:uniqueId val="{00000004-0AA8-4D45-89BA-670B68D52FF5}"/>
                </c:ext>
              </c:extLst>
            </c:dLbl>
            <c:dLbl>
              <c:idx val="26"/>
              <c:delete val="1"/>
              <c:extLst>
                <c:ext xmlns:c15="http://schemas.microsoft.com/office/drawing/2012/chart" uri="{CE6537A1-D6FC-4f65-9D91-7224C49458BB}"/>
                <c:ext xmlns:c16="http://schemas.microsoft.com/office/drawing/2014/chart" uri="{C3380CC4-5D6E-409C-BE32-E72D297353CC}">
                  <c16:uniqueId val="{0000003F-1381-42FD-8BD9-6F9B463208D4}"/>
                </c:ext>
              </c:extLst>
            </c:dLbl>
            <c:dLbl>
              <c:idx val="27"/>
              <c:delete val="1"/>
              <c:extLst>
                <c:ext xmlns:c15="http://schemas.microsoft.com/office/drawing/2012/chart" uri="{CE6537A1-D6FC-4f65-9D91-7224C49458BB}"/>
                <c:ext xmlns:c16="http://schemas.microsoft.com/office/drawing/2014/chart" uri="{C3380CC4-5D6E-409C-BE32-E72D297353CC}">
                  <c16:uniqueId val="{00000040-1381-42FD-8BD9-6F9B463208D4}"/>
                </c:ext>
              </c:extLst>
            </c:dLbl>
            <c:dLbl>
              <c:idx val="28"/>
              <c:delete val="1"/>
              <c:extLst>
                <c:ext xmlns:c15="http://schemas.microsoft.com/office/drawing/2012/chart" uri="{CE6537A1-D6FC-4f65-9D91-7224C49458BB}"/>
                <c:ext xmlns:c16="http://schemas.microsoft.com/office/drawing/2014/chart" uri="{C3380CC4-5D6E-409C-BE32-E72D297353CC}">
                  <c16:uniqueId val="{00000041-1381-42FD-8BD9-6F9B463208D4}"/>
                </c:ext>
              </c:extLst>
            </c:dLbl>
            <c:dLbl>
              <c:idx val="29"/>
              <c:delete val="1"/>
              <c:extLst>
                <c:ext xmlns:c15="http://schemas.microsoft.com/office/drawing/2012/chart" uri="{CE6537A1-D6FC-4f65-9D91-7224C49458BB}"/>
                <c:ext xmlns:c16="http://schemas.microsoft.com/office/drawing/2014/chart" uri="{C3380CC4-5D6E-409C-BE32-E72D297353CC}">
                  <c16:uniqueId val="{00000005-0AA8-4D45-89BA-670B68D52FF5}"/>
                </c:ext>
              </c:extLst>
            </c:dLbl>
            <c:dLbl>
              <c:idx val="31"/>
              <c:delete val="1"/>
              <c:extLst>
                <c:ext xmlns:c15="http://schemas.microsoft.com/office/drawing/2012/chart" uri="{CE6537A1-D6FC-4f65-9D91-7224C49458BB}"/>
                <c:ext xmlns:c16="http://schemas.microsoft.com/office/drawing/2014/chart" uri="{C3380CC4-5D6E-409C-BE32-E72D297353CC}">
                  <c16:uniqueId val="{00000043-1381-42FD-8BD9-6F9B463208D4}"/>
                </c:ext>
              </c:extLst>
            </c:dLbl>
            <c:dLbl>
              <c:idx val="32"/>
              <c:delete val="1"/>
              <c:extLst>
                <c:ext xmlns:c15="http://schemas.microsoft.com/office/drawing/2012/chart" uri="{CE6537A1-D6FC-4f65-9D91-7224C49458BB}"/>
                <c:ext xmlns:c16="http://schemas.microsoft.com/office/drawing/2014/chart" uri="{C3380CC4-5D6E-409C-BE32-E72D297353CC}">
                  <c16:uniqueId val="{00000044-1381-42FD-8BD9-6F9B463208D4}"/>
                </c:ext>
              </c:extLst>
            </c:dLbl>
            <c:dLbl>
              <c:idx val="33"/>
              <c:delete val="1"/>
              <c:extLst>
                <c:ext xmlns:c15="http://schemas.microsoft.com/office/drawing/2012/chart" uri="{CE6537A1-D6FC-4f65-9D91-7224C49458BB}"/>
                <c:ext xmlns:c16="http://schemas.microsoft.com/office/drawing/2014/chart" uri="{C3380CC4-5D6E-409C-BE32-E72D297353CC}">
                  <c16:uniqueId val="{00000045-1381-42FD-8BD9-6F9B463208D4}"/>
                </c:ext>
              </c:extLst>
            </c:dLbl>
            <c:dLbl>
              <c:idx val="34"/>
              <c:delete val="1"/>
              <c:extLst>
                <c:ext xmlns:c15="http://schemas.microsoft.com/office/drawing/2012/chart" uri="{CE6537A1-D6FC-4f65-9D91-7224C49458BB}"/>
                <c:ext xmlns:c16="http://schemas.microsoft.com/office/drawing/2014/chart" uri="{C3380CC4-5D6E-409C-BE32-E72D297353CC}">
                  <c16:uniqueId val="{00000006-0AA8-4D45-89BA-670B68D52FF5}"/>
                </c:ext>
              </c:extLst>
            </c:dLbl>
            <c:numFmt formatCode="&quot;$&quot;#,##0_);[Red]\(&quot;$&quot;#,##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Garamond" panose="02020404030301010803" pitchFamily="18"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Data!$B$10:$B$45</c:f>
              <c:numCache>
                <c:formatCode>General</c:formatCode>
                <c:ptCount val="3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cat>
          <c:val>
            <c:numRef>
              <c:f>Data!$AF$10:$AF$45</c:f>
              <c:numCache>
                <c:formatCode>_("$"* #,##0_);_("$"* \(#,##0\);_("$"* "-"??_);_(@_)</c:formatCode>
                <c:ptCount val="36"/>
                <c:pt idx="0">
                  <c:v>0</c:v>
                </c:pt>
                <c:pt idx="1">
                  <c:v>-18458.89202728057</c:v>
                </c:pt>
                <c:pt idx="2">
                  <c:v>-35824.724673303746</c:v>
                </c:pt>
                <c:pt idx="3">
                  <c:v>-52036.540686935303</c:v>
                </c:pt>
                <c:pt idx="4">
                  <c:v>-65373.835908321256</c:v>
                </c:pt>
                <c:pt idx="5">
                  <c:v>-77424.342147917079</c:v>
                </c:pt>
                <c:pt idx="6">
                  <c:v>-88115.796080250177</c:v>
                </c:pt>
                <c:pt idx="7">
                  <c:v>-97371.693210503552</c:v>
                </c:pt>
                <c:pt idx="8">
                  <c:v>-105111.02590630943</c:v>
                </c:pt>
                <c:pt idx="9">
                  <c:v>-111248.00441674603</c:v>
                </c:pt>
                <c:pt idx="10">
                  <c:v>-115691.75972508814</c:v>
                </c:pt>
                <c:pt idx="11">
                  <c:v>-118346.02700101276</c:v>
                </c:pt>
                <c:pt idx="12">
                  <c:v>-119108.80833131215</c:v>
                </c:pt>
                <c:pt idx="13">
                  <c:v>-117872.01331528416</c:v>
                </c:pt>
                <c:pt idx="14">
                  <c:v>-114521.07601141185</c:v>
                </c:pt>
                <c:pt idx="15">
                  <c:v>-108934.54661521583</c:v>
                </c:pt>
                <c:pt idx="16">
                  <c:v>-100983.65613374114</c:v>
                </c:pt>
                <c:pt idx="17">
                  <c:v>-90531.852199461428</c:v>
                </c:pt>
                <c:pt idx="18">
                  <c:v>-77434.304034851026</c:v>
                </c:pt>
                <c:pt idx="19">
                  <c:v>-61537.374437824357</c:v>
                </c:pt>
                <c:pt idx="20">
                  <c:v>-42678.056506997207</c:v>
                </c:pt>
                <c:pt idx="21">
                  <c:v>-20683.372663514689</c:v>
                </c:pt>
                <c:pt idx="22">
                  <c:v>4630.2666477630846</c:v>
                </c:pt>
                <c:pt idx="23">
                  <c:v>33457.747381515917</c:v>
                </c:pt>
                <c:pt idx="24">
                  <c:v>66005.982443578541</c:v>
                </c:pt>
                <c:pt idx="25">
                  <c:v>102494.69158950727</c:v>
                </c:pt>
                <c:pt idx="26">
                  <c:v>143157.23411897523</c:v>
                </c:pt>
                <c:pt idx="27">
                  <c:v>188241.49806190771</c:v>
                </c:pt>
                <c:pt idx="28">
                  <c:v>238010.84981730976</c:v>
                </c:pt>
                <c:pt idx="29">
                  <c:v>292745.14849009085</c:v>
                </c:pt>
                <c:pt idx="30">
                  <c:v>352741.82947627804</c:v>
                </c:pt>
                <c:pt idx="31">
                  <c:v>380124.67692525126</c:v>
                </c:pt>
                <c:pt idx="32">
                  <c:v>447499.22594601358</c:v>
                </c:pt>
                <c:pt idx="33">
                  <c:v>518068.4712125666</c:v>
                </c:pt>
                <c:pt idx="34">
                  <c:v>591981.87350986549</c:v>
                </c:pt>
                <c:pt idx="35">
                  <c:v>669395.81883907551</c:v>
                </c:pt>
              </c:numCache>
            </c:numRef>
          </c:val>
          <c:smooth val="0"/>
          <c:extLst>
            <c:ext xmlns:c16="http://schemas.microsoft.com/office/drawing/2014/chart" uri="{C3380CC4-5D6E-409C-BE32-E72D297353CC}">
              <c16:uniqueId val="{00000026-1381-42FD-8BD9-6F9B463208D4}"/>
            </c:ext>
          </c:extLst>
        </c:ser>
        <c:ser>
          <c:idx val="1"/>
          <c:order val="1"/>
          <c:tx>
            <c:v>Renter Wealth</c:v>
          </c:tx>
          <c:spPr>
            <a:ln w="28575" cap="rnd">
              <a:solidFill>
                <a:srgbClr val="970A1A"/>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46-1381-42FD-8BD9-6F9B463208D4}"/>
                </c:ext>
              </c:extLst>
            </c:dLbl>
            <c:dLbl>
              <c:idx val="1"/>
              <c:delete val="1"/>
              <c:extLst>
                <c:ext xmlns:c15="http://schemas.microsoft.com/office/drawing/2012/chart" uri="{CE6537A1-D6FC-4f65-9D91-7224C49458BB}"/>
                <c:ext xmlns:c16="http://schemas.microsoft.com/office/drawing/2014/chart" uri="{C3380CC4-5D6E-409C-BE32-E72D297353CC}">
                  <c16:uniqueId val="{00000047-1381-42FD-8BD9-6F9B463208D4}"/>
                </c:ext>
              </c:extLst>
            </c:dLbl>
            <c:dLbl>
              <c:idx val="2"/>
              <c:delete val="1"/>
              <c:extLst>
                <c:ext xmlns:c15="http://schemas.microsoft.com/office/drawing/2012/chart" uri="{CE6537A1-D6FC-4f65-9D91-7224C49458BB}"/>
                <c:ext xmlns:c16="http://schemas.microsoft.com/office/drawing/2014/chart" uri="{C3380CC4-5D6E-409C-BE32-E72D297353CC}">
                  <c16:uniqueId val="{00000048-1381-42FD-8BD9-6F9B463208D4}"/>
                </c:ext>
              </c:extLst>
            </c:dLbl>
            <c:dLbl>
              <c:idx val="3"/>
              <c:delete val="1"/>
              <c:extLst>
                <c:ext xmlns:c15="http://schemas.microsoft.com/office/drawing/2012/chart" uri="{CE6537A1-D6FC-4f65-9D91-7224C49458BB}"/>
                <c:ext xmlns:c16="http://schemas.microsoft.com/office/drawing/2014/chart" uri="{C3380CC4-5D6E-409C-BE32-E72D297353CC}">
                  <c16:uniqueId val="{00000049-1381-42FD-8BD9-6F9B463208D4}"/>
                </c:ext>
              </c:extLst>
            </c:dLbl>
            <c:dLbl>
              <c:idx val="4"/>
              <c:delete val="1"/>
              <c:extLst>
                <c:ext xmlns:c15="http://schemas.microsoft.com/office/drawing/2012/chart" uri="{CE6537A1-D6FC-4f65-9D91-7224C49458BB}"/>
                <c:ext xmlns:c16="http://schemas.microsoft.com/office/drawing/2014/chart" uri="{C3380CC4-5D6E-409C-BE32-E72D297353CC}">
                  <c16:uniqueId val="{00000007-0AA8-4D45-89BA-670B68D52FF5}"/>
                </c:ext>
              </c:extLst>
            </c:dLbl>
            <c:dLbl>
              <c:idx val="6"/>
              <c:delete val="1"/>
              <c:extLst>
                <c:ext xmlns:c15="http://schemas.microsoft.com/office/drawing/2012/chart" uri="{CE6537A1-D6FC-4f65-9D91-7224C49458BB}"/>
                <c:ext xmlns:c16="http://schemas.microsoft.com/office/drawing/2014/chart" uri="{C3380CC4-5D6E-409C-BE32-E72D297353CC}">
                  <c16:uniqueId val="{0000004B-1381-42FD-8BD9-6F9B463208D4}"/>
                </c:ext>
              </c:extLst>
            </c:dLbl>
            <c:dLbl>
              <c:idx val="7"/>
              <c:delete val="1"/>
              <c:extLst>
                <c:ext xmlns:c15="http://schemas.microsoft.com/office/drawing/2012/chart" uri="{CE6537A1-D6FC-4f65-9D91-7224C49458BB}"/>
                <c:ext xmlns:c16="http://schemas.microsoft.com/office/drawing/2014/chart" uri="{C3380CC4-5D6E-409C-BE32-E72D297353CC}">
                  <c16:uniqueId val="{0000004C-1381-42FD-8BD9-6F9B463208D4}"/>
                </c:ext>
              </c:extLst>
            </c:dLbl>
            <c:dLbl>
              <c:idx val="8"/>
              <c:delete val="1"/>
              <c:extLst>
                <c:ext xmlns:c15="http://schemas.microsoft.com/office/drawing/2012/chart" uri="{CE6537A1-D6FC-4f65-9D91-7224C49458BB}"/>
                <c:ext xmlns:c16="http://schemas.microsoft.com/office/drawing/2014/chart" uri="{C3380CC4-5D6E-409C-BE32-E72D297353CC}">
                  <c16:uniqueId val="{0000004D-1381-42FD-8BD9-6F9B463208D4}"/>
                </c:ext>
              </c:extLst>
            </c:dLbl>
            <c:dLbl>
              <c:idx val="9"/>
              <c:delete val="1"/>
              <c:extLst>
                <c:ext xmlns:c15="http://schemas.microsoft.com/office/drawing/2012/chart" uri="{CE6537A1-D6FC-4f65-9D91-7224C49458BB}"/>
                <c:ext xmlns:c16="http://schemas.microsoft.com/office/drawing/2014/chart" uri="{C3380CC4-5D6E-409C-BE32-E72D297353CC}">
                  <c16:uniqueId val="{00000008-0AA8-4D45-89BA-670B68D52FF5}"/>
                </c:ext>
              </c:extLst>
            </c:dLbl>
            <c:dLbl>
              <c:idx val="11"/>
              <c:delete val="1"/>
              <c:extLst>
                <c:ext xmlns:c15="http://schemas.microsoft.com/office/drawing/2012/chart" uri="{CE6537A1-D6FC-4f65-9D91-7224C49458BB}"/>
                <c:ext xmlns:c16="http://schemas.microsoft.com/office/drawing/2014/chart" uri="{C3380CC4-5D6E-409C-BE32-E72D297353CC}">
                  <c16:uniqueId val="{0000004E-1381-42FD-8BD9-6F9B463208D4}"/>
                </c:ext>
              </c:extLst>
            </c:dLbl>
            <c:dLbl>
              <c:idx val="12"/>
              <c:delete val="1"/>
              <c:extLst>
                <c:ext xmlns:c15="http://schemas.microsoft.com/office/drawing/2012/chart" uri="{CE6537A1-D6FC-4f65-9D91-7224C49458BB}"/>
                <c:ext xmlns:c16="http://schemas.microsoft.com/office/drawing/2014/chart" uri="{C3380CC4-5D6E-409C-BE32-E72D297353CC}">
                  <c16:uniqueId val="{00000050-1381-42FD-8BD9-6F9B463208D4}"/>
                </c:ext>
              </c:extLst>
            </c:dLbl>
            <c:dLbl>
              <c:idx val="13"/>
              <c:delete val="1"/>
              <c:extLst>
                <c:ext xmlns:c15="http://schemas.microsoft.com/office/drawing/2012/chart" uri="{CE6537A1-D6FC-4f65-9D91-7224C49458BB}"/>
                <c:ext xmlns:c16="http://schemas.microsoft.com/office/drawing/2014/chart" uri="{C3380CC4-5D6E-409C-BE32-E72D297353CC}">
                  <c16:uniqueId val="{00000051-1381-42FD-8BD9-6F9B463208D4}"/>
                </c:ext>
              </c:extLst>
            </c:dLbl>
            <c:dLbl>
              <c:idx val="14"/>
              <c:delete val="1"/>
              <c:extLst>
                <c:ext xmlns:c15="http://schemas.microsoft.com/office/drawing/2012/chart" uri="{CE6537A1-D6FC-4f65-9D91-7224C49458BB}"/>
                <c:ext xmlns:c16="http://schemas.microsoft.com/office/drawing/2014/chart" uri="{C3380CC4-5D6E-409C-BE32-E72D297353CC}">
                  <c16:uniqueId val="{00000009-0AA8-4D45-89BA-670B68D52FF5}"/>
                </c:ext>
              </c:extLst>
            </c:dLbl>
            <c:dLbl>
              <c:idx val="16"/>
              <c:delete val="1"/>
              <c:extLst>
                <c:ext xmlns:c15="http://schemas.microsoft.com/office/drawing/2012/chart" uri="{CE6537A1-D6FC-4f65-9D91-7224C49458BB}"/>
                <c:ext xmlns:c16="http://schemas.microsoft.com/office/drawing/2014/chart" uri="{C3380CC4-5D6E-409C-BE32-E72D297353CC}">
                  <c16:uniqueId val="{00000053-1381-42FD-8BD9-6F9B463208D4}"/>
                </c:ext>
              </c:extLst>
            </c:dLbl>
            <c:dLbl>
              <c:idx val="17"/>
              <c:delete val="1"/>
              <c:extLst>
                <c:ext xmlns:c15="http://schemas.microsoft.com/office/drawing/2012/chart" uri="{CE6537A1-D6FC-4f65-9D91-7224C49458BB}"/>
                <c:ext xmlns:c16="http://schemas.microsoft.com/office/drawing/2014/chart" uri="{C3380CC4-5D6E-409C-BE32-E72D297353CC}">
                  <c16:uniqueId val="{00000054-1381-42FD-8BD9-6F9B463208D4}"/>
                </c:ext>
              </c:extLst>
            </c:dLbl>
            <c:dLbl>
              <c:idx val="18"/>
              <c:delete val="1"/>
              <c:extLst>
                <c:ext xmlns:c15="http://schemas.microsoft.com/office/drawing/2012/chart" uri="{CE6537A1-D6FC-4f65-9D91-7224C49458BB}"/>
                <c:ext xmlns:c16="http://schemas.microsoft.com/office/drawing/2014/chart" uri="{C3380CC4-5D6E-409C-BE32-E72D297353CC}">
                  <c16:uniqueId val="{00000056-1381-42FD-8BD9-6F9B463208D4}"/>
                </c:ext>
              </c:extLst>
            </c:dLbl>
            <c:dLbl>
              <c:idx val="19"/>
              <c:delete val="1"/>
              <c:extLst>
                <c:ext xmlns:c15="http://schemas.microsoft.com/office/drawing/2012/chart" uri="{CE6537A1-D6FC-4f65-9D91-7224C49458BB}"/>
                <c:ext xmlns:c16="http://schemas.microsoft.com/office/drawing/2014/chart" uri="{C3380CC4-5D6E-409C-BE32-E72D297353CC}">
                  <c16:uniqueId val="{0000000A-0AA8-4D45-89BA-670B68D52FF5}"/>
                </c:ext>
              </c:extLst>
            </c:dLbl>
            <c:dLbl>
              <c:idx val="21"/>
              <c:delete val="1"/>
              <c:extLst>
                <c:ext xmlns:c15="http://schemas.microsoft.com/office/drawing/2012/chart" uri="{CE6537A1-D6FC-4f65-9D91-7224C49458BB}"/>
                <c:ext xmlns:c16="http://schemas.microsoft.com/office/drawing/2014/chart" uri="{C3380CC4-5D6E-409C-BE32-E72D297353CC}">
                  <c16:uniqueId val="{00000058-1381-42FD-8BD9-6F9B463208D4}"/>
                </c:ext>
              </c:extLst>
            </c:dLbl>
            <c:dLbl>
              <c:idx val="22"/>
              <c:delete val="1"/>
              <c:extLst>
                <c:ext xmlns:c15="http://schemas.microsoft.com/office/drawing/2012/chart" uri="{CE6537A1-D6FC-4f65-9D91-7224C49458BB}"/>
                <c:ext xmlns:c16="http://schemas.microsoft.com/office/drawing/2014/chart" uri="{C3380CC4-5D6E-409C-BE32-E72D297353CC}">
                  <c16:uniqueId val="{00000059-1381-42FD-8BD9-6F9B463208D4}"/>
                </c:ext>
              </c:extLst>
            </c:dLbl>
            <c:dLbl>
              <c:idx val="23"/>
              <c:delete val="1"/>
              <c:extLst>
                <c:ext xmlns:c15="http://schemas.microsoft.com/office/drawing/2012/chart" uri="{CE6537A1-D6FC-4f65-9D91-7224C49458BB}"/>
                <c:ext xmlns:c16="http://schemas.microsoft.com/office/drawing/2014/chart" uri="{C3380CC4-5D6E-409C-BE32-E72D297353CC}">
                  <c16:uniqueId val="{0000005A-1381-42FD-8BD9-6F9B463208D4}"/>
                </c:ext>
              </c:extLst>
            </c:dLbl>
            <c:dLbl>
              <c:idx val="24"/>
              <c:delete val="1"/>
              <c:extLst>
                <c:ext xmlns:c15="http://schemas.microsoft.com/office/drawing/2012/chart" uri="{CE6537A1-D6FC-4f65-9D91-7224C49458BB}"/>
                <c:ext xmlns:c16="http://schemas.microsoft.com/office/drawing/2014/chart" uri="{C3380CC4-5D6E-409C-BE32-E72D297353CC}">
                  <c16:uniqueId val="{0000000B-0AA8-4D45-89BA-670B68D52FF5}"/>
                </c:ext>
              </c:extLst>
            </c:dLbl>
            <c:dLbl>
              <c:idx val="26"/>
              <c:delete val="1"/>
              <c:extLst>
                <c:ext xmlns:c15="http://schemas.microsoft.com/office/drawing/2012/chart" uri="{CE6537A1-D6FC-4f65-9D91-7224C49458BB}"/>
                <c:ext xmlns:c16="http://schemas.microsoft.com/office/drawing/2014/chart" uri="{C3380CC4-5D6E-409C-BE32-E72D297353CC}">
                  <c16:uniqueId val="{0000005C-1381-42FD-8BD9-6F9B463208D4}"/>
                </c:ext>
              </c:extLst>
            </c:dLbl>
            <c:dLbl>
              <c:idx val="27"/>
              <c:delete val="1"/>
              <c:extLst>
                <c:ext xmlns:c15="http://schemas.microsoft.com/office/drawing/2012/chart" uri="{CE6537A1-D6FC-4f65-9D91-7224C49458BB}"/>
                <c:ext xmlns:c16="http://schemas.microsoft.com/office/drawing/2014/chart" uri="{C3380CC4-5D6E-409C-BE32-E72D297353CC}">
                  <c16:uniqueId val="{0000005D-1381-42FD-8BD9-6F9B463208D4}"/>
                </c:ext>
              </c:extLst>
            </c:dLbl>
            <c:dLbl>
              <c:idx val="28"/>
              <c:delete val="1"/>
              <c:extLst>
                <c:ext xmlns:c15="http://schemas.microsoft.com/office/drawing/2012/chart" uri="{CE6537A1-D6FC-4f65-9D91-7224C49458BB}"/>
                <c:ext xmlns:c16="http://schemas.microsoft.com/office/drawing/2014/chart" uri="{C3380CC4-5D6E-409C-BE32-E72D297353CC}">
                  <c16:uniqueId val="{0000005E-1381-42FD-8BD9-6F9B463208D4}"/>
                </c:ext>
              </c:extLst>
            </c:dLbl>
            <c:dLbl>
              <c:idx val="29"/>
              <c:delete val="1"/>
              <c:extLst>
                <c:ext xmlns:c15="http://schemas.microsoft.com/office/drawing/2012/chart" uri="{CE6537A1-D6FC-4f65-9D91-7224C49458BB}"/>
                <c:ext xmlns:c16="http://schemas.microsoft.com/office/drawing/2014/chart" uri="{C3380CC4-5D6E-409C-BE32-E72D297353CC}">
                  <c16:uniqueId val="{0000000C-0AA8-4D45-89BA-670B68D52FF5}"/>
                </c:ext>
              </c:extLst>
            </c:dLbl>
            <c:dLbl>
              <c:idx val="31"/>
              <c:delete val="1"/>
              <c:extLst>
                <c:ext xmlns:c15="http://schemas.microsoft.com/office/drawing/2012/chart" uri="{CE6537A1-D6FC-4f65-9D91-7224C49458BB}"/>
                <c:ext xmlns:c16="http://schemas.microsoft.com/office/drawing/2014/chart" uri="{C3380CC4-5D6E-409C-BE32-E72D297353CC}">
                  <c16:uniqueId val="{00000060-1381-42FD-8BD9-6F9B463208D4}"/>
                </c:ext>
              </c:extLst>
            </c:dLbl>
            <c:dLbl>
              <c:idx val="32"/>
              <c:delete val="1"/>
              <c:extLst>
                <c:ext xmlns:c15="http://schemas.microsoft.com/office/drawing/2012/chart" uri="{CE6537A1-D6FC-4f65-9D91-7224C49458BB}"/>
                <c:ext xmlns:c16="http://schemas.microsoft.com/office/drawing/2014/chart" uri="{C3380CC4-5D6E-409C-BE32-E72D297353CC}">
                  <c16:uniqueId val="{00000061-1381-42FD-8BD9-6F9B463208D4}"/>
                </c:ext>
              </c:extLst>
            </c:dLbl>
            <c:dLbl>
              <c:idx val="33"/>
              <c:delete val="1"/>
              <c:extLst>
                <c:ext xmlns:c15="http://schemas.microsoft.com/office/drawing/2012/chart" uri="{CE6537A1-D6FC-4f65-9D91-7224C49458BB}"/>
                <c:ext xmlns:c16="http://schemas.microsoft.com/office/drawing/2014/chart" uri="{C3380CC4-5D6E-409C-BE32-E72D297353CC}">
                  <c16:uniqueId val="{00000062-1381-42FD-8BD9-6F9B463208D4}"/>
                </c:ext>
              </c:extLst>
            </c:dLbl>
            <c:dLbl>
              <c:idx val="34"/>
              <c:delete val="1"/>
              <c:extLst>
                <c:ext xmlns:c15="http://schemas.microsoft.com/office/drawing/2012/chart" uri="{CE6537A1-D6FC-4f65-9D91-7224C49458BB}"/>
                <c:ext xmlns:c16="http://schemas.microsoft.com/office/drawing/2014/chart" uri="{C3380CC4-5D6E-409C-BE32-E72D297353CC}">
                  <c16:uniqueId val="{0000000D-0AA8-4D45-89BA-670B68D52FF5}"/>
                </c:ext>
              </c:extLst>
            </c:dLbl>
            <c:numFmt formatCode="&quot;$&quot;#,##0_);[Red]\(&quot;$&quot;#,##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Garamond" panose="02020404030301010803" pitchFamily="18" charset="0"/>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Data!$B$10:$B$45</c:f>
              <c:numCache>
                <c:formatCode>General</c:formatCode>
                <c:ptCount val="3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cat>
          <c:val>
            <c:numRef>
              <c:f>Data!$J$10:$J$45</c:f>
              <c:numCache>
                <c:formatCode>_("$"* #,##0_);_("$"* \(#,##0\);_("$"* "-"??_);_(@_)</c:formatCode>
                <c:ptCount val="36"/>
                <c:pt idx="0">
                  <c:v>0</c:v>
                </c:pt>
                <c:pt idx="1">
                  <c:v>-34956</c:v>
                </c:pt>
                <c:pt idx="2">
                  <c:v>-71135.459999999992</c:v>
                </c:pt>
                <c:pt idx="3">
                  <c:v>-108581.20109999999</c:v>
                </c:pt>
                <c:pt idx="4">
                  <c:v>-147337.54313849998</c:v>
                </c:pt>
                <c:pt idx="5">
                  <c:v>-187450.35714834748</c:v>
                </c:pt>
                <c:pt idx="6">
                  <c:v>-228967.11964853964</c:v>
                </c:pt>
                <c:pt idx="7">
                  <c:v>-271936.96883623849</c:v>
                </c:pt>
                <c:pt idx="8">
                  <c:v>-316410.76274550683</c:v>
                </c:pt>
                <c:pt idx="9">
                  <c:v>-362441.13944159955</c:v>
                </c:pt>
                <c:pt idx="10">
                  <c:v>-410082.57932205551</c:v>
                </c:pt>
                <c:pt idx="11">
                  <c:v>-459391.46959832741</c:v>
                </c:pt>
                <c:pt idx="12">
                  <c:v>-510426.17103426886</c:v>
                </c:pt>
                <c:pt idx="13">
                  <c:v>-563247.0870204682</c:v>
                </c:pt>
                <c:pt idx="14">
                  <c:v>-617916.73506618454</c:v>
                </c:pt>
                <c:pt idx="15">
                  <c:v>-674499.82079350099</c:v>
                </c:pt>
                <c:pt idx="16">
                  <c:v>-733063.31452127348</c:v>
                </c:pt>
                <c:pt idx="17">
                  <c:v>-793676.53052951803</c:v>
                </c:pt>
                <c:pt idx="18">
                  <c:v>-856411.20909805107</c:v>
                </c:pt>
                <c:pt idx="19">
                  <c:v>-921341.60141648282</c:v>
                </c:pt>
                <c:pt idx="20">
                  <c:v>-988544.55746605969</c:v>
                </c:pt>
                <c:pt idx="21">
                  <c:v>-1058099.6169773717</c:v>
                </c:pt>
                <c:pt idx="22">
                  <c:v>-1130089.1035715798</c:v>
                </c:pt>
                <c:pt idx="23">
                  <c:v>-1204598.222196585</c:v>
                </c:pt>
                <c:pt idx="24">
                  <c:v>-1281715.1599734654</c:v>
                </c:pt>
                <c:pt idx="25">
                  <c:v>-1361531.1905725366</c:v>
                </c:pt>
                <c:pt idx="26">
                  <c:v>-1444140.7822425752</c:v>
                </c:pt>
                <c:pt idx="27">
                  <c:v>-1529641.7096210653</c:v>
                </c:pt>
                <c:pt idx="28">
                  <c:v>-1618135.1694578025</c:v>
                </c:pt>
                <c:pt idx="29">
                  <c:v>-1709725.9003888255</c:v>
                </c:pt>
                <c:pt idx="30">
                  <c:v>-1804522.3069024342</c:v>
                </c:pt>
                <c:pt idx="31">
                  <c:v>-1902636.5876440192</c:v>
                </c:pt>
                <c:pt idx="32">
                  <c:v>-2004184.8682115597</c:v>
                </c:pt>
                <c:pt idx="33">
                  <c:v>-2109287.3385989643</c:v>
                </c:pt>
                <c:pt idx="34">
                  <c:v>-2218068.395449928</c:v>
                </c:pt>
                <c:pt idx="35">
                  <c:v>-2330656.7892906754</c:v>
                </c:pt>
              </c:numCache>
            </c:numRef>
          </c:val>
          <c:smooth val="0"/>
          <c:extLst>
            <c:ext xmlns:c16="http://schemas.microsoft.com/office/drawing/2014/chart" uri="{C3380CC4-5D6E-409C-BE32-E72D297353CC}">
              <c16:uniqueId val="{00000029-1381-42FD-8BD9-6F9B463208D4}"/>
            </c:ext>
          </c:extLst>
        </c:ser>
        <c:dLbls>
          <c:dLblPos val="t"/>
          <c:showLegendKey val="0"/>
          <c:showVal val="1"/>
          <c:showCatName val="0"/>
          <c:showSerName val="0"/>
          <c:showPercent val="0"/>
          <c:showBubbleSize val="0"/>
        </c:dLbls>
        <c:upDownBars>
          <c:gapWidth val="100"/>
          <c:upBars>
            <c:spPr>
              <a:solidFill>
                <a:schemeClr val="lt1"/>
              </a:solidFill>
              <a:ln w="9525">
                <a:solidFill>
                  <a:schemeClr val="tx1">
                    <a:lumMod val="15000"/>
                    <a:lumOff val="85000"/>
                  </a:schemeClr>
                </a:solidFill>
              </a:ln>
              <a:effectLst/>
            </c:spPr>
          </c:upBars>
          <c:downBars>
            <c:spPr>
              <a:solidFill>
                <a:srgbClr val="9BB3FF">
                  <a:alpha val="33000"/>
                </a:srgbClr>
              </a:solidFill>
              <a:ln w="9525">
                <a:solidFill>
                  <a:srgbClr val="172C51"/>
                </a:solidFill>
              </a:ln>
              <a:effectLst/>
            </c:spPr>
          </c:downBars>
        </c:upDownBars>
        <c:smooth val="0"/>
        <c:axId val="1536281552"/>
        <c:axId val="1536279056"/>
      </c:lineChart>
      <c:catAx>
        <c:axId val="1536281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Garamond" panose="02020404030301010803" pitchFamily="18" charset="0"/>
                <a:ea typeface="+mn-ea"/>
                <a:cs typeface="+mn-cs"/>
              </a:defRPr>
            </a:pPr>
            <a:endParaRPr lang="en-US"/>
          </a:p>
        </c:txPr>
        <c:crossAx val="1536279056"/>
        <c:crosses val="autoZero"/>
        <c:auto val="1"/>
        <c:lblAlgn val="ctr"/>
        <c:lblOffset val="100"/>
        <c:noMultiLvlLbl val="0"/>
      </c:catAx>
      <c:valAx>
        <c:axId val="153627905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Garamond" panose="02020404030301010803" pitchFamily="18" charset="0"/>
                <a:ea typeface="+mn-ea"/>
                <a:cs typeface="+mn-cs"/>
              </a:defRPr>
            </a:pPr>
            <a:endParaRPr lang="en-US"/>
          </a:p>
        </c:txPr>
        <c:crossAx val="153628155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gradFill>
    <a:ln w="9525" cap="flat" cmpd="sng" algn="ctr">
      <a:solidFill>
        <a:schemeClr val="tx1">
          <a:lumMod val="50000"/>
          <a:lumOff val="50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25" r="0.25" t="0.75" header="0.3" footer="0.3"/>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Garamond" panose="02020404030301010803" pitchFamily="18" charset="0"/>
                <a:ea typeface="+mn-ea"/>
                <a:cs typeface="+mn-cs"/>
              </a:defRPr>
            </a:pPr>
            <a:r>
              <a:rPr lang="en-US" sz="2000" b="1"/>
              <a:t>Total Wealth</a:t>
            </a:r>
            <a:r>
              <a:rPr lang="en-US" sz="2000" b="1" baseline="0"/>
              <a:t> Difference</a:t>
            </a:r>
            <a:endParaRPr lang="en-US" sz="2000" b="1"/>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Garamond" panose="02020404030301010803" pitchFamily="18" charset="0"/>
              <a:ea typeface="+mn-ea"/>
              <a:cs typeface="+mn-cs"/>
            </a:defRPr>
          </a:pPr>
          <a:endParaRPr lang="en-US"/>
        </a:p>
      </c:txPr>
    </c:title>
    <c:autoTitleDeleted val="0"/>
    <c:plotArea>
      <c:layout/>
      <c:barChart>
        <c:barDir val="col"/>
        <c:grouping val="clustered"/>
        <c:varyColors val="0"/>
        <c:ser>
          <c:idx val="0"/>
          <c:order val="0"/>
          <c:tx>
            <c:v>Total Wealth Difference</c:v>
          </c:tx>
          <c:spPr>
            <a:solidFill>
              <a:srgbClr val="172C51"/>
            </a:solidFill>
            <a:ln w="22225">
              <a:solidFill>
                <a:srgbClr val="172C5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Garamond" panose="02020404030301010803" pitchFamily="18"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Data!$B$10:$B$45</c15:sqref>
                  </c15:fullRef>
                </c:ext>
              </c:extLst>
              <c:f>Data!$B$11:$B$15</c:f>
              <c:numCache>
                <c:formatCode>General</c:formatCode>
                <c:ptCount val="5"/>
                <c:pt idx="0">
                  <c:v>1</c:v>
                </c:pt>
                <c:pt idx="1">
                  <c:v>2</c:v>
                </c:pt>
                <c:pt idx="2">
                  <c:v>3</c:v>
                </c:pt>
                <c:pt idx="3">
                  <c:v>4</c:v>
                </c:pt>
                <c:pt idx="4">
                  <c:v>5</c:v>
                </c:pt>
              </c:numCache>
            </c:numRef>
          </c:cat>
          <c:val>
            <c:numRef>
              <c:extLst>
                <c:ext xmlns:c15="http://schemas.microsoft.com/office/drawing/2012/chart" uri="{02D57815-91ED-43cb-92C2-25804820EDAC}">
                  <c15:fullRef>
                    <c15:sqref>Data!$AG$10:$AG$45</c15:sqref>
                  </c15:fullRef>
                </c:ext>
              </c:extLst>
              <c:f>Data!$AG$11:$AG$15</c:f>
              <c:numCache>
                <c:formatCode>_("$"* #,##0_);_("$"* \(#,##0\);_("$"* "-"??_);_(@_)</c:formatCode>
                <c:ptCount val="5"/>
                <c:pt idx="0">
                  <c:v>16497.10797271943</c:v>
                </c:pt>
                <c:pt idx="1">
                  <c:v>35310.735326696245</c:v>
                </c:pt>
                <c:pt idx="2">
                  <c:v>56544.660413064688</c:v>
                </c:pt>
                <c:pt idx="3">
                  <c:v>81963.707230178727</c:v>
                </c:pt>
                <c:pt idx="4">
                  <c:v>110026.0150004304</c:v>
                </c:pt>
              </c:numCache>
            </c:numRef>
          </c:val>
          <c:extLst>
            <c:ext xmlns:c16="http://schemas.microsoft.com/office/drawing/2014/chart" uri="{C3380CC4-5D6E-409C-BE32-E72D297353CC}">
              <c16:uniqueId val="{00000023-24DB-47FE-89D1-1E68E8B3B0E0}"/>
            </c:ext>
          </c:extLst>
        </c:ser>
        <c:dLbls>
          <c:dLblPos val="outEnd"/>
          <c:showLegendKey val="0"/>
          <c:showVal val="1"/>
          <c:showCatName val="0"/>
          <c:showSerName val="0"/>
          <c:showPercent val="0"/>
          <c:showBubbleSize val="0"/>
        </c:dLbls>
        <c:gapWidth val="219"/>
        <c:axId val="1404453696"/>
        <c:axId val="1447984544"/>
      </c:barChart>
      <c:catAx>
        <c:axId val="1404453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1447984544"/>
        <c:crosses val="autoZero"/>
        <c:auto val="1"/>
        <c:lblAlgn val="ctr"/>
        <c:lblOffset val="100"/>
        <c:noMultiLvlLbl val="0"/>
      </c:catAx>
      <c:valAx>
        <c:axId val="144798454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1404453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gradFill>
    <a:ln w="9525" cap="flat" cmpd="sng" algn="ctr">
      <a:solidFill>
        <a:schemeClr val="tx1">
          <a:lumMod val="50000"/>
          <a:lumOff val="50000"/>
        </a:schemeClr>
      </a:solidFill>
      <a:round/>
    </a:ln>
    <a:effectLst>
      <a:outerShdw blurRad="50800" dist="38100" dir="2700000" algn="tl" rotWithShape="0">
        <a:prstClr val="black">
          <a:alpha val="40000"/>
        </a:prstClr>
      </a:outerShdw>
    </a:effectLst>
  </c:spPr>
  <c:txPr>
    <a:bodyPr/>
    <a:lstStyle/>
    <a:p>
      <a:pPr>
        <a:defRPr sz="1100">
          <a:latin typeface="Garamond" panose="02020404030301010803" pitchFamily="18" charset="0"/>
        </a:defRPr>
      </a:pPr>
      <a:endParaRPr lang="en-US"/>
    </a:p>
  </c:txPr>
  <c:printSettings>
    <c:headerFooter/>
    <c:pageMargins b="0.75" l="0.25" r="0.25"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Garamond" panose="02020404030301010803" pitchFamily="18" charset="0"/>
                <a:ea typeface="+mn-ea"/>
                <a:cs typeface="+mn-cs"/>
              </a:defRPr>
            </a:pPr>
            <a:r>
              <a:rPr lang="en-US" sz="2000" b="1"/>
              <a:t>Total Wealth</a:t>
            </a:r>
            <a:r>
              <a:rPr lang="en-US" sz="2000" b="1" baseline="0"/>
              <a:t> Difference</a:t>
            </a:r>
            <a:endParaRPr lang="en-US" sz="2000" b="1"/>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Garamond" panose="02020404030301010803" pitchFamily="18" charset="0"/>
              <a:ea typeface="+mn-ea"/>
              <a:cs typeface="+mn-cs"/>
            </a:defRPr>
          </a:pPr>
          <a:endParaRPr lang="en-US"/>
        </a:p>
      </c:txPr>
    </c:title>
    <c:autoTitleDeleted val="0"/>
    <c:plotArea>
      <c:layout/>
      <c:barChart>
        <c:barDir val="col"/>
        <c:grouping val="clustered"/>
        <c:varyColors val="0"/>
        <c:ser>
          <c:idx val="0"/>
          <c:order val="0"/>
          <c:tx>
            <c:v>Total Wealth Difference</c:v>
          </c:tx>
          <c:spPr>
            <a:solidFill>
              <a:srgbClr val="172C51"/>
            </a:solidFill>
            <a:ln w="22225">
              <a:solidFill>
                <a:srgbClr val="172C5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Garamond" panose="02020404030301010803" pitchFamily="18"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Data!$B$10:$B$45</c15:sqref>
                  </c15:fullRef>
                </c:ext>
              </c:extLst>
              <c:f>Data!$B$11:$B$20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extLst>
                <c:ext xmlns:c15="http://schemas.microsoft.com/office/drawing/2012/chart" uri="{02D57815-91ED-43cb-92C2-25804820EDAC}">
                  <c15:fullRef>
                    <c15:sqref>Data!$AG$10:$AG$45</c15:sqref>
                  </c15:fullRef>
                </c:ext>
              </c:extLst>
              <c:f>Data!$AG$11:$AG$20</c:f>
              <c:numCache>
                <c:formatCode>_("$"* #,##0_);_("$"* \(#,##0\);_("$"* "-"??_);_(@_)</c:formatCode>
                <c:ptCount val="10"/>
                <c:pt idx="0">
                  <c:v>16497.10797271943</c:v>
                </c:pt>
                <c:pt idx="1">
                  <c:v>35310.735326696245</c:v>
                </c:pt>
                <c:pt idx="2">
                  <c:v>56544.660413064688</c:v>
                </c:pt>
                <c:pt idx="3">
                  <c:v>81963.707230178727</c:v>
                </c:pt>
                <c:pt idx="4">
                  <c:v>110026.0150004304</c:v>
                </c:pt>
                <c:pt idx="5">
                  <c:v>140851.32356828946</c:v>
                </c:pt>
                <c:pt idx="6">
                  <c:v>174565.27562573494</c:v>
                </c:pt>
                <c:pt idx="7">
                  <c:v>211299.7368391974</c:v>
                </c:pt>
                <c:pt idx="8">
                  <c:v>251193.13502485352</c:v>
                </c:pt>
                <c:pt idx="9">
                  <c:v>294390.81959696737</c:v>
                </c:pt>
              </c:numCache>
            </c:numRef>
          </c:val>
          <c:extLst>
            <c:ext xmlns:c16="http://schemas.microsoft.com/office/drawing/2014/chart" uri="{C3380CC4-5D6E-409C-BE32-E72D297353CC}">
              <c16:uniqueId val="{0000001E-8FDD-4BA6-B9C7-B05124359554}"/>
            </c:ext>
          </c:extLst>
        </c:ser>
        <c:dLbls>
          <c:dLblPos val="outEnd"/>
          <c:showLegendKey val="0"/>
          <c:showVal val="1"/>
          <c:showCatName val="0"/>
          <c:showSerName val="0"/>
          <c:showPercent val="0"/>
          <c:showBubbleSize val="0"/>
        </c:dLbls>
        <c:gapWidth val="219"/>
        <c:axId val="1404453696"/>
        <c:axId val="1447984544"/>
      </c:barChart>
      <c:catAx>
        <c:axId val="1404453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1447984544"/>
        <c:crosses val="autoZero"/>
        <c:auto val="1"/>
        <c:lblAlgn val="ctr"/>
        <c:lblOffset val="100"/>
        <c:noMultiLvlLbl val="0"/>
      </c:catAx>
      <c:valAx>
        <c:axId val="144798454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1404453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gradFill>
    <a:ln w="9525" cap="flat" cmpd="sng" algn="ctr">
      <a:solidFill>
        <a:schemeClr val="tx1">
          <a:lumMod val="50000"/>
          <a:lumOff val="50000"/>
        </a:schemeClr>
      </a:solidFill>
      <a:round/>
    </a:ln>
    <a:effectLst>
      <a:outerShdw blurRad="50800" dist="38100" dir="2700000" algn="tl" rotWithShape="0">
        <a:prstClr val="black">
          <a:alpha val="40000"/>
        </a:prstClr>
      </a:outerShdw>
    </a:effectLst>
  </c:spPr>
  <c:txPr>
    <a:bodyPr/>
    <a:lstStyle/>
    <a:p>
      <a:pPr>
        <a:defRPr sz="1100">
          <a:latin typeface="Garamond" panose="02020404030301010803" pitchFamily="18" charset="0"/>
        </a:defRPr>
      </a:pPr>
      <a:endParaRPr lang="en-US"/>
    </a:p>
  </c:txPr>
  <c:printSettings>
    <c:headerFooter/>
    <c:pageMargins b="0.75" l="0.25" r="0.25"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Garamond" panose="02020404030301010803" pitchFamily="18" charset="0"/>
                <a:ea typeface="+mn-ea"/>
                <a:cs typeface="+mn-cs"/>
              </a:defRPr>
            </a:pPr>
            <a:r>
              <a:rPr lang="en-US" sz="2000" b="1"/>
              <a:t>Total Wealth</a:t>
            </a:r>
            <a:r>
              <a:rPr lang="en-US" sz="2000" b="1" baseline="0"/>
              <a:t> Difference</a:t>
            </a:r>
            <a:endParaRPr lang="en-US" sz="2000" b="1"/>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Garamond" panose="02020404030301010803" pitchFamily="18" charset="0"/>
              <a:ea typeface="+mn-ea"/>
              <a:cs typeface="+mn-cs"/>
            </a:defRPr>
          </a:pPr>
          <a:endParaRPr lang="en-US"/>
        </a:p>
      </c:txPr>
    </c:title>
    <c:autoTitleDeleted val="0"/>
    <c:plotArea>
      <c:layout/>
      <c:barChart>
        <c:barDir val="col"/>
        <c:grouping val="clustered"/>
        <c:varyColors val="0"/>
        <c:ser>
          <c:idx val="0"/>
          <c:order val="0"/>
          <c:tx>
            <c:v>Total Wealth Difference</c:v>
          </c:tx>
          <c:spPr>
            <a:solidFill>
              <a:srgbClr val="172C51"/>
            </a:solidFill>
            <a:ln w="22225">
              <a:solidFill>
                <a:srgbClr val="172C5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0-0BFC-49EE-A60D-D6495D7176F7}"/>
                </c:ext>
              </c:extLst>
            </c:dLbl>
            <c:dLbl>
              <c:idx val="1"/>
              <c:delete val="1"/>
              <c:extLst>
                <c:ext xmlns:c15="http://schemas.microsoft.com/office/drawing/2012/chart" uri="{CE6537A1-D6FC-4f65-9D91-7224C49458BB}"/>
                <c:ext xmlns:c16="http://schemas.microsoft.com/office/drawing/2014/chart" uri="{C3380CC4-5D6E-409C-BE32-E72D297353CC}">
                  <c16:uniqueId val="{00000000-0BFC-49EE-A60D-D6495D7176F7}"/>
                </c:ext>
              </c:extLst>
            </c:dLbl>
            <c:dLbl>
              <c:idx val="2"/>
              <c:delete val="1"/>
              <c:extLst>
                <c:ext xmlns:c15="http://schemas.microsoft.com/office/drawing/2012/chart" uri="{CE6537A1-D6FC-4f65-9D91-7224C49458BB}"/>
                <c:ext xmlns:c16="http://schemas.microsoft.com/office/drawing/2014/chart" uri="{C3380CC4-5D6E-409C-BE32-E72D297353CC}">
                  <c16:uniqueId val="{00000001-0BFC-49EE-A60D-D6495D7176F7}"/>
                </c:ext>
              </c:extLst>
            </c:dLbl>
            <c:dLbl>
              <c:idx val="3"/>
              <c:delete val="1"/>
              <c:extLst>
                <c:ext xmlns:c15="http://schemas.microsoft.com/office/drawing/2012/chart" uri="{CE6537A1-D6FC-4f65-9D91-7224C49458BB}"/>
                <c:ext xmlns:c16="http://schemas.microsoft.com/office/drawing/2014/chart" uri="{C3380CC4-5D6E-409C-BE32-E72D297353CC}">
                  <c16:uniqueId val="{00000002-0BFC-49EE-A60D-D6495D7176F7}"/>
                </c:ext>
              </c:extLst>
            </c:dLbl>
            <c:dLbl>
              <c:idx val="5"/>
              <c:delete val="1"/>
              <c:extLst>
                <c:ext xmlns:c15="http://schemas.microsoft.com/office/drawing/2012/chart" uri="{CE6537A1-D6FC-4f65-9D91-7224C49458BB}"/>
                <c:ext xmlns:c16="http://schemas.microsoft.com/office/drawing/2014/chart" uri="{C3380CC4-5D6E-409C-BE32-E72D297353CC}">
                  <c16:uniqueId val="{00000003-0BFC-49EE-A60D-D6495D7176F7}"/>
                </c:ext>
              </c:extLst>
            </c:dLbl>
            <c:dLbl>
              <c:idx val="6"/>
              <c:delete val="1"/>
              <c:extLst>
                <c:ext xmlns:c15="http://schemas.microsoft.com/office/drawing/2012/chart" uri="{CE6537A1-D6FC-4f65-9D91-7224C49458BB}"/>
                <c:ext xmlns:c16="http://schemas.microsoft.com/office/drawing/2014/chart" uri="{C3380CC4-5D6E-409C-BE32-E72D297353CC}">
                  <c16:uniqueId val="{00000004-0BFC-49EE-A60D-D6495D7176F7}"/>
                </c:ext>
              </c:extLst>
            </c:dLbl>
            <c:dLbl>
              <c:idx val="7"/>
              <c:delete val="1"/>
              <c:extLst>
                <c:ext xmlns:c15="http://schemas.microsoft.com/office/drawing/2012/chart" uri="{CE6537A1-D6FC-4f65-9D91-7224C49458BB}"/>
                <c:ext xmlns:c16="http://schemas.microsoft.com/office/drawing/2014/chart" uri="{C3380CC4-5D6E-409C-BE32-E72D297353CC}">
                  <c16:uniqueId val="{00000005-0BFC-49EE-A60D-D6495D7176F7}"/>
                </c:ext>
              </c:extLst>
            </c:dLbl>
            <c:dLbl>
              <c:idx val="8"/>
              <c:delete val="1"/>
              <c:extLst>
                <c:ext xmlns:c15="http://schemas.microsoft.com/office/drawing/2012/chart" uri="{CE6537A1-D6FC-4f65-9D91-7224C49458BB}"/>
                <c:ext xmlns:c16="http://schemas.microsoft.com/office/drawing/2014/chart" uri="{C3380CC4-5D6E-409C-BE32-E72D297353CC}">
                  <c16:uniqueId val="{00000006-0BFC-49EE-A60D-D6495D7176F7}"/>
                </c:ext>
              </c:extLst>
            </c:dLbl>
            <c:dLbl>
              <c:idx val="10"/>
              <c:delete val="1"/>
              <c:extLst>
                <c:ext xmlns:c15="http://schemas.microsoft.com/office/drawing/2012/chart" uri="{CE6537A1-D6FC-4f65-9D91-7224C49458BB}"/>
                <c:ext xmlns:c16="http://schemas.microsoft.com/office/drawing/2014/chart" uri="{C3380CC4-5D6E-409C-BE32-E72D297353CC}">
                  <c16:uniqueId val="{00000007-0BFC-49EE-A60D-D6495D7176F7}"/>
                </c:ext>
              </c:extLst>
            </c:dLbl>
            <c:dLbl>
              <c:idx val="11"/>
              <c:delete val="1"/>
              <c:extLst>
                <c:ext xmlns:c15="http://schemas.microsoft.com/office/drawing/2012/chart" uri="{CE6537A1-D6FC-4f65-9D91-7224C49458BB}"/>
                <c:ext xmlns:c16="http://schemas.microsoft.com/office/drawing/2014/chart" uri="{C3380CC4-5D6E-409C-BE32-E72D297353CC}">
                  <c16:uniqueId val="{00000008-0BFC-49EE-A60D-D6495D7176F7}"/>
                </c:ext>
              </c:extLst>
            </c:dLbl>
            <c:dLbl>
              <c:idx val="12"/>
              <c:delete val="1"/>
              <c:extLst>
                <c:ext xmlns:c15="http://schemas.microsoft.com/office/drawing/2012/chart" uri="{CE6537A1-D6FC-4f65-9D91-7224C49458BB}"/>
                <c:ext xmlns:c16="http://schemas.microsoft.com/office/drawing/2014/chart" uri="{C3380CC4-5D6E-409C-BE32-E72D297353CC}">
                  <c16:uniqueId val="{00000009-0BFC-49EE-A60D-D6495D7176F7}"/>
                </c:ext>
              </c:extLst>
            </c:dLbl>
            <c:dLbl>
              <c:idx val="13"/>
              <c:delete val="1"/>
              <c:extLst>
                <c:ext xmlns:c15="http://schemas.microsoft.com/office/drawing/2012/chart" uri="{CE6537A1-D6FC-4f65-9D91-7224C49458BB}"/>
                <c:ext xmlns:c16="http://schemas.microsoft.com/office/drawing/2014/chart" uri="{C3380CC4-5D6E-409C-BE32-E72D297353CC}">
                  <c16:uniqueId val="{0000000A-0BFC-49EE-A60D-D6495D7176F7}"/>
                </c:ext>
              </c:extLst>
            </c:dLbl>
            <c:dLbl>
              <c:idx val="15"/>
              <c:delete val="1"/>
              <c:extLst>
                <c:ext xmlns:c15="http://schemas.microsoft.com/office/drawing/2012/chart" uri="{CE6537A1-D6FC-4f65-9D91-7224C49458BB}"/>
                <c:ext xmlns:c16="http://schemas.microsoft.com/office/drawing/2014/chart" uri="{C3380CC4-5D6E-409C-BE32-E72D297353CC}">
                  <c16:uniqueId val="{0000000B-0BFC-49EE-A60D-D6495D7176F7}"/>
                </c:ext>
              </c:extLst>
            </c:dLbl>
            <c:dLbl>
              <c:idx val="16"/>
              <c:delete val="1"/>
              <c:extLst>
                <c:ext xmlns:c15="http://schemas.microsoft.com/office/drawing/2012/chart" uri="{CE6537A1-D6FC-4f65-9D91-7224C49458BB}"/>
                <c:ext xmlns:c16="http://schemas.microsoft.com/office/drawing/2014/chart" uri="{C3380CC4-5D6E-409C-BE32-E72D297353CC}">
                  <c16:uniqueId val="{0000000C-0BFC-49EE-A60D-D6495D7176F7}"/>
                </c:ext>
              </c:extLst>
            </c:dLbl>
            <c:dLbl>
              <c:idx val="17"/>
              <c:delete val="1"/>
              <c:extLst>
                <c:ext xmlns:c15="http://schemas.microsoft.com/office/drawing/2012/chart" uri="{CE6537A1-D6FC-4f65-9D91-7224C49458BB}"/>
                <c:ext xmlns:c16="http://schemas.microsoft.com/office/drawing/2014/chart" uri="{C3380CC4-5D6E-409C-BE32-E72D297353CC}">
                  <c16:uniqueId val="{0000000D-0BFC-49EE-A60D-D6495D7176F7}"/>
                </c:ext>
              </c:extLst>
            </c:dLbl>
            <c:dLbl>
              <c:idx val="18"/>
              <c:delete val="1"/>
              <c:extLst>
                <c:ext xmlns:c15="http://schemas.microsoft.com/office/drawing/2012/chart" uri="{CE6537A1-D6FC-4f65-9D91-7224C49458BB}"/>
                <c:ext xmlns:c16="http://schemas.microsoft.com/office/drawing/2014/chart" uri="{C3380CC4-5D6E-409C-BE32-E72D297353CC}">
                  <c16:uniqueId val="{0000000E-0BFC-49EE-A60D-D6495D7176F7}"/>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Garamond" panose="02020404030301010803" pitchFamily="18"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Data!$B$10:$B$45</c15:sqref>
                  </c15:fullRef>
                </c:ext>
              </c:extLst>
              <c:f>Data!$B$11:$B$30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extLst>
                <c:ext xmlns:c15="http://schemas.microsoft.com/office/drawing/2012/chart" uri="{02D57815-91ED-43cb-92C2-25804820EDAC}">
                  <c15:fullRef>
                    <c15:sqref>Data!$AG$10:$AG$45</c15:sqref>
                  </c15:fullRef>
                </c:ext>
              </c:extLst>
              <c:f>Data!$AG$11:$AG$30</c:f>
              <c:numCache>
                <c:formatCode>_("$"* #,##0_);_("$"* \(#,##0\);_("$"* "-"??_);_(@_)</c:formatCode>
                <c:ptCount val="20"/>
                <c:pt idx="0">
                  <c:v>16497.10797271943</c:v>
                </c:pt>
                <c:pt idx="1">
                  <c:v>35310.735326696245</c:v>
                </c:pt>
                <c:pt idx="2">
                  <c:v>56544.660413064688</c:v>
                </c:pt>
                <c:pt idx="3">
                  <c:v>81963.707230178727</c:v>
                </c:pt>
                <c:pt idx="4">
                  <c:v>110026.0150004304</c:v>
                </c:pt>
                <c:pt idx="5">
                  <c:v>140851.32356828946</c:v>
                </c:pt>
                <c:pt idx="6">
                  <c:v>174565.27562573494</c:v>
                </c:pt>
                <c:pt idx="7">
                  <c:v>211299.7368391974</c:v>
                </c:pt>
                <c:pt idx="8">
                  <c:v>251193.13502485352</c:v>
                </c:pt>
                <c:pt idx="9">
                  <c:v>294390.81959696737</c:v>
                </c:pt>
                <c:pt idx="10">
                  <c:v>341045.44259731466</c:v>
                </c:pt>
                <c:pt idx="11">
                  <c:v>391317.36270295671</c:v>
                </c:pt>
                <c:pt idx="12">
                  <c:v>445375.07370518404</c:v>
                </c:pt>
                <c:pt idx="13">
                  <c:v>503395.6590547727</c:v>
                </c:pt>
                <c:pt idx="14">
                  <c:v>565565.27417828515</c:v>
                </c:pt>
                <c:pt idx="15">
                  <c:v>632079.65838753234</c:v>
                </c:pt>
                <c:pt idx="16">
                  <c:v>703144.6783300566</c:v>
                </c:pt>
                <c:pt idx="17">
                  <c:v>778976.90506320004</c:v>
                </c:pt>
                <c:pt idx="18">
                  <c:v>859804.22697865847</c:v>
                </c:pt>
                <c:pt idx="19">
                  <c:v>945866.50095906248</c:v>
                </c:pt>
              </c:numCache>
            </c:numRef>
          </c:val>
          <c:extLst>
            <c:ext xmlns:c16="http://schemas.microsoft.com/office/drawing/2014/chart" uri="{C3380CC4-5D6E-409C-BE32-E72D297353CC}">
              <c16:uniqueId val="{0000001E-0BFC-49EE-A60D-D6495D7176F7}"/>
            </c:ext>
          </c:extLst>
        </c:ser>
        <c:dLbls>
          <c:dLblPos val="outEnd"/>
          <c:showLegendKey val="0"/>
          <c:showVal val="1"/>
          <c:showCatName val="0"/>
          <c:showSerName val="0"/>
          <c:showPercent val="0"/>
          <c:showBubbleSize val="0"/>
        </c:dLbls>
        <c:gapWidth val="219"/>
        <c:axId val="1404453696"/>
        <c:axId val="1447984544"/>
      </c:barChart>
      <c:catAx>
        <c:axId val="1404453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1447984544"/>
        <c:crosses val="autoZero"/>
        <c:auto val="1"/>
        <c:lblAlgn val="ctr"/>
        <c:lblOffset val="100"/>
        <c:noMultiLvlLbl val="0"/>
      </c:catAx>
      <c:valAx>
        <c:axId val="144798454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1404453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gradFill>
    <a:ln w="9525" cap="flat" cmpd="sng" algn="ctr">
      <a:solidFill>
        <a:schemeClr val="tx1">
          <a:lumMod val="50000"/>
          <a:lumOff val="50000"/>
        </a:schemeClr>
      </a:solidFill>
      <a:round/>
    </a:ln>
    <a:effectLst>
      <a:outerShdw blurRad="50800" dist="38100" dir="2700000" algn="tl" rotWithShape="0">
        <a:prstClr val="black">
          <a:alpha val="40000"/>
        </a:prstClr>
      </a:outerShdw>
    </a:effectLst>
  </c:spPr>
  <c:txPr>
    <a:bodyPr/>
    <a:lstStyle/>
    <a:p>
      <a:pPr>
        <a:defRPr sz="1100">
          <a:latin typeface="Garamond" panose="02020404030301010803" pitchFamily="18" charset="0"/>
        </a:defRPr>
      </a:pPr>
      <a:endParaRPr lang="en-US"/>
    </a:p>
  </c:txPr>
  <c:printSettings>
    <c:headerFooter/>
    <c:pageMargins b="0.75" l="0.25" r="0.25"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Garamond" panose="02020404030301010803" pitchFamily="18" charset="0"/>
                <a:ea typeface="+mn-ea"/>
                <a:cs typeface="+mn-cs"/>
              </a:defRPr>
            </a:pPr>
            <a:r>
              <a:rPr lang="en-US" sz="2000" b="1"/>
              <a:t>Total Wealth</a:t>
            </a:r>
            <a:r>
              <a:rPr lang="en-US" sz="2000" b="1" baseline="0"/>
              <a:t> Difference</a:t>
            </a:r>
            <a:endParaRPr lang="en-US" sz="2000" b="1"/>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Garamond" panose="02020404030301010803" pitchFamily="18" charset="0"/>
              <a:ea typeface="+mn-ea"/>
              <a:cs typeface="+mn-cs"/>
            </a:defRPr>
          </a:pPr>
          <a:endParaRPr lang="en-US"/>
        </a:p>
      </c:txPr>
    </c:title>
    <c:autoTitleDeleted val="0"/>
    <c:plotArea>
      <c:layout/>
      <c:barChart>
        <c:barDir val="col"/>
        <c:grouping val="clustered"/>
        <c:varyColors val="0"/>
        <c:ser>
          <c:idx val="0"/>
          <c:order val="0"/>
          <c:tx>
            <c:v>Total Wealth Difference</c:v>
          </c:tx>
          <c:spPr>
            <a:solidFill>
              <a:srgbClr val="172C51"/>
            </a:solidFill>
            <a:ln w="22225">
              <a:solidFill>
                <a:srgbClr val="172C5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404A-4E60-8555-4364029DB14F}"/>
                </c:ext>
              </c:extLst>
            </c:dLbl>
            <c:dLbl>
              <c:idx val="1"/>
              <c:delete val="1"/>
              <c:extLst>
                <c:ext xmlns:c15="http://schemas.microsoft.com/office/drawing/2012/chart" uri="{CE6537A1-D6FC-4f65-9D91-7224C49458BB}"/>
                <c:ext xmlns:c16="http://schemas.microsoft.com/office/drawing/2014/chart" uri="{C3380CC4-5D6E-409C-BE32-E72D297353CC}">
                  <c16:uniqueId val="{00000001-404A-4E60-8555-4364029DB14F}"/>
                </c:ext>
              </c:extLst>
            </c:dLbl>
            <c:dLbl>
              <c:idx val="2"/>
              <c:delete val="1"/>
              <c:extLst>
                <c:ext xmlns:c15="http://schemas.microsoft.com/office/drawing/2012/chart" uri="{CE6537A1-D6FC-4f65-9D91-7224C49458BB}"/>
                <c:ext xmlns:c16="http://schemas.microsoft.com/office/drawing/2014/chart" uri="{C3380CC4-5D6E-409C-BE32-E72D297353CC}">
                  <c16:uniqueId val="{00000002-404A-4E60-8555-4364029DB14F}"/>
                </c:ext>
              </c:extLst>
            </c:dLbl>
            <c:dLbl>
              <c:idx val="3"/>
              <c:delete val="1"/>
              <c:extLst>
                <c:ext xmlns:c15="http://schemas.microsoft.com/office/drawing/2012/chart" uri="{CE6537A1-D6FC-4f65-9D91-7224C49458BB}"/>
                <c:ext xmlns:c16="http://schemas.microsoft.com/office/drawing/2014/chart" uri="{C3380CC4-5D6E-409C-BE32-E72D297353CC}">
                  <c16:uniqueId val="{00000003-404A-4E60-8555-4364029DB14F}"/>
                </c:ext>
              </c:extLst>
            </c:dLbl>
            <c:dLbl>
              <c:idx val="4"/>
              <c:layout>
                <c:manualLayout>
                  <c:x val="-2.3180301452985586E-17"/>
                  <c:y val="-1.60554808065666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53-4AC1-8F96-CCC116C6E0B4}"/>
                </c:ext>
              </c:extLst>
            </c:dLbl>
            <c:dLbl>
              <c:idx val="5"/>
              <c:delete val="1"/>
              <c:extLst>
                <c:ext xmlns:c15="http://schemas.microsoft.com/office/drawing/2012/chart" uri="{CE6537A1-D6FC-4f65-9D91-7224C49458BB}"/>
                <c:ext xmlns:c16="http://schemas.microsoft.com/office/drawing/2014/chart" uri="{C3380CC4-5D6E-409C-BE32-E72D297353CC}">
                  <c16:uniqueId val="{00000004-404A-4E60-8555-4364029DB14F}"/>
                </c:ext>
              </c:extLst>
            </c:dLbl>
            <c:dLbl>
              <c:idx val="6"/>
              <c:delete val="1"/>
              <c:extLst>
                <c:ext xmlns:c15="http://schemas.microsoft.com/office/drawing/2012/chart" uri="{CE6537A1-D6FC-4f65-9D91-7224C49458BB}"/>
                <c:ext xmlns:c16="http://schemas.microsoft.com/office/drawing/2014/chart" uri="{C3380CC4-5D6E-409C-BE32-E72D297353CC}">
                  <c16:uniqueId val="{00000005-404A-4E60-8555-4364029DB14F}"/>
                </c:ext>
              </c:extLst>
            </c:dLbl>
            <c:dLbl>
              <c:idx val="7"/>
              <c:delete val="1"/>
              <c:extLst>
                <c:ext xmlns:c15="http://schemas.microsoft.com/office/drawing/2012/chart" uri="{CE6537A1-D6FC-4f65-9D91-7224C49458BB}"/>
                <c:ext xmlns:c16="http://schemas.microsoft.com/office/drawing/2014/chart" uri="{C3380CC4-5D6E-409C-BE32-E72D297353CC}">
                  <c16:uniqueId val="{00000006-404A-4E60-8555-4364029DB14F}"/>
                </c:ext>
              </c:extLst>
            </c:dLbl>
            <c:dLbl>
              <c:idx val="8"/>
              <c:delete val="1"/>
              <c:extLst>
                <c:ext xmlns:c15="http://schemas.microsoft.com/office/drawing/2012/chart" uri="{CE6537A1-D6FC-4f65-9D91-7224C49458BB}"/>
                <c:ext xmlns:c16="http://schemas.microsoft.com/office/drawing/2014/chart" uri="{C3380CC4-5D6E-409C-BE32-E72D297353CC}">
                  <c16:uniqueId val="{00000007-404A-4E60-8555-4364029DB14F}"/>
                </c:ext>
              </c:extLst>
            </c:dLbl>
            <c:dLbl>
              <c:idx val="9"/>
              <c:layout>
                <c:manualLayout>
                  <c:x val="0"/>
                  <c:y val="-2.52300412674620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53-4AC1-8F96-CCC116C6E0B4}"/>
                </c:ext>
              </c:extLst>
            </c:dLbl>
            <c:dLbl>
              <c:idx val="10"/>
              <c:delete val="1"/>
              <c:extLst>
                <c:ext xmlns:c15="http://schemas.microsoft.com/office/drawing/2012/chart" uri="{CE6537A1-D6FC-4f65-9D91-7224C49458BB}"/>
                <c:ext xmlns:c16="http://schemas.microsoft.com/office/drawing/2014/chart" uri="{C3380CC4-5D6E-409C-BE32-E72D297353CC}">
                  <c16:uniqueId val="{00000008-404A-4E60-8555-4364029DB14F}"/>
                </c:ext>
              </c:extLst>
            </c:dLbl>
            <c:dLbl>
              <c:idx val="11"/>
              <c:delete val="1"/>
              <c:extLst>
                <c:ext xmlns:c15="http://schemas.microsoft.com/office/drawing/2012/chart" uri="{CE6537A1-D6FC-4f65-9D91-7224C49458BB}"/>
                <c:ext xmlns:c16="http://schemas.microsoft.com/office/drawing/2014/chart" uri="{C3380CC4-5D6E-409C-BE32-E72D297353CC}">
                  <c16:uniqueId val="{00000009-404A-4E60-8555-4364029DB14F}"/>
                </c:ext>
              </c:extLst>
            </c:dLbl>
            <c:dLbl>
              <c:idx val="12"/>
              <c:delete val="1"/>
              <c:extLst>
                <c:ext xmlns:c15="http://schemas.microsoft.com/office/drawing/2012/chart" uri="{CE6537A1-D6FC-4f65-9D91-7224C49458BB}"/>
                <c:ext xmlns:c16="http://schemas.microsoft.com/office/drawing/2014/chart" uri="{C3380CC4-5D6E-409C-BE32-E72D297353CC}">
                  <c16:uniqueId val="{0000000A-404A-4E60-8555-4364029DB14F}"/>
                </c:ext>
              </c:extLst>
            </c:dLbl>
            <c:dLbl>
              <c:idx val="13"/>
              <c:delete val="1"/>
              <c:extLst>
                <c:ext xmlns:c15="http://schemas.microsoft.com/office/drawing/2012/chart" uri="{CE6537A1-D6FC-4f65-9D91-7224C49458BB}"/>
                <c:ext xmlns:c16="http://schemas.microsoft.com/office/drawing/2014/chart" uri="{C3380CC4-5D6E-409C-BE32-E72D297353CC}">
                  <c16:uniqueId val="{0000000B-404A-4E60-8555-4364029DB14F}"/>
                </c:ext>
              </c:extLst>
            </c:dLbl>
            <c:dLbl>
              <c:idx val="14"/>
              <c:layout>
                <c:manualLayout>
                  <c:x val="-4.6360602905971173E-17"/>
                  <c:y val="-3.899188195880477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53-4AC1-8F96-CCC116C6E0B4}"/>
                </c:ext>
              </c:extLst>
            </c:dLbl>
            <c:dLbl>
              <c:idx val="15"/>
              <c:delete val="1"/>
              <c:extLst>
                <c:ext xmlns:c15="http://schemas.microsoft.com/office/drawing/2012/chart" uri="{CE6537A1-D6FC-4f65-9D91-7224C49458BB}"/>
                <c:ext xmlns:c16="http://schemas.microsoft.com/office/drawing/2014/chart" uri="{C3380CC4-5D6E-409C-BE32-E72D297353CC}">
                  <c16:uniqueId val="{0000000C-404A-4E60-8555-4364029DB14F}"/>
                </c:ext>
              </c:extLst>
            </c:dLbl>
            <c:dLbl>
              <c:idx val="16"/>
              <c:delete val="1"/>
              <c:extLst>
                <c:ext xmlns:c15="http://schemas.microsoft.com/office/drawing/2012/chart" uri="{CE6537A1-D6FC-4f65-9D91-7224C49458BB}"/>
                <c:ext xmlns:c16="http://schemas.microsoft.com/office/drawing/2014/chart" uri="{C3380CC4-5D6E-409C-BE32-E72D297353CC}">
                  <c16:uniqueId val="{0000000D-404A-4E60-8555-4364029DB14F}"/>
                </c:ext>
              </c:extLst>
            </c:dLbl>
            <c:dLbl>
              <c:idx val="17"/>
              <c:delete val="1"/>
              <c:extLst>
                <c:ext xmlns:c15="http://schemas.microsoft.com/office/drawing/2012/chart" uri="{CE6537A1-D6FC-4f65-9D91-7224C49458BB}"/>
                <c:ext xmlns:c16="http://schemas.microsoft.com/office/drawing/2014/chart" uri="{C3380CC4-5D6E-409C-BE32-E72D297353CC}">
                  <c16:uniqueId val="{0000000E-404A-4E60-8555-4364029DB14F}"/>
                </c:ext>
              </c:extLst>
            </c:dLbl>
            <c:dLbl>
              <c:idx val="18"/>
              <c:delete val="1"/>
              <c:extLst>
                <c:ext xmlns:c15="http://schemas.microsoft.com/office/drawing/2012/chart" uri="{CE6537A1-D6FC-4f65-9D91-7224C49458BB}"/>
                <c:ext xmlns:c16="http://schemas.microsoft.com/office/drawing/2014/chart" uri="{C3380CC4-5D6E-409C-BE32-E72D297353CC}">
                  <c16:uniqueId val="{0000000F-404A-4E60-8555-4364029DB14F}"/>
                </c:ext>
              </c:extLst>
            </c:dLbl>
            <c:dLbl>
              <c:idx val="19"/>
              <c:layout>
                <c:manualLayout>
                  <c:x val="0"/>
                  <c:y val="-4.81664424197001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53-4AC1-8F96-CCC116C6E0B4}"/>
                </c:ext>
              </c:extLst>
            </c:dLbl>
            <c:dLbl>
              <c:idx val="20"/>
              <c:delete val="1"/>
              <c:extLst>
                <c:ext xmlns:c15="http://schemas.microsoft.com/office/drawing/2012/chart" uri="{CE6537A1-D6FC-4f65-9D91-7224C49458BB}"/>
                <c:ext xmlns:c16="http://schemas.microsoft.com/office/drawing/2014/chart" uri="{C3380CC4-5D6E-409C-BE32-E72D297353CC}">
                  <c16:uniqueId val="{00000011-404A-4E60-8555-4364029DB14F}"/>
                </c:ext>
              </c:extLst>
            </c:dLbl>
            <c:dLbl>
              <c:idx val="21"/>
              <c:delete val="1"/>
              <c:extLst>
                <c:ext xmlns:c15="http://schemas.microsoft.com/office/drawing/2012/chart" uri="{CE6537A1-D6FC-4f65-9D91-7224C49458BB}"/>
                <c:ext xmlns:c16="http://schemas.microsoft.com/office/drawing/2014/chart" uri="{C3380CC4-5D6E-409C-BE32-E72D297353CC}">
                  <c16:uniqueId val="{00000012-404A-4E60-8555-4364029DB14F}"/>
                </c:ext>
              </c:extLst>
            </c:dLbl>
            <c:dLbl>
              <c:idx val="22"/>
              <c:delete val="1"/>
              <c:extLst>
                <c:ext xmlns:c15="http://schemas.microsoft.com/office/drawing/2012/chart" uri="{CE6537A1-D6FC-4f65-9D91-7224C49458BB}"/>
                <c:ext xmlns:c16="http://schemas.microsoft.com/office/drawing/2014/chart" uri="{C3380CC4-5D6E-409C-BE32-E72D297353CC}">
                  <c16:uniqueId val="{00000013-404A-4E60-8555-4364029DB14F}"/>
                </c:ext>
              </c:extLst>
            </c:dLbl>
            <c:dLbl>
              <c:idx val="23"/>
              <c:delete val="1"/>
              <c:extLst>
                <c:ext xmlns:c15="http://schemas.microsoft.com/office/drawing/2012/chart" uri="{CE6537A1-D6FC-4f65-9D91-7224C49458BB}"/>
                <c:ext xmlns:c16="http://schemas.microsoft.com/office/drawing/2014/chart" uri="{C3380CC4-5D6E-409C-BE32-E72D297353CC}">
                  <c16:uniqueId val="{00000014-404A-4E60-8555-4364029DB14F}"/>
                </c:ext>
              </c:extLst>
            </c:dLbl>
            <c:dLbl>
              <c:idx val="24"/>
              <c:layout>
                <c:manualLayout>
                  <c:x val="-9.2721205811942345E-17"/>
                  <c:y val="-4.81664424197000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53-4AC1-8F96-CCC116C6E0B4}"/>
                </c:ext>
              </c:extLst>
            </c:dLbl>
            <c:dLbl>
              <c:idx val="25"/>
              <c:delete val="1"/>
              <c:extLst>
                <c:ext xmlns:c15="http://schemas.microsoft.com/office/drawing/2012/chart" uri="{CE6537A1-D6FC-4f65-9D91-7224C49458BB}"/>
                <c:ext xmlns:c16="http://schemas.microsoft.com/office/drawing/2014/chart" uri="{C3380CC4-5D6E-409C-BE32-E72D297353CC}">
                  <c16:uniqueId val="{00000015-404A-4E60-8555-4364029DB14F}"/>
                </c:ext>
              </c:extLst>
            </c:dLbl>
            <c:dLbl>
              <c:idx val="26"/>
              <c:delete val="1"/>
              <c:extLst>
                <c:ext xmlns:c15="http://schemas.microsoft.com/office/drawing/2012/chart" uri="{CE6537A1-D6FC-4f65-9D91-7224C49458BB}"/>
                <c:ext xmlns:c16="http://schemas.microsoft.com/office/drawing/2014/chart" uri="{C3380CC4-5D6E-409C-BE32-E72D297353CC}">
                  <c16:uniqueId val="{00000016-404A-4E60-8555-4364029DB14F}"/>
                </c:ext>
              </c:extLst>
            </c:dLbl>
            <c:dLbl>
              <c:idx val="27"/>
              <c:delete val="1"/>
              <c:extLst>
                <c:ext xmlns:c15="http://schemas.microsoft.com/office/drawing/2012/chart" uri="{CE6537A1-D6FC-4f65-9D91-7224C49458BB}"/>
                <c:ext xmlns:c16="http://schemas.microsoft.com/office/drawing/2014/chart" uri="{C3380CC4-5D6E-409C-BE32-E72D297353CC}">
                  <c16:uniqueId val="{00000017-404A-4E60-8555-4364029DB14F}"/>
                </c:ext>
              </c:extLst>
            </c:dLbl>
            <c:dLbl>
              <c:idx val="28"/>
              <c:delete val="1"/>
              <c:extLst>
                <c:ext xmlns:c15="http://schemas.microsoft.com/office/drawing/2012/chart" uri="{CE6537A1-D6FC-4f65-9D91-7224C49458BB}"/>
                <c:ext xmlns:c16="http://schemas.microsoft.com/office/drawing/2014/chart" uri="{C3380CC4-5D6E-409C-BE32-E72D297353CC}">
                  <c16:uniqueId val="{00000018-404A-4E60-8555-4364029DB14F}"/>
                </c:ext>
              </c:extLst>
            </c:dLbl>
            <c:dLbl>
              <c:idx val="29"/>
              <c:layout>
                <c:manualLayout>
                  <c:x val="0"/>
                  <c:y val="-4.12855220740285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53-4AC1-8F96-CCC116C6E0B4}"/>
                </c:ext>
              </c:extLst>
            </c:dLbl>
            <c:dLbl>
              <c:idx val="30"/>
              <c:delete val="1"/>
              <c:extLst>
                <c:ext xmlns:c15="http://schemas.microsoft.com/office/drawing/2012/chart" uri="{CE6537A1-D6FC-4f65-9D91-7224C49458BB}"/>
                <c:ext xmlns:c16="http://schemas.microsoft.com/office/drawing/2014/chart" uri="{C3380CC4-5D6E-409C-BE32-E72D297353CC}">
                  <c16:uniqueId val="{00000019-404A-4E60-8555-4364029DB14F}"/>
                </c:ext>
              </c:extLst>
            </c:dLbl>
            <c:dLbl>
              <c:idx val="31"/>
              <c:delete val="1"/>
              <c:extLst>
                <c:ext xmlns:c15="http://schemas.microsoft.com/office/drawing/2012/chart" uri="{CE6537A1-D6FC-4f65-9D91-7224C49458BB}"/>
                <c:ext xmlns:c16="http://schemas.microsoft.com/office/drawing/2014/chart" uri="{C3380CC4-5D6E-409C-BE32-E72D297353CC}">
                  <c16:uniqueId val="{0000001A-404A-4E60-8555-4364029DB14F}"/>
                </c:ext>
              </c:extLst>
            </c:dLbl>
            <c:dLbl>
              <c:idx val="32"/>
              <c:delete val="1"/>
              <c:extLst>
                <c:ext xmlns:c15="http://schemas.microsoft.com/office/drawing/2012/chart" uri="{CE6537A1-D6FC-4f65-9D91-7224C49458BB}"/>
                <c:ext xmlns:c16="http://schemas.microsoft.com/office/drawing/2014/chart" uri="{C3380CC4-5D6E-409C-BE32-E72D297353CC}">
                  <c16:uniqueId val="{0000001B-404A-4E60-8555-4364029DB14F}"/>
                </c:ext>
              </c:extLst>
            </c:dLbl>
            <c:dLbl>
              <c:idx val="33"/>
              <c:delete val="1"/>
              <c:extLst>
                <c:ext xmlns:c15="http://schemas.microsoft.com/office/drawing/2012/chart" uri="{CE6537A1-D6FC-4f65-9D91-7224C49458BB}"/>
                <c:ext xmlns:c16="http://schemas.microsoft.com/office/drawing/2014/chart" uri="{C3380CC4-5D6E-409C-BE32-E72D297353CC}">
                  <c16:uniqueId val="{0000001C-404A-4E60-8555-4364029DB14F}"/>
                </c:ext>
              </c:extLst>
            </c:dLbl>
            <c:dLbl>
              <c:idx val="34"/>
              <c:layout>
                <c:manualLayout>
                  <c:x val="0"/>
                  <c:y val="-1.37618406913428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53-4AC1-8F96-CCC116C6E0B4}"/>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Garamond" panose="02020404030301010803" pitchFamily="18"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Data!$B$10:$B$45</c15:sqref>
                  </c15:fullRef>
                </c:ext>
              </c:extLst>
              <c:f>Data!$B$11:$B$45</c:f>
              <c:numCache>
                <c:formatCode>General</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cat>
          <c:val>
            <c:numRef>
              <c:extLst>
                <c:ext xmlns:c15="http://schemas.microsoft.com/office/drawing/2012/chart" uri="{02D57815-91ED-43cb-92C2-25804820EDAC}">
                  <c15:fullRef>
                    <c15:sqref>Data!$AG$10:$AG$45</c15:sqref>
                  </c15:fullRef>
                </c:ext>
              </c:extLst>
              <c:f>Data!$AG$11:$AG$45</c:f>
              <c:numCache>
                <c:formatCode>_("$"* #,##0_);_("$"* \(#,##0\);_("$"* "-"??_);_(@_)</c:formatCode>
                <c:ptCount val="35"/>
                <c:pt idx="0">
                  <c:v>16497.10797271943</c:v>
                </c:pt>
                <c:pt idx="1">
                  <c:v>35310.735326696245</c:v>
                </c:pt>
                <c:pt idx="2">
                  <c:v>56544.660413064688</c:v>
                </c:pt>
                <c:pt idx="3">
                  <c:v>81963.707230178727</c:v>
                </c:pt>
                <c:pt idx="4">
                  <c:v>110026.0150004304</c:v>
                </c:pt>
                <c:pt idx="5">
                  <c:v>140851.32356828946</c:v>
                </c:pt>
                <c:pt idx="6">
                  <c:v>174565.27562573494</c:v>
                </c:pt>
                <c:pt idx="7">
                  <c:v>211299.7368391974</c:v>
                </c:pt>
                <c:pt idx="8">
                  <c:v>251193.13502485352</c:v>
                </c:pt>
                <c:pt idx="9">
                  <c:v>294390.81959696737</c:v>
                </c:pt>
                <c:pt idx="10">
                  <c:v>341045.44259731466</c:v>
                </c:pt>
                <c:pt idx="11">
                  <c:v>391317.36270295671</c:v>
                </c:pt>
                <c:pt idx="12">
                  <c:v>445375.07370518404</c:v>
                </c:pt>
                <c:pt idx="13">
                  <c:v>503395.6590547727</c:v>
                </c:pt>
                <c:pt idx="14">
                  <c:v>565565.27417828515</c:v>
                </c:pt>
                <c:pt idx="15">
                  <c:v>632079.65838753234</c:v>
                </c:pt>
                <c:pt idx="16">
                  <c:v>703144.6783300566</c:v>
                </c:pt>
                <c:pt idx="17">
                  <c:v>778976.90506320004</c:v>
                </c:pt>
                <c:pt idx="18">
                  <c:v>859804.22697865847</c:v>
                </c:pt>
                <c:pt idx="19">
                  <c:v>945866.50095906248</c:v>
                </c:pt>
                <c:pt idx="20">
                  <c:v>1037416.2443138571</c:v>
                </c:pt>
                <c:pt idx="21">
                  <c:v>1134719.3702193429</c:v>
                </c:pt>
                <c:pt idx="22">
                  <c:v>1238055.9695781008</c:v>
                </c:pt>
                <c:pt idx="23">
                  <c:v>1347721.1424170439</c:v>
                </c:pt>
                <c:pt idx="24">
                  <c:v>1464025.8821620438</c:v>
                </c:pt>
                <c:pt idx="25">
                  <c:v>1587298.0163615504</c:v>
                </c:pt>
                <c:pt idx="26">
                  <c:v>1717883.207682973</c:v>
                </c:pt>
                <c:pt idx="27">
                  <c:v>1856146.0192751123</c:v>
                </c:pt>
                <c:pt idx="28">
                  <c:v>2002471.0488789163</c:v>
                </c:pt>
                <c:pt idx="29">
                  <c:v>2157264.136378712</c:v>
                </c:pt>
                <c:pt idx="30">
                  <c:v>2282761.2645692704</c:v>
                </c:pt>
                <c:pt idx="31">
                  <c:v>2451684.0941575733</c:v>
                </c:pt>
                <c:pt idx="32">
                  <c:v>2627355.8098115306</c:v>
                </c:pt>
                <c:pt idx="33">
                  <c:v>2810050.2689597933</c:v>
                </c:pt>
                <c:pt idx="34">
                  <c:v>3000052.6081297509</c:v>
                </c:pt>
              </c:numCache>
            </c:numRef>
          </c:val>
          <c:extLst>
            <c:ext xmlns:c16="http://schemas.microsoft.com/office/drawing/2014/chart" uri="{C3380CC4-5D6E-409C-BE32-E72D297353CC}">
              <c16:uniqueId val="{00000010-404A-4E60-8555-4364029DB14F}"/>
            </c:ext>
          </c:extLst>
        </c:ser>
        <c:dLbls>
          <c:dLblPos val="outEnd"/>
          <c:showLegendKey val="0"/>
          <c:showVal val="1"/>
          <c:showCatName val="0"/>
          <c:showSerName val="0"/>
          <c:showPercent val="0"/>
          <c:showBubbleSize val="0"/>
        </c:dLbls>
        <c:gapWidth val="219"/>
        <c:axId val="1404453696"/>
        <c:axId val="1447984544"/>
      </c:barChart>
      <c:catAx>
        <c:axId val="1404453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1447984544"/>
        <c:crosses val="autoZero"/>
        <c:auto val="1"/>
        <c:lblAlgn val="ctr"/>
        <c:lblOffset val="100"/>
        <c:noMultiLvlLbl val="0"/>
      </c:catAx>
      <c:valAx>
        <c:axId val="144798454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1404453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gradFill>
    <a:ln w="9525" cap="flat" cmpd="sng" algn="ctr">
      <a:solidFill>
        <a:schemeClr val="tx1">
          <a:lumMod val="50000"/>
          <a:lumOff val="50000"/>
        </a:schemeClr>
      </a:solidFill>
      <a:round/>
    </a:ln>
    <a:effectLst>
      <a:outerShdw blurRad="50800" dist="38100" dir="2700000" algn="tl" rotWithShape="0">
        <a:prstClr val="black">
          <a:alpha val="40000"/>
        </a:prstClr>
      </a:outerShdw>
    </a:effectLst>
  </c:spPr>
  <c:txPr>
    <a:bodyPr/>
    <a:lstStyle/>
    <a:p>
      <a:pPr>
        <a:defRPr sz="1100">
          <a:latin typeface="Garamond" panose="02020404030301010803" pitchFamily="18" charset="0"/>
        </a:defRPr>
      </a:pPr>
      <a:endParaRPr lang="en-US"/>
    </a:p>
  </c:txPr>
  <c:printSettings>
    <c:headerFooter/>
    <c:pageMargins b="0.75" l="0.25" r="0.25"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Garamond" panose="02020404030301010803" pitchFamily="18" charset="0"/>
                <a:ea typeface="+mn-ea"/>
                <a:cs typeface="+mn-cs"/>
              </a:defRPr>
            </a:pPr>
            <a:r>
              <a:rPr lang="en-US" sz="1800" b="1">
                <a:latin typeface="Garamond" panose="02020404030301010803" pitchFamily="18" charset="0"/>
              </a:rPr>
              <a:t>Home</a:t>
            </a:r>
            <a:r>
              <a:rPr lang="en-US" sz="1800" b="1" baseline="0">
                <a:latin typeface="Garamond" panose="02020404030301010803" pitchFamily="18" charset="0"/>
              </a:rPr>
              <a:t> Value</a:t>
            </a:r>
            <a:endParaRPr lang="en-US" sz="1800" b="1">
              <a:latin typeface="Garamond" panose="02020404030301010803" pitchFamily="18" charset="0"/>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Garamond" panose="02020404030301010803" pitchFamily="18" charset="0"/>
              <a:ea typeface="+mn-ea"/>
              <a:cs typeface="+mn-cs"/>
            </a:defRPr>
          </a:pPr>
          <a:endParaRPr lang="en-US"/>
        </a:p>
      </c:txPr>
    </c:title>
    <c:autoTitleDeleted val="0"/>
    <c:plotArea>
      <c:layout/>
      <c:lineChart>
        <c:grouping val="standard"/>
        <c:varyColors val="0"/>
        <c:ser>
          <c:idx val="0"/>
          <c:order val="0"/>
          <c:tx>
            <c:strRef>
              <c:f>Dashboard!$B$40:$C$40</c:f>
              <c:strCache>
                <c:ptCount val="1"/>
                <c:pt idx="0">
                  <c:v>Annual Home Appreciation 4.5%</c:v>
                </c:pt>
              </c:strCache>
            </c:strRef>
          </c:tx>
          <c:spPr>
            <a:ln w="28575" cap="rnd">
              <a:solidFill>
                <a:srgbClr val="172C51"/>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0-B902-487A-AE44-7D3EE1E24D04}"/>
                </c:ext>
              </c:extLst>
            </c:dLbl>
            <c:dLbl>
              <c:idx val="2"/>
              <c:delete val="1"/>
              <c:extLst>
                <c:ext xmlns:c15="http://schemas.microsoft.com/office/drawing/2012/chart" uri="{CE6537A1-D6FC-4f65-9D91-7224C49458BB}"/>
                <c:ext xmlns:c16="http://schemas.microsoft.com/office/drawing/2014/chart" uri="{C3380CC4-5D6E-409C-BE32-E72D297353CC}">
                  <c16:uniqueId val="{00000000-AE48-45C3-A01C-D2A70B19B98E}"/>
                </c:ext>
              </c:extLst>
            </c:dLbl>
            <c:dLbl>
              <c:idx val="3"/>
              <c:delete val="1"/>
              <c:extLst>
                <c:ext xmlns:c15="http://schemas.microsoft.com/office/drawing/2012/chart" uri="{CE6537A1-D6FC-4f65-9D91-7224C49458BB}"/>
                <c:ext xmlns:c16="http://schemas.microsoft.com/office/drawing/2014/chart" uri="{C3380CC4-5D6E-409C-BE32-E72D297353CC}">
                  <c16:uniqueId val="{00000001-AE48-45C3-A01C-D2A70B19B98E}"/>
                </c:ext>
              </c:extLst>
            </c:dLbl>
            <c:dLbl>
              <c:idx val="5"/>
              <c:delete val="1"/>
              <c:extLst>
                <c:ext xmlns:c15="http://schemas.microsoft.com/office/drawing/2012/chart" uri="{CE6537A1-D6FC-4f65-9D91-7224C49458BB}"/>
                <c:ext xmlns:c16="http://schemas.microsoft.com/office/drawing/2014/chart" uri="{C3380CC4-5D6E-409C-BE32-E72D297353CC}">
                  <c16:uniqueId val="{00000002-AE48-45C3-A01C-D2A70B19B98E}"/>
                </c:ext>
              </c:extLst>
            </c:dLbl>
            <c:dLbl>
              <c:idx val="6"/>
              <c:delete val="1"/>
              <c:extLst>
                <c:ext xmlns:c15="http://schemas.microsoft.com/office/drawing/2012/chart" uri="{CE6537A1-D6FC-4f65-9D91-7224C49458BB}"/>
                <c:ext xmlns:c16="http://schemas.microsoft.com/office/drawing/2014/chart" uri="{C3380CC4-5D6E-409C-BE32-E72D297353CC}">
                  <c16:uniqueId val="{00000003-AE48-45C3-A01C-D2A70B19B98E}"/>
                </c:ext>
              </c:extLst>
            </c:dLbl>
            <c:dLbl>
              <c:idx val="7"/>
              <c:delete val="1"/>
              <c:extLst>
                <c:ext xmlns:c15="http://schemas.microsoft.com/office/drawing/2012/chart" uri="{CE6537A1-D6FC-4f65-9D91-7224C49458BB}"/>
                <c:ext xmlns:c16="http://schemas.microsoft.com/office/drawing/2014/chart" uri="{C3380CC4-5D6E-409C-BE32-E72D297353CC}">
                  <c16:uniqueId val="{00000004-AE48-45C3-A01C-D2A70B19B98E}"/>
                </c:ext>
              </c:extLst>
            </c:dLbl>
            <c:dLbl>
              <c:idx val="8"/>
              <c:delete val="1"/>
              <c:extLst>
                <c:ext xmlns:c15="http://schemas.microsoft.com/office/drawing/2012/chart" uri="{CE6537A1-D6FC-4f65-9D91-7224C49458BB}"/>
                <c:ext xmlns:c16="http://schemas.microsoft.com/office/drawing/2014/chart" uri="{C3380CC4-5D6E-409C-BE32-E72D297353CC}">
                  <c16:uniqueId val="{00000005-AE48-45C3-A01C-D2A70B19B98E}"/>
                </c:ext>
              </c:extLst>
            </c:dLbl>
            <c:dLbl>
              <c:idx val="10"/>
              <c:delete val="1"/>
              <c:extLst>
                <c:ext xmlns:c15="http://schemas.microsoft.com/office/drawing/2012/chart" uri="{CE6537A1-D6FC-4f65-9D91-7224C49458BB}"/>
                <c:ext xmlns:c16="http://schemas.microsoft.com/office/drawing/2014/chart" uri="{C3380CC4-5D6E-409C-BE32-E72D297353CC}">
                  <c16:uniqueId val="{00000006-AE48-45C3-A01C-D2A70B19B98E}"/>
                </c:ext>
              </c:extLst>
            </c:dLbl>
            <c:dLbl>
              <c:idx val="11"/>
              <c:delete val="1"/>
              <c:extLst>
                <c:ext xmlns:c15="http://schemas.microsoft.com/office/drawing/2012/chart" uri="{CE6537A1-D6FC-4f65-9D91-7224C49458BB}"/>
                <c:ext xmlns:c16="http://schemas.microsoft.com/office/drawing/2014/chart" uri="{C3380CC4-5D6E-409C-BE32-E72D297353CC}">
                  <c16:uniqueId val="{00000007-AE48-45C3-A01C-D2A70B19B98E}"/>
                </c:ext>
              </c:extLst>
            </c:dLbl>
            <c:dLbl>
              <c:idx val="12"/>
              <c:delete val="1"/>
              <c:extLst>
                <c:ext xmlns:c15="http://schemas.microsoft.com/office/drawing/2012/chart" uri="{CE6537A1-D6FC-4f65-9D91-7224C49458BB}"/>
                <c:ext xmlns:c16="http://schemas.microsoft.com/office/drawing/2014/chart" uri="{C3380CC4-5D6E-409C-BE32-E72D297353CC}">
                  <c16:uniqueId val="{00000008-AE48-45C3-A01C-D2A70B19B98E}"/>
                </c:ext>
              </c:extLst>
            </c:dLbl>
            <c:dLbl>
              <c:idx val="13"/>
              <c:delete val="1"/>
              <c:extLst>
                <c:ext xmlns:c15="http://schemas.microsoft.com/office/drawing/2012/chart" uri="{CE6537A1-D6FC-4f65-9D91-7224C49458BB}"/>
                <c:ext xmlns:c16="http://schemas.microsoft.com/office/drawing/2014/chart" uri="{C3380CC4-5D6E-409C-BE32-E72D297353CC}">
                  <c16:uniqueId val="{00000009-AE48-45C3-A01C-D2A70B19B98E}"/>
                </c:ext>
              </c:extLst>
            </c:dLbl>
            <c:dLbl>
              <c:idx val="15"/>
              <c:delete val="1"/>
              <c:extLst>
                <c:ext xmlns:c15="http://schemas.microsoft.com/office/drawing/2012/chart" uri="{CE6537A1-D6FC-4f65-9D91-7224C49458BB}"/>
                <c:ext xmlns:c16="http://schemas.microsoft.com/office/drawing/2014/chart" uri="{C3380CC4-5D6E-409C-BE32-E72D297353CC}">
                  <c16:uniqueId val="{0000000A-AE48-45C3-A01C-D2A70B19B98E}"/>
                </c:ext>
              </c:extLst>
            </c:dLbl>
            <c:dLbl>
              <c:idx val="16"/>
              <c:delete val="1"/>
              <c:extLst>
                <c:ext xmlns:c15="http://schemas.microsoft.com/office/drawing/2012/chart" uri="{CE6537A1-D6FC-4f65-9D91-7224C49458BB}"/>
                <c:ext xmlns:c16="http://schemas.microsoft.com/office/drawing/2014/chart" uri="{C3380CC4-5D6E-409C-BE32-E72D297353CC}">
                  <c16:uniqueId val="{0000000B-AE48-45C3-A01C-D2A70B19B98E}"/>
                </c:ext>
              </c:extLst>
            </c:dLbl>
            <c:dLbl>
              <c:idx val="17"/>
              <c:delete val="1"/>
              <c:extLst>
                <c:ext xmlns:c15="http://schemas.microsoft.com/office/drawing/2012/chart" uri="{CE6537A1-D6FC-4f65-9D91-7224C49458BB}"/>
                <c:ext xmlns:c16="http://schemas.microsoft.com/office/drawing/2014/chart" uri="{C3380CC4-5D6E-409C-BE32-E72D297353CC}">
                  <c16:uniqueId val="{0000000C-AE48-45C3-A01C-D2A70B19B98E}"/>
                </c:ext>
              </c:extLst>
            </c:dLbl>
            <c:dLbl>
              <c:idx val="18"/>
              <c:delete val="1"/>
              <c:extLst>
                <c:ext xmlns:c15="http://schemas.microsoft.com/office/drawing/2012/chart" uri="{CE6537A1-D6FC-4f65-9D91-7224C49458BB}"/>
                <c:ext xmlns:c16="http://schemas.microsoft.com/office/drawing/2014/chart" uri="{C3380CC4-5D6E-409C-BE32-E72D297353CC}">
                  <c16:uniqueId val="{0000000D-AE48-45C3-A01C-D2A70B19B98E}"/>
                </c:ext>
              </c:extLst>
            </c:dLbl>
            <c:dLbl>
              <c:idx val="20"/>
              <c:delete val="1"/>
              <c:extLst>
                <c:ext xmlns:c15="http://schemas.microsoft.com/office/drawing/2012/chart" uri="{CE6537A1-D6FC-4f65-9D91-7224C49458BB}"/>
                <c:ext xmlns:c16="http://schemas.microsoft.com/office/drawing/2014/chart" uri="{C3380CC4-5D6E-409C-BE32-E72D297353CC}">
                  <c16:uniqueId val="{0000000E-AE48-45C3-A01C-D2A70B19B98E}"/>
                </c:ext>
              </c:extLst>
            </c:dLbl>
            <c:dLbl>
              <c:idx val="21"/>
              <c:delete val="1"/>
              <c:extLst>
                <c:ext xmlns:c15="http://schemas.microsoft.com/office/drawing/2012/chart" uri="{CE6537A1-D6FC-4f65-9D91-7224C49458BB}"/>
                <c:ext xmlns:c16="http://schemas.microsoft.com/office/drawing/2014/chart" uri="{C3380CC4-5D6E-409C-BE32-E72D297353CC}">
                  <c16:uniqueId val="{0000000F-AE48-45C3-A01C-D2A70B19B98E}"/>
                </c:ext>
              </c:extLst>
            </c:dLbl>
            <c:dLbl>
              <c:idx val="22"/>
              <c:delete val="1"/>
              <c:extLst>
                <c:ext xmlns:c15="http://schemas.microsoft.com/office/drawing/2012/chart" uri="{CE6537A1-D6FC-4f65-9D91-7224C49458BB}"/>
                <c:ext xmlns:c16="http://schemas.microsoft.com/office/drawing/2014/chart" uri="{C3380CC4-5D6E-409C-BE32-E72D297353CC}">
                  <c16:uniqueId val="{00000010-AE48-45C3-A01C-D2A70B19B98E}"/>
                </c:ext>
              </c:extLst>
            </c:dLbl>
            <c:dLbl>
              <c:idx val="23"/>
              <c:delete val="1"/>
              <c:extLst>
                <c:ext xmlns:c15="http://schemas.microsoft.com/office/drawing/2012/chart" uri="{CE6537A1-D6FC-4f65-9D91-7224C49458BB}"/>
                <c:ext xmlns:c16="http://schemas.microsoft.com/office/drawing/2014/chart" uri="{C3380CC4-5D6E-409C-BE32-E72D297353CC}">
                  <c16:uniqueId val="{00000011-AE48-45C3-A01C-D2A70B19B98E}"/>
                </c:ext>
              </c:extLst>
            </c:dLbl>
            <c:dLbl>
              <c:idx val="25"/>
              <c:delete val="1"/>
              <c:extLst>
                <c:ext xmlns:c15="http://schemas.microsoft.com/office/drawing/2012/chart" uri="{CE6537A1-D6FC-4f65-9D91-7224C49458BB}"/>
                <c:ext xmlns:c16="http://schemas.microsoft.com/office/drawing/2014/chart" uri="{C3380CC4-5D6E-409C-BE32-E72D297353CC}">
                  <c16:uniqueId val="{00000012-AE48-45C3-A01C-D2A70B19B98E}"/>
                </c:ext>
              </c:extLst>
            </c:dLbl>
            <c:dLbl>
              <c:idx val="26"/>
              <c:delete val="1"/>
              <c:extLst>
                <c:ext xmlns:c15="http://schemas.microsoft.com/office/drawing/2012/chart" uri="{CE6537A1-D6FC-4f65-9D91-7224C49458BB}"/>
                <c:ext xmlns:c16="http://schemas.microsoft.com/office/drawing/2014/chart" uri="{C3380CC4-5D6E-409C-BE32-E72D297353CC}">
                  <c16:uniqueId val="{00000013-AE48-45C3-A01C-D2A70B19B98E}"/>
                </c:ext>
              </c:extLst>
            </c:dLbl>
            <c:dLbl>
              <c:idx val="27"/>
              <c:delete val="1"/>
              <c:extLst>
                <c:ext xmlns:c15="http://schemas.microsoft.com/office/drawing/2012/chart" uri="{CE6537A1-D6FC-4f65-9D91-7224C49458BB}"/>
                <c:ext xmlns:c16="http://schemas.microsoft.com/office/drawing/2014/chart" uri="{C3380CC4-5D6E-409C-BE32-E72D297353CC}">
                  <c16:uniqueId val="{00000014-AE48-45C3-A01C-D2A70B19B98E}"/>
                </c:ext>
              </c:extLst>
            </c:dLbl>
            <c:dLbl>
              <c:idx val="28"/>
              <c:delete val="1"/>
              <c:extLst>
                <c:ext xmlns:c15="http://schemas.microsoft.com/office/drawing/2012/chart" uri="{CE6537A1-D6FC-4f65-9D91-7224C49458BB}"/>
                <c:ext xmlns:c16="http://schemas.microsoft.com/office/drawing/2014/chart" uri="{C3380CC4-5D6E-409C-BE32-E72D297353CC}">
                  <c16:uniqueId val="{00000015-AE48-45C3-A01C-D2A70B19B98E}"/>
                </c:ext>
              </c:extLst>
            </c:dLbl>
            <c:dLbl>
              <c:idx val="30"/>
              <c:delete val="1"/>
              <c:extLst>
                <c:ext xmlns:c15="http://schemas.microsoft.com/office/drawing/2012/chart" uri="{CE6537A1-D6FC-4f65-9D91-7224C49458BB}"/>
                <c:ext xmlns:c16="http://schemas.microsoft.com/office/drawing/2014/chart" uri="{C3380CC4-5D6E-409C-BE32-E72D297353CC}">
                  <c16:uniqueId val="{00000016-AE48-45C3-A01C-D2A70B19B98E}"/>
                </c:ext>
              </c:extLst>
            </c:dLbl>
            <c:dLbl>
              <c:idx val="31"/>
              <c:delete val="1"/>
              <c:extLst>
                <c:ext xmlns:c15="http://schemas.microsoft.com/office/drawing/2012/chart" uri="{CE6537A1-D6FC-4f65-9D91-7224C49458BB}"/>
                <c:ext xmlns:c16="http://schemas.microsoft.com/office/drawing/2014/chart" uri="{C3380CC4-5D6E-409C-BE32-E72D297353CC}">
                  <c16:uniqueId val="{00000017-AE48-45C3-A01C-D2A70B19B98E}"/>
                </c:ext>
              </c:extLst>
            </c:dLbl>
            <c:dLbl>
              <c:idx val="32"/>
              <c:delete val="1"/>
              <c:extLst>
                <c:ext xmlns:c15="http://schemas.microsoft.com/office/drawing/2012/chart" uri="{CE6537A1-D6FC-4f65-9D91-7224C49458BB}"/>
                <c:ext xmlns:c16="http://schemas.microsoft.com/office/drawing/2014/chart" uri="{C3380CC4-5D6E-409C-BE32-E72D297353CC}">
                  <c16:uniqueId val="{00000018-AE48-45C3-A01C-D2A70B19B98E}"/>
                </c:ext>
              </c:extLst>
            </c:dLbl>
            <c:dLbl>
              <c:idx val="33"/>
              <c:delete val="1"/>
              <c:extLst>
                <c:ext xmlns:c15="http://schemas.microsoft.com/office/drawing/2012/chart" uri="{CE6537A1-D6FC-4f65-9D91-7224C49458BB}"/>
                <c:ext xmlns:c16="http://schemas.microsoft.com/office/drawing/2014/chart" uri="{C3380CC4-5D6E-409C-BE32-E72D297353CC}">
                  <c16:uniqueId val="{00000019-AE48-45C3-A01C-D2A70B19B98E}"/>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Garamond" panose="02020404030301010803" pitchFamily="18"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Data!$C$11:$C$45</c:f>
              <c:numCache>
                <c:formatCode>_("$"* #,##0_);_("$"* \(#,##0\);_("$"* "-"??_);_(@_)</c:formatCode>
                <c:ptCount val="35"/>
                <c:pt idx="0">
                  <c:v>496374.99999999994</c:v>
                </c:pt>
                <c:pt idx="1">
                  <c:v>518711.87499999988</c:v>
                </c:pt>
                <c:pt idx="2">
                  <c:v>542053.90937499981</c:v>
                </c:pt>
                <c:pt idx="3">
                  <c:v>566446.33529687475</c:v>
                </c:pt>
                <c:pt idx="4">
                  <c:v>591936.42038523406</c:v>
                </c:pt>
                <c:pt idx="5">
                  <c:v>618573.5593025696</c:v>
                </c:pt>
                <c:pt idx="6">
                  <c:v>646409.36947118514</c:v>
                </c:pt>
                <c:pt idx="7">
                  <c:v>675497.79109738837</c:v>
                </c:pt>
                <c:pt idx="8">
                  <c:v>705895.19169677084</c:v>
                </c:pt>
                <c:pt idx="9">
                  <c:v>737660.47532312549</c:v>
                </c:pt>
                <c:pt idx="10">
                  <c:v>770855.19671266607</c:v>
                </c:pt>
                <c:pt idx="11">
                  <c:v>805543.68056473602</c:v>
                </c:pt>
                <c:pt idx="12">
                  <c:v>841793.14619014913</c:v>
                </c:pt>
                <c:pt idx="13">
                  <c:v>879673.83776870579</c:v>
                </c:pt>
                <c:pt idx="14">
                  <c:v>919259.16046829754</c:v>
                </c:pt>
                <c:pt idx="15">
                  <c:v>960625.82268937083</c:v>
                </c:pt>
                <c:pt idx="16">
                  <c:v>1003853.9847103924</c:v>
                </c:pt>
                <c:pt idx="17">
                  <c:v>1049027.41402236</c:v>
                </c:pt>
                <c:pt idx="18">
                  <c:v>1096233.6476533662</c:v>
                </c:pt>
                <c:pt idx="19">
                  <c:v>1145564.1617977675</c:v>
                </c:pt>
                <c:pt idx="20">
                  <c:v>1197114.5490786671</c:v>
                </c:pt>
                <c:pt idx="21">
                  <c:v>1250984.7037872069</c:v>
                </c:pt>
                <c:pt idx="22">
                  <c:v>1307279.0154576311</c:v>
                </c:pt>
                <c:pt idx="23">
                  <c:v>1366106.5711532244</c:v>
                </c:pt>
                <c:pt idx="24">
                  <c:v>1427581.3668551194</c:v>
                </c:pt>
                <c:pt idx="25">
                  <c:v>1491822.5283635997</c:v>
                </c:pt>
                <c:pt idx="26">
                  <c:v>1558954.5421399616</c:v>
                </c:pt>
                <c:pt idx="27">
                  <c:v>1629107.4965362598</c:v>
                </c:pt>
                <c:pt idx="28">
                  <c:v>1702417.3338803914</c:v>
                </c:pt>
                <c:pt idx="29">
                  <c:v>1779026.1139050089</c:v>
                </c:pt>
                <c:pt idx="30">
                  <c:v>1859082.2890307342</c:v>
                </c:pt>
                <c:pt idx="31">
                  <c:v>1942740.992037117</c:v>
                </c:pt>
                <c:pt idx="32">
                  <c:v>2030164.3366787871</c:v>
                </c:pt>
                <c:pt idx="33">
                  <c:v>2121521.7318293322</c:v>
                </c:pt>
                <c:pt idx="34">
                  <c:v>2216990.2097616522</c:v>
                </c:pt>
              </c:numCache>
            </c:numRef>
          </c:val>
          <c:smooth val="0"/>
          <c:extLst>
            <c:ext xmlns:c16="http://schemas.microsoft.com/office/drawing/2014/chart" uri="{C3380CC4-5D6E-409C-BE32-E72D297353CC}">
              <c16:uniqueId val="{0000001A-AE48-45C3-A01C-D2A70B19B98E}"/>
            </c:ext>
          </c:extLst>
        </c:ser>
        <c:ser>
          <c:idx val="1"/>
          <c:order val="1"/>
          <c:tx>
            <c:v>Loan Value</c:v>
          </c:tx>
          <c:spPr>
            <a:ln w="28575" cap="rnd">
              <a:solidFill>
                <a:srgbClr val="9BB3FF"/>
              </a:solidFill>
              <a:round/>
            </a:ln>
            <a:effectLst/>
          </c:spPr>
          <c:marker>
            <c:symbol val="none"/>
          </c:marker>
          <c:dLbls>
            <c:delete val="1"/>
          </c:dLbls>
          <c:val>
            <c:numRef>
              <c:f>Data!$AA$10:$AA$45</c:f>
              <c:numCache>
                <c:formatCode>_("$"* #,##0_);_("$"* \(#,##0\);_("$"* "-"??_);_(@_)</c:formatCode>
                <c:ptCount val="36"/>
                <c:pt idx="0">
                  <c:v>451250</c:v>
                </c:pt>
                <c:pt idx="1">
                  <c:v>446882.54646223772</c:v>
                </c:pt>
                <c:pt idx="2">
                  <c:v>442187.71604321804</c:v>
                </c:pt>
                <c:pt idx="3">
                  <c:v>437140.96912930673</c:v>
                </c:pt>
                <c:pt idx="4">
                  <c:v>431715.92665921233</c:v>
                </c:pt>
                <c:pt idx="5">
                  <c:v>425884.23224212124</c:v>
                </c:pt>
                <c:pt idx="6">
                  <c:v>419615.40394044353</c:v>
                </c:pt>
                <c:pt idx="7">
                  <c:v>412876.67494244548</c:v>
                </c:pt>
                <c:pt idx="8">
                  <c:v>405632.82229197375</c:v>
                </c:pt>
                <c:pt idx="9">
                  <c:v>397845.98278005165</c:v>
                </c:pt>
                <c:pt idx="10">
                  <c:v>389475.45503602282</c:v>
                </c:pt>
                <c:pt idx="11">
                  <c:v>380477.48678378353</c:v>
                </c:pt>
                <c:pt idx="12">
                  <c:v>370805.0461511052</c:v>
                </c:pt>
                <c:pt idx="13">
                  <c:v>360407.57583669247</c:v>
                </c:pt>
                <c:pt idx="14">
                  <c:v>349230.72885002254</c:v>
                </c:pt>
                <c:pt idx="15">
                  <c:v>337216.08444269316</c:v>
                </c:pt>
                <c:pt idx="16">
                  <c:v>324300.84274646768</c:v>
                </c:pt>
                <c:pt idx="17">
                  <c:v>310417.49652190821</c:v>
                </c:pt>
                <c:pt idx="18">
                  <c:v>295493.47830184491</c:v>
                </c:pt>
                <c:pt idx="19">
                  <c:v>279450.78108532086</c:v>
                </c:pt>
                <c:pt idx="20">
                  <c:v>262205.5505994003</c:v>
                </c:pt>
                <c:pt idx="21">
                  <c:v>243667.64699761671</c:v>
                </c:pt>
                <c:pt idx="22">
                  <c:v>223740.17370408276</c:v>
                </c:pt>
                <c:pt idx="23">
                  <c:v>202318.97094055652</c:v>
                </c:pt>
                <c:pt idx="24">
                  <c:v>179292.0712891593</c:v>
                </c:pt>
                <c:pt idx="25">
                  <c:v>154539.11444500159</c:v>
                </c:pt>
                <c:pt idx="26">
                  <c:v>127930.71809966222</c:v>
                </c:pt>
                <c:pt idx="27">
                  <c:v>99327.801667164342</c:v>
                </c:pt>
                <c:pt idx="28">
                  <c:v>68580.859317601891</c:v>
                </c:pt>
                <c:pt idx="29">
                  <c:v>35529.178518604531</c:v>
                </c:pt>
                <c:pt idx="30">
                  <c:v>1.1423253454267979E-9</c:v>
                </c:pt>
                <c:pt idx="31">
                  <c:v>0</c:v>
                </c:pt>
                <c:pt idx="32">
                  <c:v>0</c:v>
                </c:pt>
                <c:pt idx="33">
                  <c:v>0</c:v>
                </c:pt>
                <c:pt idx="34">
                  <c:v>0</c:v>
                </c:pt>
                <c:pt idx="35">
                  <c:v>0</c:v>
                </c:pt>
              </c:numCache>
            </c:numRef>
          </c:val>
          <c:smooth val="0"/>
          <c:extLst>
            <c:ext xmlns:c16="http://schemas.microsoft.com/office/drawing/2014/chart" uri="{C3380CC4-5D6E-409C-BE32-E72D297353CC}">
              <c16:uniqueId val="{00000000-3183-4A17-ACE8-B943CAE51C70}"/>
            </c:ext>
          </c:extLst>
        </c:ser>
        <c:dLbls>
          <c:dLblPos val="t"/>
          <c:showLegendKey val="0"/>
          <c:showVal val="1"/>
          <c:showCatName val="0"/>
          <c:showSerName val="0"/>
          <c:showPercent val="0"/>
          <c:showBubbleSize val="0"/>
        </c:dLbls>
        <c:smooth val="0"/>
        <c:axId val="1216032799"/>
        <c:axId val="1216034463"/>
      </c:lineChart>
      <c:catAx>
        <c:axId val="121603279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1216034463"/>
        <c:crosses val="autoZero"/>
        <c:auto val="1"/>
        <c:lblAlgn val="ctr"/>
        <c:lblOffset val="100"/>
        <c:noMultiLvlLbl val="0"/>
      </c:catAx>
      <c:valAx>
        <c:axId val="121603446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12160327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gradFill>
    <a:ln w="9525" cap="flat" cmpd="sng" algn="ctr">
      <a:solidFill>
        <a:schemeClr val="tx1">
          <a:lumMod val="50000"/>
          <a:lumOff val="50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Garamond" panose="02020404030301010803" pitchFamily="18" charset="0"/>
                <a:ea typeface="+mn-ea"/>
                <a:cs typeface="+mn-cs"/>
              </a:defRPr>
            </a:pPr>
            <a:r>
              <a:rPr lang="en-US" sz="1800" b="1">
                <a:latin typeface="Garamond" panose="02020404030301010803" pitchFamily="18" charset="0"/>
              </a:rPr>
              <a:t>Home</a:t>
            </a:r>
            <a:r>
              <a:rPr lang="en-US" sz="1800" b="1" baseline="0">
                <a:latin typeface="Garamond" panose="02020404030301010803" pitchFamily="18" charset="0"/>
              </a:rPr>
              <a:t> Value</a:t>
            </a:r>
            <a:endParaRPr lang="en-US" sz="1800" b="1">
              <a:latin typeface="Garamond" panose="02020404030301010803" pitchFamily="18" charset="0"/>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Garamond" panose="02020404030301010803" pitchFamily="18" charset="0"/>
              <a:ea typeface="+mn-ea"/>
              <a:cs typeface="+mn-cs"/>
            </a:defRPr>
          </a:pPr>
          <a:endParaRPr lang="en-US"/>
        </a:p>
      </c:txPr>
    </c:title>
    <c:autoTitleDeleted val="0"/>
    <c:plotArea>
      <c:layout/>
      <c:lineChart>
        <c:grouping val="standard"/>
        <c:varyColors val="0"/>
        <c:ser>
          <c:idx val="0"/>
          <c:order val="0"/>
          <c:tx>
            <c:strRef>
              <c:f>Dashboard!$B$40:$C$40</c:f>
              <c:strCache>
                <c:ptCount val="1"/>
                <c:pt idx="0">
                  <c:v>Annual Home Appreciation 4.5%</c:v>
                </c:pt>
              </c:strCache>
            </c:strRef>
          </c:tx>
          <c:spPr>
            <a:ln w="28575" cap="rnd">
              <a:solidFill>
                <a:srgbClr val="5E6738"/>
              </a:solidFill>
              <a:round/>
            </a:ln>
            <a:effectLst/>
          </c:spPr>
          <c:marker>
            <c:symbol val="none"/>
          </c:marker>
          <c:dLbls>
            <c:delete val="1"/>
          </c:dLbls>
          <c:val>
            <c:numRef>
              <c:f>Data!$C$11:$C$45</c:f>
              <c:numCache>
                <c:formatCode>_("$"* #,##0_);_("$"* \(#,##0\);_("$"* "-"??_);_(@_)</c:formatCode>
                <c:ptCount val="35"/>
                <c:pt idx="0">
                  <c:v>496374.99999999994</c:v>
                </c:pt>
                <c:pt idx="1">
                  <c:v>518711.87499999988</c:v>
                </c:pt>
                <c:pt idx="2">
                  <c:v>542053.90937499981</c:v>
                </c:pt>
                <c:pt idx="3">
                  <c:v>566446.33529687475</c:v>
                </c:pt>
                <c:pt idx="4">
                  <c:v>591936.42038523406</c:v>
                </c:pt>
                <c:pt idx="5">
                  <c:v>618573.5593025696</c:v>
                </c:pt>
                <c:pt idx="6">
                  <c:v>646409.36947118514</c:v>
                </c:pt>
                <c:pt idx="7">
                  <c:v>675497.79109738837</c:v>
                </c:pt>
                <c:pt idx="8">
                  <c:v>705895.19169677084</c:v>
                </c:pt>
                <c:pt idx="9">
                  <c:v>737660.47532312549</c:v>
                </c:pt>
                <c:pt idx="10">
                  <c:v>770855.19671266607</c:v>
                </c:pt>
                <c:pt idx="11">
                  <c:v>805543.68056473602</c:v>
                </c:pt>
                <c:pt idx="12">
                  <c:v>841793.14619014913</c:v>
                </c:pt>
                <c:pt idx="13">
                  <c:v>879673.83776870579</c:v>
                </c:pt>
                <c:pt idx="14">
                  <c:v>919259.16046829754</c:v>
                </c:pt>
                <c:pt idx="15">
                  <c:v>960625.82268937083</c:v>
                </c:pt>
                <c:pt idx="16">
                  <c:v>1003853.9847103924</c:v>
                </c:pt>
                <c:pt idx="17">
                  <c:v>1049027.41402236</c:v>
                </c:pt>
                <c:pt idx="18">
                  <c:v>1096233.6476533662</c:v>
                </c:pt>
                <c:pt idx="19">
                  <c:v>1145564.1617977675</c:v>
                </c:pt>
                <c:pt idx="20">
                  <c:v>1197114.5490786671</c:v>
                </c:pt>
                <c:pt idx="21">
                  <c:v>1250984.7037872069</c:v>
                </c:pt>
                <c:pt idx="22">
                  <c:v>1307279.0154576311</c:v>
                </c:pt>
                <c:pt idx="23">
                  <c:v>1366106.5711532244</c:v>
                </c:pt>
                <c:pt idx="24">
                  <c:v>1427581.3668551194</c:v>
                </c:pt>
                <c:pt idx="25">
                  <c:v>1491822.5283635997</c:v>
                </c:pt>
                <c:pt idx="26">
                  <c:v>1558954.5421399616</c:v>
                </c:pt>
                <c:pt idx="27">
                  <c:v>1629107.4965362598</c:v>
                </c:pt>
                <c:pt idx="28">
                  <c:v>1702417.3338803914</c:v>
                </c:pt>
                <c:pt idx="29">
                  <c:v>1779026.1139050089</c:v>
                </c:pt>
                <c:pt idx="30">
                  <c:v>1859082.2890307342</c:v>
                </c:pt>
                <c:pt idx="31">
                  <c:v>1942740.992037117</c:v>
                </c:pt>
                <c:pt idx="32">
                  <c:v>2030164.3366787871</c:v>
                </c:pt>
                <c:pt idx="33">
                  <c:v>2121521.7318293322</c:v>
                </c:pt>
                <c:pt idx="34">
                  <c:v>2216990.2097616522</c:v>
                </c:pt>
              </c:numCache>
            </c:numRef>
          </c:val>
          <c:smooth val="0"/>
          <c:extLst>
            <c:ext xmlns:c16="http://schemas.microsoft.com/office/drawing/2014/chart" uri="{C3380CC4-5D6E-409C-BE32-E72D297353CC}">
              <c16:uniqueId val="{00000000-EEAB-4AFC-8A93-A72F78A2B590}"/>
            </c:ext>
          </c:extLst>
        </c:ser>
        <c:ser>
          <c:idx val="1"/>
          <c:order val="1"/>
          <c:tx>
            <c:v>Loan Value</c:v>
          </c:tx>
          <c:spPr>
            <a:ln w="28575" cap="rnd">
              <a:solidFill>
                <a:srgbClr val="BC5B22"/>
              </a:solidFill>
              <a:round/>
            </a:ln>
            <a:effectLst/>
          </c:spPr>
          <c:marker>
            <c:symbol val="none"/>
          </c:marker>
          <c:dLbls>
            <c:delete val="1"/>
          </c:dLbls>
          <c:val>
            <c:numRef>
              <c:f>Data!$AA$11:$AA$45</c:f>
              <c:numCache>
                <c:formatCode>_("$"* #,##0_);_("$"* \(#,##0\);_("$"* "-"??_);_(@_)</c:formatCode>
                <c:ptCount val="35"/>
                <c:pt idx="0">
                  <c:v>446882.54646223772</c:v>
                </c:pt>
                <c:pt idx="1">
                  <c:v>442187.71604321804</c:v>
                </c:pt>
                <c:pt idx="2">
                  <c:v>437140.96912930673</c:v>
                </c:pt>
                <c:pt idx="3">
                  <c:v>431715.92665921233</c:v>
                </c:pt>
                <c:pt idx="4">
                  <c:v>425884.23224212124</c:v>
                </c:pt>
                <c:pt idx="5">
                  <c:v>419615.40394044353</c:v>
                </c:pt>
                <c:pt idx="6">
                  <c:v>412876.67494244548</c:v>
                </c:pt>
                <c:pt idx="7">
                  <c:v>405632.82229197375</c:v>
                </c:pt>
                <c:pt idx="8">
                  <c:v>397845.98278005165</c:v>
                </c:pt>
                <c:pt idx="9">
                  <c:v>389475.45503602282</c:v>
                </c:pt>
                <c:pt idx="10">
                  <c:v>380477.48678378353</c:v>
                </c:pt>
                <c:pt idx="11">
                  <c:v>370805.0461511052</c:v>
                </c:pt>
                <c:pt idx="12">
                  <c:v>360407.57583669247</c:v>
                </c:pt>
                <c:pt idx="13">
                  <c:v>349230.72885002254</c:v>
                </c:pt>
                <c:pt idx="14">
                  <c:v>337216.08444269316</c:v>
                </c:pt>
                <c:pt idx="15">
                  <c:v>324300.84274646768</c:v>
                </c:pt>
                <c:pt idx="16">
                  <c:v>310417.49652190821</c:v>
                </c:pt>
                <c:pt idx="17">
                  <c:v>295493.47830184491</c:v>
                </c:pt>
                <c:pt idx="18">
                  <c:v>279450.78108532086</c:v>
                </c:pt>
                <c:pt idx="19">
                  <c:v>262205.5505994003</c:v>
                </c:pt>
                <c:pt idx="20">
                  <c:v>243667.64699761671</c:v>
                </c:pt>
                <c:pt idx="21">
                  <c:v>223740.17370408276</c:v>
                </c:pt>
                <c:pt idx="22">
                  <c:v>202318.97094055652</c:v>
                </c:pt>
                <c:pt idx="23">
                  <c:v>179292.0712891593</c:v>
                </c:pt>
                <c:pt idx="24">
                  <c:v>154539.11444500159</c:v>
                </c:pt>
                <c:pt idx="25">
                  <c:v>127930.71809966222</c:v>
                </c:pt>
                <c:pt idx="26">
                  <c:v>99327.801667164342</c:v>
                </c:pt>
                <c:pt idx="27">
                  <c:v>68580.859317601891</c:v>
                </c:pt>
                <c:pt idx="28">
                  <c:v>35529.178518604531</c:v>
                </c:pt>
                <c:pt idx="29">
                  <c:v>1.1423253454267979E-9</c:v>
                </c:pt>
                <c:pt idx="30">
                  <c:v>0</c:v>
                </c:pt>
                <c:pt idx="31">
                  <c:v>0</c:v>
                </c:pt>
                <c:pt idx="32">
                  <c:v>0</c:v>
                </c:pt>
                <c:pt idx="33">
                  <c:v>0</c:v>
                </c:pt>
                <c:pt idx="34">
                  <c:v>0</c:v>
                </c:pt>
              </c:numCache>
            </c:numRef>
          </c:val>
          <c:smooth val="0"/>
          <c:extLst>
            <c:ext xmlns:c16="http://schemas.microsoft.com/office/drawing/2014/chart" uri="{C3380CC4-5D6E-409C-BE32-E72D297353CC}">
              <c16:uniqueId val="{0000001F-EEAB-4AFC-8A93-A72F78A2B590}"/>
            </c:ext>
          </c:extLst>
        </c:ser>
        <c:dLbls>
          <c:dLblPos val="t"/>
          <c:showLegendKey val="0"/>
          <c:showVal val="1"/>
          <c:showCatName val="0"/>
          <c:showSerName val="0"/>
          <c:showPercent val="0"/>
          <c:showBubbleSize val="0"/>
        </c:dLbls>
        <c:smooth val="0"/>
        <c:axId val="1216032799"/>
        <c:axId val="1216034463"/>
      </c:lineChart>
      <c:catAx>
        <c:axId val="121603279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1216034463"/>
        <c:crosses val="autoZero"/>
        <c:auto val="1"/>
        <c:lblAlgn val="ctr"/>
        <c:lblOffset val="100"/>
        <c:noMultiLvlLbl val="0"/>
      </c:catAx>
      <c:valAx>
        <c:axId val="121603446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12160327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gradFill>
    <a:ln w="9525" cap="flat" cmpd="sng" algn="ctr">
      <a:solidFill>
        <a:schemeClr val="tx1">
          <a:lumMod val="50000"/>
          <a:lumOff val="50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Garamond" panose="02020404030301010803" pitchFamily="18" charset="0"/>
                <a:ea typeface="+mn-ea"/>
                <a:cs typeface="+mn-cs"/>
              </a:defRPr>
            </a:pPr>
            <a:r>
              <a:rPr lang="en-US" sz="2000" b="1"/>
              <a:t>Rent vs. Own (Cash Flow </a:t>
            </a:r>
            <a:r>
              <a:rPr lang="en-US" sz="2000" b="1" i="1"/>
              <a:t>Difference</a:t>
            </a:r>
            <a:r>
              <a:rPr lang="en-US" sz="2000" b="1"/>
              <a:t>)</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Garamond" panose="02020404030301010803" pitchFamily="18" charset="0"/>
              <a:ea typeface="+mn-ea"/>
              <a:cs typeface="+mn-cs"/>
            </a:defRPr>
          </a:pPr>
          <a:endParaRPr lang="en-US"/>
        </a:p>
      </c:txPr>
    </c:title>
    <c:autoTitleDeleted val="0"/>
    <c:plotArea>
      <c:layout/>
      <c:barChart>
        <c:barDir val="col"/>
        <c:grouping val="clustered"/>
        <c:varyColors val="0"/>
        <c:ser>
          <c:idx val="2"/>
          <c:order val="0"/>
          <c:spPr>
            <a:solidFill>
              <a:srgbClr val="172C51"/>
            </a:solidFill>
            <a:ln w="25400">
              <a:solidFill>
                <a:srgbClr val="172C5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A5EF-4824-8415-5375D98571F2}"/>
                </c:ext>
              </c:extLst>
            </c:dLbl>
            <c:dLbl>
              <c:idx val="2"/>
              <c:delete val="1"/>
              <c:extLst>
                <c:ext xmlns:c15="http://schemas.microsoft.com/office/drawing/2012/chart" uri="{CE6537A1-D6FC-4f65-9D91-7224C49458BB}"/>
                <c:ext xmlns:c16="http://schemas.microsoft.com/office/drawing/2014/chart" uri="{C3380CC4-5D6E-409C-BE32-E72D297353CC}">
                  <c16:uniqueId val="{00000002-A5EF-4824-8415-5375D98571F2}"/>
                </c:ext>
              </c:extLst>
            </c:dLbl>
            <c:dLbl>
              <c:idx val="3"/>
              <c:delete val="1"/>
              <c:extLst>
                <c:ext xmlns:c15="http://schemas.microsoft.com/office/drawing/2012/chart" uri="{CE6537A1-D6FC-4f65-9D91-7224C49458BB}"/>
                <c:ext xmlns:c16="http://schemas.microsoft.com/office/drawing/2014/chart" uri="{C3380CC4-5D6E-409C-BE32-E72D297353CC}">
                  <c16:uniqueId val="{00000003-A5EF-4824-8415-5375D98571F2}"/>
                </c:ext>
              </c:extLst>
            </c:dLbl>
            <c:dLbl>
              <c:idx val="5"/>
              <c:delete val="1"/>
              <c:extLst>
                <c:ext xmlns:c15="http://schemas.microsoft.com/office/drawing/2012/chart" uri="{CE6537A1-D6FC-4f65-9D91-7224C49458BB}"/>
                <c:ext xmlns:c16="http://schemas.microsoft.com/office/drawing/2014/chart" uri="{C3380CC4-5D6E-409C-BE32-E72D297353CC}">
                  <c16:uniqueId val="{00000004-A5EF-4824-8415-5375D98571F2}"/>
                </c:ext>
              </c:extLst>
            </c:dLbl>
            <c:dLbl>
              <c:idx val="6"/>
              <c:delete val="1"/>
              <c:extLst>
                <c:ext xmlns:c15="http://schemas.microsoft.com/office/drawing/2012/chart" uri="{CE6537A1-D6FC-4f65-9D91-7224C49458BB}"/>
                <c:ext xmlns:c16="http://schemas.microsoft.com/office/drawing/2014/chart" uri="{C3380CC4-5D6E-409C-BE32-E72D297353CC}">
                  <c16:uniqueId val="{00000005-A5EF-4824-8415-5375D98571F2}"/>
                </c:ext>
              </c:extLst>
            </c:dLbl>
            <c:dLbl>
              <c:idx val="7"/>
              <c:delete val="1"/>
              <c:extLst>
                <c:ext xmlns:c15="http://schemas.microsoft.com/office/drawing/2012/chart" uri="{CE6537A1-D6FC-4f65-9D91-7224C49458BB}"/>
                <c:ext xmlns:c16="http://schemas.microsoft.com/office/drawing/2014/chart" uri="{C3380CC4-5D6E-409C-BE32-E72D297353CC}">
                  <c16:uniqueId val="{00000006-A5EF-4824-8415-5375D98571F2}"/>
                </c:ext>
              </c:extLst>
            </c:dLbl>
            <c:dLbl>
              <c:idx val="8"/>
              <c:delete val="1"/>
              <c:extLst>
                <c:ext xmlns:c15="http://schemas.microsoft.com/office/drawing/2012/chart" uri="{CE6537A1-D6FC-4f65-9D91-7224C49458BB}"/>
                <c:ext xmlns:c16="http://schemas.microsoft.com/office/drawing/2014/chart" uri="{C3380CC4-5D6E-409C-BE32-E72D297353CC}">
                  <c16:uniqueId val="{00000007-A5EF-4824-8415-5375D98571F2}"/>
                </c:ext>
              </c:extLst>
            </c:dLbl>
            <c:dLbl>
              <c:idx val="10"/>
              <c:delete val="1"/>
              <c:extLst>
                <c:ext xmlns:c15="http://schemas.microsoft.com/office/drawing/2012/chart" uri="{CE6537A1-D6FC-4f65-9D91-7224C49458BB}"/>
                <c:ext xmlns:c16="http://schemas.microsoft.com/office/drawing/2014/chart" uri="{C3380CC4-5D6E-409C-BE32-E72D297353CC}">
                  <c16:uniqueId val="{00000008-A5EF-4824-8415-5375D98571F2}"/>
                </c:ext>
              </c:extLst>
            </c:dLbl>
            <c:dLbl>
              <c:idx val="11"/>
              <c:delete val="1"/>
              <c:extLst>
                <c:ext xmlns:c15="http://schemas.microsoft.com/office/drawing/2012/chart" uri="{CE6537A1-D6FC-4f65-9D91-7224C49458BB}"/>
                <c:ext xmlns:c16="http://schemas.microsoft.com/office/drawing/2014/chart" uri="{C3380CC4-5D6E-409C-BE32-E72D297353CC}">
                  <c16:uniqueId val="{00000009-A5EF-4824-8415-5375D98571F2}"/>
                </c:ext>
              </c:extLst>
            </c:dLbl>
            <c:dLbl>
              <c:idx val="12"/>
              <c:delete val="1"/>
              <c:extLst>
                <c:ext xmlns:c15="http://schemas.microsoft.com/office/drawing/2012/chart" uri="{CE6537A1-D6FC-4f65-9D91-7224C49458BB}"/>
                <c:ext xmlns:c16="http://schemas.microsoft.com/office/drawing/2014/chart" uri="{C3380CC4-5D6E-409C-BE32-E72D297353CC}">
                  <c16:uniqueId val="{0000000A-A5EF-4824-8415-5375D98571F2}"/>
                </c:ext>
              </c:extLst>
            </c:dLbl>
            <c:dLbl>
              <c:idx val="13"/>
              <c:delete val="1"/>
              <c:extLst>
                <c:ext xmlns:c15="http://schemas.microsoft.com/office/drawing/2012/chart" uri="{CE6537A1-D6FC-4f65-9D91-7224C49458BB}"/>
                <c:ext xmlns:c16="http://schemas.microsoft.com/office/drawing/2014/chart" uri="{C3380CC4-5D6E-409C-BE32-E72D297353CC}">
                  <c16:uniqueId val="{0000000B-A5EF-4824-8415-5375D98571F2}"/>
                </c:ext>
              </c:extLst>
            </c:dLbl>
            <c:dLbl>
              <c:idx val="15"/>
              <c:delete val="1"/>
              <c:extLst>
                <c:ext xmlns:c15="http://schemas.microsoft.com/office/drawing/2012/chart" uri="{CE6537A1-D6FC-4f65-9D91-7224C49458BB}"/>
                <c:ext xmlns:c16="http://schemas.microsoft.com/office/drawing/2014/chart" uri="{C3380CC4-5D6E-409C-BE32-E72D297353CC}">
                  <c16:uniqueId val="{0000000C-A5EF-4824-8415-5375D98571F2}"/>
                </c:ext>
              </c:extLst>
            </c:dLbl>
            <c:dLbl>
              <c:idx val="16"/>
              <c:delete val="1"/>
              <c:extLst>
                <c:ext xmlns:c15="http://schemas.microsoft.com/office/drawing/2012/chart" uri="{CE6537A1-D6FC-4f65-9D91-7224C49458BB}"/>
                <c:ext xmlns:c16="http://schemas.microsoft.com/office/drawing/2014/chart" uri="{C3380CC4-5D6E-409C-BE32-E72D297353CC}">
                  <c16:uniqueId val="{0000000D-A5EF-4824-8415-5375D98571F2}"/>
                </c:ext>
              </c:extLst>
            </c:dLbl>
            <c:dLbl>
              <c:idx val="17"/>
              <c:delete val="1"/>
              <c:extLst>
                <c:ext xmlns:c15="http://schemas.microsoft.com/office/drawing/2012/chart" uri="{CE6537A1-D6FC-4f65-9D91-7224C49458BB}"/>
                <c:ext xmlns:c16="http://schemas.microsoft.com/office/drawing/2014/chart" uri="{C3380CC4-5D6E-409C-BE32-E72D297353CC}">
                  <c16:uniqueId val="{0000000E-A5EF-4824-8415-5375D98571F2}"/>
                </c:ext>
              </c:extLst>
            </c:dLbl>
            <c:dLbl>
              <c:idx val="18"/>
              <c:delete val="1"/>
              <c:extLst>
                <c:ext xmlns:c15="http://schemas.microsoft.com/office/drawing/2012/chart" uri="{CE6537A1-D6FC-4f65-9D91-7224C49458BB}"/>
                <c:ext xmlns:c16="http://schemas.microsoft.com/office/drawing/2014/chart" uri="{C3380CC4-5D6E-409C-BE32-E72D297353CC}">
                  <c16:uniqueId val="{0000000F-A5EF-4824-8415-5375D98571F2}"/>
                </c:ext>
              </c:extLst>
            </c:dLbl>
            <c:dLbl>
              <c:idx val="20"/>
              <c:delete val="1"/>
              <c:extLst>
                <c:ext xmlns:c15="http://schemas.microsoft.com/office/drawing/2012/chart" uri="{CE6537A1-D6FC-4f65-9D91-7224C49458BB}"/>
                <c:ext xmlns:c16="http://schemas.microsoft.com/office/drawing/2014/chart" uri="{C3380CC4-5D6E-409C-BE32-E72D297353CC}">
                  <c16:uniqueId val="{00000010-A5EF-4824-8415-5375D98571F2}"/>
                </c:ext>
              </c:extLst>
            </c:dLbl>
            <c:dLbl>
              <c:idx val="21"/>
              <c:delete val="1"/>
              <c:extLst>
                <c:ext xmlns:c15="http://schemas.microsoft.com/office/drawing/2012/chart" uri="{CE6537A1-D6FC-4f65-9D91-7224C49458BB}"/>
                <c:ext xmlns:c16="http://schemas.microsoft.com/office/drawing/2014/chart" uri="{C3380CC4-5D6E-409C-BE32-E72D297353CC}">
                  <c16:uniqueId val="{00000011-A5EF-4824-8415-5375D98571F2}"/>
                </c:ext>
              </c:extLst>
            </c:dLbl>
            <c:dLbl>
              <c:idx val="22"/>
              <c:delete val="1"/>
              <c:extLst>
                <c:ext xmlns:c15="http://schemas.microsoft.com/office/drawing/2012/chart" uri="{CE6537A1-D6FC-4f65-9D91-7224C49458BB}"/>
                <c:ext xmlns:c16="http://schemas.microsoft.com/office/drawing/2014/chart" uri="{C3380CC4-5D6E-409C-BE32-E72D297353CC}">
                  <c16:uniqueId val="{00000012-A5EF-4824-8415-5375D98571F2}"/>
                </c:ext>
              </c:extLst>
            </c:dLbl>
            <c:dLbl>
              <c:idx val="23"/>
              <c:delete val="1"/>
              <c:extLst>
                <c:ext xmlns:c15="http://schemas.microsoft.com/office/drawing/2012/chart" uri="{CE6537A1-D6FC-4f65-9D91-7224C49458BB}"/>
                <c:ext xmlns:c16="http://schemas.microsoft.com/office/drawing/2014/chart" uri="{C3380CC4-5D6E-409C-BE32-E72D297353CC}">
                  <c16:uniqueId val="{00000013-A5EF-4824-8415-5375D98571F2}"/>
                </c:ext>
              </c:extLst>
            </c:dLbl>
            <c:dLbl>
              <c:idx val="25"/>
              <c:delete val="1"/>
              <c:extLst>
                <c:ext xmlns:c15="http://schemas.microsoft.com/office/drawing/2012/chart" uri="{CE6537A1-D6FC-4f65-9D91-7224C49458BB}"/>
                <c:ext xmlns:c16="http://schemas.microsoft.com/office/drawing/2014/chart" uri="{C3380CC4-5D6E-409C-BE32-E72D297353CC}">
                  <c16:uniqueId val="{00000014-A5EF-4824-8415-5375D98571F2}"/>
                </c:ext>
              </c:extLst>
            </c:dLbl>
            <c:dLbl>
              <c:idx val="26"/>
              <c:delete val="1"/>
              <c:extLst>
                <c:ext xmlns:c15="http://schemas.microsoft.com/office/drawing/2012/chart" uri="{CE6537A1-D6FC-4f65-9D91-7224C49458BB}"/>
                <c:ext xmlns:c16="http://schemas.microsoft.com/office/drawing/2014/chart" uri="{C3380CC4-5D6E-409C-BE32-E72D297353CC}">
                  <c16:uniqueId val="{00000015-A5EF-4824-8415-5375D98571F2}"/>
                </c:ext>
              </c:extLst>
            </c:dLbl>
            <c:dLbl>
              <c:idx val="27"/>
              <c:delete val="1"/>
              <c:extLst>
                <c:ext xmlns:c15="http://schemas.microsoft.com/office/drawing/2012/chart" uri="{CE6537A1-D6FC-4f65-9D91-7224C49458BB}"/>
                <c:ext xmlns:c16="http://schemas.microsoft.com/office/drawing/2014/chart" uri="{C3380CC4-5D6E-409C-BE32-E72D297353CC}">
                  <c16:uniqueId val="{00000016-A5EF-4824-8415-5375D98571F2}"/>
                </c:ext>
              </c:extLst>
            </c:dLbl>
            <c:dLbl>
              <c:idx val="28"/>
              <c:delete val="1"/>
              <c:extLst>
                <c:ext xmlns:c15="http://schemas.microsoft.com/office/drawing/2012/chart" uri="{CE6537A1-D6FC-4f65-9D91-7224C49458BB}"/>
                <c:ext xmlns:c16="http://schemas.microsoft.com/office/drawing/2014/chart" uri="{C3380CC4-5D6E-409C-BE32-E72D297353CC}">
                  <c16:uniqueId val="{00000017-A5EF-4824-8415-5375D98571F2}"/>
                </c:ext>
              </c:extLst>
            </c:dLbl>
            <c:dLbl>
              <c:idx val="29"/>
              <c:layout>
                <c:manualLayout>
                  <c:x val="-1.7284564339789976E-16"/>
                  <c:y val="-1.40064929837028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F0-44FF-98D8-6C679F454E7D}"/>
                </c:ext>
              </c:extLst>
            </c:dLbl>
            <c:dLbl>
              <c:idx val="30"/>
              <c:delete val="1"/>
              <c:extLst>
                <c:ext xmlns:c15="http://schemas.microsoft.com/office/drawing/2012/chart" uri="{CE6537A1-D6FC-4f65-9D91-7224C49458BB}"/>
                <c:ext xmlns:c16="http://schemas.microsoft.com/office/drawing/2014/chart" uri="{C3380CC4-5D6E-409C-BE32-E72D297353CC}">
                  <c16:uniqueId val="{00000000-37F0-44FF-98D8-6C679F454E7D}"/>
                </c:ext>
              </c:extLst>
            </c:dLbl>
            <c:dLbl>
              <c:idx val="31"/>
              <c:delete val="1"/>
              <c:extLst>
                <c:ext xmlns:c15="http://schemas.microsoft.com/office/drawing/2012/chart" uri="{CE6537A1-D6FC-4f65-9D91-7224C49458BB}"/>
                <c:ext xmlns:c16="http://schemas.microsoft.com/office/drawing/2014/chart" uri="{C3380CC4-5D6E-409C-BE32-E72D297353CC}">
                  <c16:uniqueId val="{00000019-A5EF-4824-8415-5375D98571F2}"/>
                </c:ext>
              </c:extLst>
            </c:dLbl>
            <c:dLbl>
              <c:idx val="32"/>
              <c:delete val="1"/>
              <c:extLst>
                <c:ext xmlns:c15="http://schemas.microsoft.com/office/drawing/2012/chart" uri="{CE6537A1-D6FC-4f65-9D91-7224C49458BB}"/>
                <c:ext xmlns:c16="http://schemas.microsoft.com/office/drawing/2014/chart" uri="{C3380CC4-5D6E-409C-BE32-E72D297353CC}">
                  <c16:uniqueId val="{0000001A-A5EF-4824-8415-5375D98571F2}"/>
                </c:ext>
              </c:extLst>
            </c:dLbl>
            <c:dLbl>
              <c:idx val="33"/>
              <c:delete val="1"/>
              <c:extLst>
                <c:ext xmlns:c15="http://schemas.microsoft.com/office/drawing/2012/chart" uri="{CE6537A1-D6FC-4f65-9D91-7224C49458BB}"/>
                <c:ext xmlns:c16="http://schemas.microsoft.com/office/drawing/2014/chart" uri="{C3380CC4-5D6E-409C-BE32-E72D297353CC}">
                  <c16:uniqueId val="{0000001B-A5EF-4824-8415-5375D98571F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Garamond" panose="02020404030301010803" pitchFamily="18"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Data!$U$11:$U$45</c:f>
              <c:numCache>
                <c:formatCode>_("$"* #,##0_);_("$"* \(#,##0\);_("$"* "-"??_);_(@_)</c:formatCode>
                <c:ptCount val="35"/>
                <c:pt idx="0">
                  <c:v>-684.8398387535658</c:v>
                </c:pt>
                <c:pt idx="1">
                  <c:v>-596.23801687856667</c:v>
                </c:pt>
                <c:pt idx="2">
                  <c:v>-366.53513123794073</c:v>
                </c:pt>
                <c:pt idx="3">
                  <c:v>-271.62264459989456</c:v>
                </c:pt>
                <c:pt idx="4">
                  <c:v>-173.38822092951614</c:v>
                </c:pt>
                <c:pt idx="5">
                  <c:v>-71.71559243067486</c:v>
                </c:pt>
                <c:pt idx="6">
                  <c:v>33.515578065626414</c:v>
                </c:pt>
                <c:pt idx="7">
                  <c:v>142.42983952929762</c:v>
                </c:pt>
                <c:pt idx="8">
                  <c:v>255.15610014419735</c:v>
                </c:pt>
                <c:pt idx="9">
                  <c:v>371.82777988061844</c:v>
                </c:pt>
                <c:pt idx="10">
                  <c:v>492.58296840781486</c:v>
                </c:pt>
                <c:pt idx="11">
                  <c:v>617.56458853346339</c:v>
                </c:pt>
                <c:pt idx="12">
                  <c:v>746.92056536350947</c:v>
                </c:pt>
                <c:pt idx="13">
                  <c:v>880.8040013826062</c:v>
                </c:pt>
                <c:pt idx="14">
                  <c:v>1019.3733576623717</c:v>
                </c:pt>
                <c:pt idx="15">
                  <c:v>1162.7926414119293</c:v>
                </c:pt>
                <c:pt idx="16">
                  <c:v>1311.2316000927217</c:v>
                </c:pt>
                <c:pt idx="17">
                  <c:v>1464.8659223273421</c:v>
                </c:pt>
                <c:pt idx="18">
                  <c:v>1623.8774458401736</c:v>
                </c:pt>
                <c:pt idx="19">
                  <c:v>1788.4543726759534</c:v>
                </c:pt>
                <c:pt idx="20">
                  <c:v>1958.7914919509858</c:v>
                </c:pt>
                <c:pt idx="21">
                  <c:v>2135.0904104006449</c:v>
                </c:pt>
                <c:pt idx="22">
                  <c:v>2317.5597909960434</c:v>
                </c:pt>
                <c:pt idx="23">
                  <c:v>2506.4155999122795</c:v>
                </c:pt>
                <c:pt idx="24">
                  <c:v>2701.8813621405825</c:v>
                </c:pt>
                <c:pt idx="25">
                  <c:v>2904.1884260468769</c:v>
                </c:pt>
                <c:pt idx="26">
                  <c:v>3113.5762371898927</c:v>
                </c:pt>
                <c:pt idx="27">
                  <c:v>3330.2926217229142</c:v>
                </c:pt>
                <c:pt idx="28">
                  <c:v>3554.5940797145904</c:v>
                </c:pt>
                <c:pt idx="29">
                  <c:v>3786.7460887359748</c:v>
                </c:pt>
                <c:pt idx="30">
                  <c:v>7105.3438818266741</c:v>
                </c:pt>
                <c:pt idx="31">
                  <c:v>7354.0309176906076</c:v>
                </c:pt>
                <c:pt idx="32">
                  <c:v>7611.4219998097788</c:v>
                </c:pt>
                <c:pt idx="33">
                  <c:v>7877.8217698031203</c:v>
                </c:pt>
                <c:pt idx="34">
                  <c:v>8153.5455317462283</c:v>
                </c:pt>
              </c:numCache>
            </c:numRef>
          </c:val>
          <c:extLst>
            <c:ext xmlns:c16="http://schemas.microsoft.com/office/drawing/2014/chart" uri="{C3380CC4-5D6E-409C-BE32-E72D297353CC}">
              <c16:uniqueId val="{00000002-747F-4408-9467-93A183300935}"/>
            </c:ext>
          </c:extLst>
        </c:ser>
        <c:dLbls>
          <c:dLblPos val="outEnd"/>
          <c:showLegendKey val="0"/>
          <c:showVal val="1"/>
          <c:showCatName val="0"/>
          <c:showSerName val="0"/>
          <c:showPercent val="0"/>
          <c:showBubbleSize val="0"/>
        </c:dLbls>
        <c:gapWidth val="150"/>
        <c:axId val="1404453696"/>
        <c:axId val="1447984544"/>
      </c:barChart>
      <c:catAx>
        <c:axId val="140445369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1447984544"/>
        <c:crosses val="autoZero"/>
        <c:auto val="1"/>
        <c:lblAlgn val="ctr"/>
        <c:lblOffset val="100"/>
        <c:noMultiLvlLbl val="0"/>
      </c:catAx>
      <c:valAx>
        <c:axId val="144798454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1404453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gradFill>
    <a:ln w="9525" cap="flat" cmpd="sng" algn="ctr">
      <a:solidFill>
        <a:schemeClr val="tx1">
          <a:lumMod val="50000"/>
          <a:lumOff val="50000"/>
        </a:schemeClr>
      </a:solidFill>
      <a:round/>
    </a:ln>
    <a:effectLst>
      <a:outerShdw blurRad="50800" dist="38100" dir="2700000" algn="tl" rotWithShape="0">
        <a:prstClr val="black">
          <a:alpha val="40000"/>
        </a:prstClr>
      </a:outerShdw>
    </a:effectLst>
  </c:spPr>
  <c:txPr>
    <a:bodyPr/>
    <a:lstStyle/>
    <a:p>
      <a:pPr>
        <a:defRPr sz="1100">
          <a:latin typeface="Garamond" panose="02020404030301010803" pitchFamily="18" charset="0"/>
        </a:defRPr>
      </a:pPr>
      <a:endParaRPr lang="en-US"/>
    </a:p>
  </c:txPr>
  <c:printSettings>
    <c:headerFooter/>
    <c:pageMargins b="0.75" l="0.25" r="0.25"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3</xdr:col>
      <xdr:colOff>364437</xdr:colOff>
      <xdr:row>8</xdr:row>
      <xdr:rowOff>25235</xdr:rowOff>
    </xdr:from>
    <xdr:to>
      <xdr:col>12</xdr:col>
      <xdr:colOff>276351</xdr:colOff>
      <xdr:row>23</xdr:row>
      <xdr:rowOff>164913</xdr:rowOff>
    </xdr:to>
    <xdr:graphicFrame macro="">
      <xdr:nvGraphicFramePr>
        <xdr:cNvPr id="4" name="Chart 3">
          <a:extLst>
            <a:ext uri="{FF2B5EF4-FFF2-40B4-BE49-F238E27FC236}">
              <a16:creationId xmlns:a16="http://schemas.microsoft.com/office/drawing/2014/main" id="{CB528A98-6640-4828-B795-051D360F71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344354</xdr:colOff>
      <xdr:row>25</xdr:row>
      <xdr:rowOff>21328</xdr:rowOff>
    </xdr:from>
    <xdr:to>
      <xdr:col>12</xdr:col>
      <xdr:colOff>256766</xdr:colOff>
      <xdr:row>41</xdr:row>
      <xdr:rowOff>4763</xdr:rowOff>
    </xdr:to>
    <xdr:graphicFrame macro="">
      <xdr:nvGraphicFramePr>
        <xdr:cNvPr id="7" name="Chart 6">
          <a:extLst>
            <a:ext uri="{FF2B5EF4-FFF2-40B4-BE49-F238E27FC236}">
              <a16:creationId xmlns:a16="http://schemas.microsoft.com/office/drawing/2014/main" id="{50F19D94-8A2F-4B5A-935B-8DCE642CCF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30480</xdr:colOff>
      <xdr:row>0</xdr:row>
      <xdr:rowOff>152400</xdr:rowOff>
    </xdr:from>
    <xdr:to>
      <xdr:col>4</xdr:col>
      <xdr:colOff>72390</xdr:colOff>
      <xdr:row>5</xdr:row>
      <xdr:rowOff>110177</xdr:rowOff>
    </xdr:to>
    <xdr:pic>
      <xdr:nvPicPr>
        <xdr:cNvPr id="3" name="Picture 2">
          <a:extLst>
            <a:ext uri="{FF2B5EF4-FFF2-40B4-BE49-F238E27FC236}">
              <a16:creationId xmlns:a16="http://schemas.microsoft.com/office/drawing/2014/main" id="{2B06F49F-88D2-7165-01F4-DDCD119ECD1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5740" y="152400"/>
          <a:ext cx="3021330" cy="9026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105051</xdr:colOff>
      <xdr:row>4</xdr:row>
      <xdr:rowOff>68070</xdr:rowOff>
    </xdr:from>
    <xdr:to>
      <xdr:col>16</xdr:col>
      <xdr:colOff>395783</xdr:colOff>
      <xdr:row>33</xdr:row>
      <xdr:rowOff>76760</xdr:rowOff>
    </xdr:to>
    <xdr:graphicFrame macro="">
      <xdr:nvGraphicFramePr>
        <xdr:cNvPr id="2" name="Chart 1">
          <a:extLst>
            <a:ext uri="{FF2B5EF4-FFF2-40B4-BE49-F238E27FC236}">
              <a16:creationId xmlns:a16="http://schemas.microsoft.com/office/drawing/2014/main" id="{FFBC50EA-55A4-4CCC-A9DE-E7770E528A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105051</xdr:colOff>
      <xdr:row>4</xdr:row>
      <xdr:rowOff>68070</xdr:rowOff>
    </xdr:from>
    <xdr:to>
      <xdr:col>16</xdr:col>
      <xdr:colOff>395783</xdr:colOff>
      <xdr:row>33</xdr:row>
      <xdr:rowOff>76760</xdr:rowOff>
    </xdr:to>
    <xdr:graphicFrame macro="">
      <xdr:nvGraphicFramePr>
        <xdr:cNvPr id="6" name="Chart 5">
          <a:extLst>
            <a:ext uri="{FF2B5EF4-FFF2-40B4-BE49-F238E27FC236}">
              <a16:creationId xmlns:a16="http://schemas.microsoft.com/office/drawing/2014/main" id="{8AC30831-FB90-4724-8123-9FF140B75D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105051</xdr:colOff>
      <xdr:row>4</xdr:row>
      <xdr:rowOff>68070</xdr:rowOff>
    </xdr:from>
    <xdr:to>
      <xdr:col>16</xdr:col>
      <xdr:colOff>395783</xdr:colOff>
      <xdr:row>33</xdr:row>
      <xdr:rowOff>76760</xdr:rowOff>
    </xdr:to>
    <xdr:graphicFrame macro="">
      <xdr:nvGraphicFramePr>
        <xdr:cNvPr id="2" name="Chart 1">
          <a:extLst>
            <a:ext uri="{FF2B5EF4-FFF2-40B4-BE49-F238E27FC236}">
              <a16:creationId xmlns:a16="http://schemas.microsoft.com/office/drawing/2014/main" id="{B17348C9-9CC9-4229-829D-FD8F5914C8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49304</xdr:colOff>
      <xdr:row>4</xdr:row>
      <xdr:rowOff>65274</xdr:rowOff>
    </xdr:from>
    <xdr:to>
      <xdr:col>16</xdr:col>
      <xdr:colOff>340036</xdr:colOff>
      <xdr:row>33</xdr:row>
      <xdr:rowOff>77824</xdr:rowOff>
    </xdr:to>
    <xdr:graphicFrame macro="">
      <xdr:nvGraphicFramePr>
        <xdr:cNvPr id="3" name="Chart 2">
          <a:extLst>
            <a:ext uri="{FF2B5EF4-FFF2-40B4-BE49-F238E27FC236}">
              <a16:creationId xmlns:a16="http://schemas.microsoft.com/office/drawing/2014/main" id="{4C4EA909-B18B-4C50-9513-CDEB677C76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104670</xdr:colOff>
      <xdr:row>4</xdr:row>
      <xdr:rowOff>60290</xdr:rowOff>
    </xdr:from>
    <xdr:to>
      <xdr:col>16</xdr:col>
      <xdr:colOff>348510</xdr:colOff>
      <xdr:row>33</xdr:row>
      <xdr:rowOff>115534</xdr:rowOff>
    </xdr:to>
    <xdr:graphicFrame macro="">
      <xdr:nvGraphicFramePr>
        <xdr:cNvPr id="2" name="Chart 1">
          <a:extLst>
            <a:ext uri="{FF2B5EF4-FFF2-40B4-BE49-F238E27FC236}">
              <a16:creationId xmlns:a16="http://schemas.microsoft.com/office/drawing/2014/main" id="{FBF64FF5-36A3-4F9B-B92A-033502A39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57679</xdr:colOff>
      <xdr:row>4</xdr:row>
      <xdr:rowOff>61428</xdr:rowOff>
    </xdr:from>
    <xdr:to>
      <xdr:col>16</xdr:col>
      <xdr:colOff>334946</xdr:colOff>
      <xdr:row>33</xdr:row>
      <xdr:rowOff>78740</xdr:rowOff>
    </xdr:to>
    <xdr:graphicFrame macro="">
      <xdr:nvGraphicFramePr>
        <xdr:cNvPr id="2" name="Chart 1">
          <a:extLst>
            <a:ext uri="{FF2B5EF4-FFF2-40B4-BE49-F238E27FC236}">
              <a16:creationId xmlns:a16="http://schemas.microsoft.com/office/drawing/2014/main" id="{5C58BEE6-1ABA-4D3C-9E25-3A9BD00C38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52837</xdr:colOff>
      <xdr:row>4</xdr:row>
      <xdr:rowOff>55749</xdr:rowOff>
    </xdr:from>
    <xdr:to>
      <xdr:col>16</xdr:col>
      <xdr:colOff>401645</xdr:colOff>
      <xdr:row>33</xdr:row>
      <xdr:rowOff>77823</xdr:rowOff>
    </xdr:to>
    <xdr:graphicFrame macro="">
      <xdr:nvGraphicFramePr>
        <xdr:cNvPr id="2" name="Chart 1">
          <a:extLst>
            <a:ext uri="{FF2B5EF4-FFF2-40B4-BE49-F238E27FC236}">
              <a16:creationId xmlns:a16="http://schemas.microsoft.com/office/drawing/2014/main" id="{FAEEEF1A-4B22-47BF-89AA-7A7B36A787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52837</xdr:colOff>
      <xdr:row>4</xdr:row>
      <xdr:rowOff>55749</xdr:rowOff>
    </xdr:from>
    <xdr:to>
      <xdr:col>16</xdr:col>
      <xdr:colOff>401645</xdr:colOff>
      <xdr:row>33</xdr:row>
      <xdr:rowOff>77823</xdr:rowOff>
    </xdr:to>
    <xdr:graphicFrame macro="">
      <xdr:nvGraphicFramePr>
        <xdr:cNvPr id="2" name="Chart 1">
          <a:extLst>
            <a:ext uri="{FF2B5EF4-FFF2-40B4-BE49-F238E27FC236}">
              <a16:creationId xmlns:a16="http://schemas.microsoft.com/office/drawing/2014/main" id="{CDD478C5-CF4E-41B6-BE5C-39A53F02A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49304</xdr:colOff>
      <xdr:row>4</xdr:row>
      <xdr:rowOff>65274</xdr:rowOff>
    </xdr:from>
    <xdr:to>
      <xdr:col>16</xdr:col>
      <xdr:colOff>340036</xdr:colOff>
      <xdr:row>33</xdr:row>
      <xdr:rowOff>77824</xdr:rowOff>
    </xdr:to>
    <xdr:graphicFrame macro="">
      <xdr:nvGraphicFramePr>
        <xdr:cNvPr id="2" name="Chart 1">
          <a:extLst>
            <a:ext uri="{FF2B5EF4-FFF2-40B4-BE49-F238E27FC236}">
              <a16:creationId xmlns:a16="http://schemas.microsoft.com/office/drawing/2014/main" id="{89053085-E833-4613-88D5-324A33E7BD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49304</xdr:colOff>
      <xdr:row>4</xdr:row>
      <xdr:rowOff>65274</xdr:rowOff>
    </xdr:from>
    <xdr:to>
      <xdr:col>16</xdr:col>
      <xdr:colOff>340036</xdr:colOff>
      <xdr:row>33</xdr:row>
      <xdr:rowOff>77824</xdr:rowOff>
    </xdr:to>
    <xdr:graphicFrame macro="">
      <xdr:nvGraphicFramePr>
        <xdr:cNvPr id="2" name="Chart 1">
          <a:extLst>
            <a:ext uri="{FF2B5EF4-FFF2-40B4-BE49-F238E27FC236}">
              <a16:creationId xmlns:a16="http://schemas.microsoft.com/office/drawing/2014/main" id="{1453BE69-3C99-45F0-B79A-E51CD35EEC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49304</xdr:colOff>
      <xdr:row>4</xdr:row>
      <xdr:rowOff>65274</xdr:rowOff>
    </xdr:from>
    <xdr:to>
      <xdr:col>16</xdr:col>
      <xdr:colOff>340036</xdr:colOff>
      <xdr:row>33</xdr:row>
      <xdr:rowOff>77824</xdr:rowOff>
    </xdr:to>
    <xdr:graphicFrame macro="">
      <xdr:nvGraphicFramePr>
        <xdr:cNvPr id="2" name="Chart 1">
          <a:extLst>
            <a:ext uri="{FF2B5EF4-FFF2-40B4-BE49-F238E27FC236}">
              <a16:creationId xmlns:a16="http://schemas.microsoft.com/office/drawing/2014/main" id="{C9B20C47-571A-4728-A64B-1E87F2DCD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49304</xdr:colOff>
      <xdr:row>4</xdr:row>
      <xdr:rowOff>65274</xdr:rowOff>
    </xdr:from>
    <xdr:to>
      <xdr:col>16</xdr:col>
      <xdr:colOff>340036</xdr:colOff>
      <xdr:row>33</xdr:row>
      <xdr:rowOff>77824</xdr:rowOff>
    </xdr:to>
    <xdr:graphicFrame macro="">
      <xdr:nvGraphicFramePr>
        <xdr:cNvPr id="2" name="Chart 1">
          <a:extLst>
            <a:ext uri="{FF2B5EF4-FFF2-40B4-BE49-F238E27FC236}">
              <a16:creationId xmlns:a16="http://schemas.microsoft.com/office/drawing/2014/main" id="{089A31A7-8300-4785-AB68-DDDA813C04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105104</xdr:colOff>
      <xdr:row>4</xdr:row>
      <xdr:rowOff>112610</xdr:rowOff>
    </xdr:from>
    <xdr:to>
      <xdr:col>16</xdr:col>
      <xdr:colOff>435428</xdr:colOff>
      <xdr:row>33</xdr:row>
      <xdr:rowOff>167855</xdr:rowOff>
    </xdr:to>
    <xdr:graphicFrame macro="">
      <xdr:nvGraphicFramePr>
        <xdr:cNvPr id="2" name="Chart 1">
          <a:extLst>
            <a:ext uri="{FF2B5EF4-FFF2-40B4-BE49-F238E27FC236}">
              <a16:creationId xmlns:a16="http://schemas.microsoft.com/office/drawing/2014/main" id="{AEA76CF8-3436-400A-AF1F-34362AB89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114300</xdr:colOff>
      <xdr:row>4</xdr:row>
      <xdr:rowOff>114300</xdr:rowOff>
    </xdr:from>
    <xdr:to>
      <xdr:col>16</xdr:col>
      <xdr:colOff>431676</xdr:colOff>
      <xdr:row>33</xdr:row>
      <xdr:rowOff>169545</xdr:rowOff>
    </xdr:to>
    <xdr:graphicFrame macro="">
      <xdr:nvGraphicFramePr>
        <xdr:cNvPr id="2" name="Chart 1">
          <a:extLst>
            <a:ext uri="{FF2B5EF4-FFF2-40B4-BE49-F238E27FC236}">
              <a16:creationId xmlns:a16="http://schemas.microsoft.com/office/drawing/2014/main" id="{CCBE01A3-74B5-4881-B478-5249DE1AEE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109364</xdr:colOff>
      <xdr:row>4</xdr:row>
      <xdr:rowOff>111380</xdr:rowOff>
    </xdr:from>
    <xdr:to>
      <xdr:col>16</xdr:col>
      <xdr:colOff>435428</xdr:colOff>
      <xdr:row>34</xdr:row>
      <xdr:rowOff>0</xdr:rowOff>
    </xdr:to>
    <xdr:graphicFrame macro="">
      <xdr:nvGraphicFramePr>
        <xdr:cNvPr id="2" name="Chart 1">
          <a:extLst>
            <a:ext uri="{FF2B5EF4-FFF2-40B4-BE49-F238E27FC236}">
              <a16:creationId xmlns:a16="http://schemas.microsoft.com/office/drawing/2014/main" id="{0873FFA5-C1E4-4CE4-A8CC-33E1DD64F7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heCPAMortgageGuy@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96066-CFD8-4C5A-91A0-45EDACF4F212}">
  <sheetPr codeName="Sheet1">
    <tabColor rgb="FF172C51"/>
    <pageSetUpPr fitToPage="1"/>
  </sheetPr>
  <dimension ref="B1:O47"/>
  <sheetViews>
    <sheetView showGridLines="0" showRowColHeaders="0" tabSelected="1" zoomScale="115" zoomScaleNormal="115" workbookViewId="0">
      <selection activeCell="C10" sqref="C10"/>
    </sheetView>
  </sheetViews>
  <sheetFormatPr defaultColWidth="9" defaultRowHeight="15" x14ac:dyDescent="0.25"/>
  <cols>
    <col min="1" max="1" width="2.5703125" style="10" customWidth="1"/>
    <col min="2" max="2" width="26" style="10" customWidth="1"/>
    <col min="3" max="3" width="9.85546875" style="6" bestFit="1" customWidth="1"/>
    <col min="4" max="13" width="9" style="10"/>
    <col min="14" max="14" width="24.140625" style="10" customWidth="1"/>
    <col min="15" max="15" width="12.42578125" style="10" customWidth="1"/>
    <col min="16" max="16" width="9" style="10"/>
    <col min="17" max="19" width="9" style="10" customWidth="1"/>
    <col min="20" max="16384" width="9" style="10"/>
  </cols>
  <sheetData>
    <row r="1" spans="2:15" ht="15" customHeight="1" x14ac:dyDescent="0.25">
      <c r="D1" s="114" t="s">
        <v>95</v>
      </c>
      <c r="E1" s="114"/>
      <c r="F1" s="114"/>
      <c r="G1" s="114"/>
      <c r="H1" s="114"/>
      <c r="I1" s="112" t="s">
        <v>96</v>
      </c>
      <c r="J1" s="112"/>
      <c r="K1" s="112"/>
      <c r="L1" s="112"/>
      <c r="M1" s="112"/>
    </row>
    <row r="2" spans="2:15" ht="15" customHeight="1" x14ac:dyDescent="0.25">
      <c r="D2" s="114"/>
      <c r="E2" s="114"/>
      <c r="F2" s="114"/>
      <c r="G2" s="114"/>
      <c r="H2" s="114"/>
      <c r="I2" s="112" t="s">
        <v>97</v>
      </c>
      <c r="J2" s="112"/>
      <c r="K2" s="112"/>
      <c r="L2" s="112"/>
      <c r="M2" s="112"/>
    </row>
    <row r="3" spans="2:15" ht="15" customHeight="1" x14ac:dyDescent="0.25">
      <c r="D3" s="113" t="s">
        <v>94</v>
      </c>
      <c r="E3" s="113"/>
      <c r="F3" s="113"/>
      <c r="G3" s="113"/>
      <c r="H3" s="113"/>
      <c r="I3" s="112" t="s">
        <v>98</v>
      </c>
      <c r="J3" s="112"/>
      <c r="K3" s="112"/>
      <c r="L3" s="112"/>
      <c r="M3" s="112"/>
    </row>
    <row r="5" spans="2:15" ht="15" customHeight="1" x14ac:dyDescent="0.25">
      <c r="D5" s="111" t="s">
        <v>114</v>
      </c>
      <c r="E5" s="111"/>
      <c r="F5" s="111"/>
      <c r="G5" s="111"/>
      <c r="H5" s="111"/>
      <c r="I5" s="109" t="s">
        <v>110</v>
      </c>
      <c r="J5" s="108"/>
      <c r="K5" s="108"/>
      <c r="L5" s="108"/>
      <c r="M5" s="108"/>
      <c r="N5" s="100" t="s">
        <v>33</v>
      </c>
      <c r="O5" s="101"/>
    </row>
    <row r="6" spans="2:15" ht="15" customHeight="1" x14ac:dyDescent="0.25">
      <c r="D6" s="111"/>
      <c r="E6" s="111"/>
      <c r="F6" s="111"/>
      <c r="G6" s="111"/>
      <c r="H6" s="111"/>
      <c r="I6" s="108" t="s">
        <v>111</v>
      </c>
      <c r="J6" s="108"/>
      <c r="K6" s="108"/>
      <c r="L6" s="108"/>
      <c r="M6" s="108"/>
      <c r="N6" s="54" t="s">
        <v>7</v>
      </c>
      <c r="O6" s="14">
        <f>Sale_Price-Down_Payment+Closing_Costs_in_Loan</f>
        <v>451250</v>
      </c>
    </row>
    <row r="7" spans="2:15" ht="15" customHeight="1" x14ac:dyDescent="0.25">
      <c r="D7" s="110" t="s">
        <v>115</v>
      </c>
      <c r="E7" s="110"/>
      <c r="F7" s="110"/>
      <c r="G7" s="110"/>
      <c r="H7" s="110"/>
      <c r="I7" s="108" t="s">
        <v>112</v>
      </c>
      <c r="J7" s="108"/>
      <c r="K7" s="108"/>
      <c r="L7" s="108"/>
      <c r="M7" s="108"/>
      <c r="N7" s="55" t="s">
        <v>13</v>
      </c>
      <c r="O7" s="11">
        <f>Down_Payment+Closing_Costs_OOP</f>
        <v>23750</v>
      </c>
    </row>
    <row r="8" spans="2:15" x14ac:dyDescent="0.25">
      <c r="N8" s="55" t="s">
        <v>91</v>
      </c>
      <c r="O8" s="11">
        <f>Own_Monthly_Payment</f>
        <v>3485.5287970868994</v>
      </c>
    </row>
    <row r="9" spans="2:15" x14ac:dyDescent="0.25">
      <c r="B9" s="107" t="s">
        <v>21</v>
      </c>
      <c r="C9" s="107"/>
      <c r="N9" s="55" t="s">
        <v>34</v>
      </c>
      <c r="O9" s="11">
        <f>Data!T10</f>
        <v>3683.4454637535659</v>
      </c>
    </row>
    <row r="10" spans="2:15" x14ac:dyDescent="0.25">
      <c r="B10" s="54" t="s">
        <v>0</v>
      </c>
      <c r="C10" s="45">
        <v>2888</v>
      </c>
      <c r="N10" s="55" t="s">
        <v>35</v>
      </c>
      <c r="O10" s="11">
        <f>SUM(Monthly_Rent,Rent_Monthly_Utilities,Monthly_Other,(Rent_Annual_Insurance/12))</f>
        <v>2913</v>
      </c>
    </row>
    <row r="11" spans="2:15" x14ac:dyDescent="0.25">
      <c r="B11" s="55" t="s">
        <v>69</v>
      </c>
      <c r="C11" s="45">
        <v>0</v>
      </c>
      <c r="N11" s="98" t="s">
        <v>103</v>
      </c>
      <c r="O11" s="99">
        <f>Data!U10</f>
        <v>-770.44546375356595</v>
      </c>
    </row>
    <row r="12" spans="2:15" x14ac:dyDescent="0.25">
      <c r="B12" s="55" t="s">
        <v>1</v>
      </c>
      <c r="C12" s="45">
        <v>0</v>
      </c>
    </row>
    <row r="13" spans="2:15" x14ac:dyDescent="0.25">
      <c r="B13" s="56" t="s">
        <v>17</v>
      </c>
      <c r="C13" s="45">
        <v>300</v>
      </c>
      <c r="N13" s="102" t="s">
        <v>102</v>
      </c>
      <c r="O13" s="103"/>
    </row>
    <row r="14" spans="2:15" x14ac:dyDescent="0.25">
      <c r="B14" s="57" t="s">
        <v>82</v>
      </c>
      <c r="C14" s="13">
        <f>Monthly_Rent+Rent_Annual_Insurance/12</f>
        <v>2913</v>
      </c>
      <c r="N14" s="55" t="s">
        <v>65</v>
      </c>
      <c r="O14" s="11">
        <f>Data!U10</f>
        <v>-770.44546375356595</v>
      </c>
    </row>
    <row r="15" spans="2:15" x14ac:dyDescent="0.25">
      <c r="B15" s="107" t="s">
        <v>48</v>
      </c>
      <c r="C15" s="107"/>
      <c r="N15" s="55" t="s">
        <v>23</v>
      </c>
      <c r="O15" s="11">
        <f>Data!AB11</f>
        <v>49492.453537762223</v>
      </c>
    </row>
    <row r="16" spans="2:15" x14ac:dyDescent="0.25">
      <c r="B16" s="54" t="s">
        <v>2</v>
      </c>
      <c r="C16" s="46">
        <v>475000</v>
      </c>
      <c r="N16" s="55" t="s">
        <v>37</v>
      </c>
      <c r="O16" s="11">
        <f>Data!AE11</f>
        <v>-32995.345565042793</v>
      </c>
    </row>
    <row r="17" spans="2:15" x14ac:dyDescent="0.25">
      <c r="B17" s="55" t="s">
        <v>26</v>
      </c>
      <c r="C17" s="47">
        <v>0.05</v>
      </c>
      <c r="N17" s="58" t="s">
        <v>66</v>
      </c>
      <c r="O17" s="41">
        <f>SUM(O15:O16)</f>
        <v>16497.10797271943</v>
      </c>
    </row>
    <row r="18" spans="2:15" x14ac:dyDescent="0.25">
      <c r="B18" s="55" t="s">
        <v>25</v>
      </c>
      <c r="C18" s="12">
        <f>Sale_Price*Down_Payment_Percentage</f>
        <v>23750</v>
      </c>
    </row>
    <row r="19" spans="2:15" x14ac:dyDescent="0.25">
      <c r="B19" s="55" t="s">
        <v>27</v>
      </c>
      <c r="C19" s="46">
        <v>0</v>
      </c>
      <c r="N19" s="102" t="s">
        <v>105</v>
      </c>
      <c r="O19" s="103"/>
    </row>
    <row r="20" spans="2:15" x14ac:dyDescent="0.25">
      <c r="B20" s="55" t="s">
        <v>28</v>
      </c>
      <c r="C20" s="46">
        <v>0</v>
      </c>
      <c r="N20" s="55" t="s">
        <v>65</v>
      </c>
      <c r="O20" s="11">
        <f>Data!U14</f>
        <v>-271.62264459989456</v>
      </c>
    </row>
    <row r="21" spans="2:15" x14ac:dyDescent="0.25">
      <c r="B21" s="55" t="s">
        <v>75</v>
      </c>
      <c r="C21" s="48" t="s">
        <v>51</v>
      </c>
      <c r="N21" s="55" t="s">
        <v>23</v>
      </c>
      <c r="O21" s="11">
        <f>Data!AB15</f>
        <v>166052.18814311281</v>
      </c>
    </row>
    <row r="22" spans="2:15" x14ac:dyDescent="0.25">
      <c r="B22" s="55" t="s">
        <v>79</v>
      </c>
      <c r="C22" s="49">
        <v>7.2499999999999995E-2</v>
      </c>
      <c r="N22" s="55" t="s">
        <v>37</v>
      </c>
      <c r="O22" s="11">
        <f>Data!AE15</f>
        <v>-56026.173142682404</v>
      </c>
    </row>
    <row r="23" spans="2:15" x14ac:dyDescent="0.25">
      <c r="B23" s="55" t="s">
        <v>5</v>
      </c>
      <c r="C23" s="50">
        <v>30</v>
      </c>
      <c r="N23" s="58" t="s">
        <v>66</v>
      </c>
      <c r="O23" s="41">
        <f>SUM(O21:O22)</f>
        <v>110026.0150004304</v>
      </c>
    </row>
    <row r="24" spans="2:15" x14ac:dyDescent="0.25">
      <c r="B24" s="55" t="s">
        <v>45</v>
      </c>
      <c r="C24" s="46">
        <v>138</v>
      </c>
    </row>
    <row r="25" spans="2:15" x14ac:dyDescent="0.25">
      <c r="B25" s="59" t="s">
        <v>29</v>
      </c>
      <c r="C25" s="50">
        <v>3</v>
      </c>
      <c r="N25" s="102" t="s">
        <v>106</v>
      </c>
      <c r="O25" s="103"/>
    </row>
    <row r="26" spans="2:15" x14ac:dyDescent="0.25">
      <c r="B26" s="105" t="s">
        <v>49</v>
      </c>
      <c r="C26" s="106"/>
      <c r="N26" s="55" t="s">
        <v>65</v>
      </c>
      <c r="O26" s="11">
        <f>Data!U19</f>
        <v>255.15610014419735</v>
      </c>
    </row>
    <row r="27" spans="2:15" x14ac:dyDescent="0.25">
      <c r="B27" s="56" t="s">
        <v>4</v>
      </c>
      <c r="C27" s="46">
        <f>Sale_Price*0.0055</f>
        <v>2612.5</v>
      </c>
      <c r="N27" s="55" t="s">
        <v>23</v>
      </c>
      <c r="O27" s="11">
        <f>Data!AB20</f>
        <v>348185.02028710267</v>
      </c>
    </row>
    <row r="28" spans="2:15" x14ac:dyDescent="0.25">
      <c r="B28" s="55" t="s">
        <v>32</v>
      </c>
      <c r="C28" s="46">
        <v>618</v>
      </c>
      <c r="N28" s="55" t="s">
        <v>37</v>
      </c>
      <c r="O28" s="11">
        <f>Data!AE20</f>
        <v>-53794.200690135236</v>
      </c>
    </row>
    <row r="29" spans="2:15" x14ac:dyDescent="0.25">
      <c r="B29" s="55" t="s">
        <v>91</v>
      </c>
      <c r="C29" s="13">
        <f>Own_Monthly_Payment</f>
        <v>3485.5287970868994</v>
      </c>
      <c r="N29" s="58" t="s">
        <v>66</v>
      </c>
      <c r="O29" s="41">
        <f>SUM(O27:O28)</f>
        <v>294390.81959696743</v>
      </c>
    </row>
    <row r="30" spans="2:15" x14ac:dyDescent="0.25">
      <c r="B30" s="55" t="s">
        <v>3</v>
      </c>
      <c r="C30" s="46">
        <v>0</v>
      </c>
    </row>
    <row r="31" spans="2:15" x14ac:dyDescent="0.25">
      <c r="B31" s="55" t="s">
        <v>69</v>
      </c>
      <c r="C31" s="46">
        <v>0</v>
      </c>
      <c r="N31" s="102" t="s">
        <v>107</v>
      </c>
      <c r="O31" s="103"/>
    </row>
    <row r="32" spans="2:15" x14ac:dyDescent="0.25">
      <c r="B32" s="55" t="s">
        <v>30</v>
      </c>
      <c r="C32" s="51">
        <v>5.0000000000000001E-3</v>
      </c>
      <c r="N32" s="55" t="s">
        <v>65</v>
      </c>
      <c r="O32" s="11">
        <f>Data!U29</f>
        <v>1623.8774458401736</v>
      </c>
    </row>
    <row r="33" spans="2:15" x14ac:dyDescent="0.25">
      <c r="B33" s="55" t="s">
        <v>31</v>
      </c>
      <c r="C33" s="15">
        <f>Sale_Price*Annual_Maintenance_Percentage</f>
        <v>2375</v>
      </c>
      <c r="N33" s="55" t="s">
        <v>23</v>
      </c>
      <c r="O33" s="11">
        <f>Data!AB30</f>
        <v>883358.6111983672</v>
      </c>
    </row>
    <row r="34" spans="2:15" x14ac:dyDescent="0.25">
      <c r="B34" s="55" t="s">
        <v>88</v>
      </c>
      <c r="C34" s="46">
        <v>0</v>
      </c>
      <c r="N34" s="55" t="s">
        <v>37</v>
      </c>
      <c r="O34" s="11">
        <f>Data!AE30</f>
        <v>62507.889760695369</v>
      </c>
    </row>
    <row r="35" spans="2:15" x14ac:dyDescent="0.25">
      <c r="B35" s="105" t="s">
        <v>92</v>
      </c>
      <c r="C35" s="106"/>
      <c r="N35" s="58" t="s">
        <v>66</v>
      </c>
      <c r="O35" s="41">
        <f>SUM(O33:O34)</f>
        <v>945866.5009590626</v>
      </c>
    </row>
    <row r="36" spans="2:15" x14ac:dyDescent="0.25">
      <c r="B36" s="54" t="s">
        <v>93</v>
      </c>
      <c r="C36" s="46">
        <v>0</v>
      </c>
    </row>
    <row r="37" spans="2:15" x14ac:dyDescent="0.25">
      <c r="B37" s="55" t="s">
        <v>85</v>
      </c>
      <c r="C37" s="50">
        <v>0</v>
      </c>
      <c r="N37" s="102" t="s">
        <v>108</v>
      </c>
      <c r="O37" s="103"/>
    </row>
    <row r="38" spans="2:15" x14ac:dyDescent="0.25">
      <c r="B38" s="105" t="s">
        <v>50</v>
      </c>
      <c r="C38" s="106"/>
      <c r="N38" s="55" t="s">
        <v>65</v>
      </c>
      <c r="O38" s="11">
        <f>Data!U40</f>
        <v>3786.7460887359748</v>
      </c>
    </row>
    <row r="39" spans="2:15" x14ac:dyDescent="0.25">
      <c r="B39" s="60" t="s">
        <v>38</v>
      </c>
      <c r="C39" s="52">
        <v>3.5000000000000003E-2</v>
      </c>
      <c r="N39" s="55" t="s">
        <v>23</v>
      </c>
      <c r="O39" s="11">
        <f>Data!AB41</f>
        <v>1859082.2890307342</v>
      </c>
    </row>
    <row r="40" spans="2:15" x14ac:dyDescent="0.25">
      <c r="B40" s="56" t="s">
        <v>54</v>
      </c>
      <c r="C40" s="47">
        <v>4.4999999999999998E-2</v>
      </c>
      <c r="N40" s="55" t="s">
        <v>37</v>
      </c>
      <c r="O40" s="11">
        <f>Data!AE41</f>
        <v>423678.97553853632</v>
      </c>
    </row>
    <row r="41" spans="2:15" x14ac:dyDescent="0.25">
      <c r="B41" s="59" t="s">
        <v>36</v>
      </c>
      <c r="C41" s="47">
        <v>3.5000000000000003E-2</v>
      </c>
      <c r="N41" s="58" t="s">
        <v>66</v>
      </c>
      <c r="O41" s="41">
        <f>SUM(O39:O40)</f>
        <v>2282761.2645692704</v>
      </c>
    </row>
    <row r="43" spans="2:15" x14ac:dyDescent="0.25">
      <c r="B43" s="104" t="s">
        <v>113</v>
      </c>
      <c r="C43" s="104"/>
      <c r="D43" s="104"/>
      <c r="E43" s="104"/>
      <c r="F43" s="104"/>
      <c r="G43" s="104"/>
      <c r="H43" s="104"/>
      <c r="I43" s="104"/>
      <c r="J43" s="104"/>
      <c r="K43" s="104"/>
      <c r="L43" s="104"/>
      <c r="M43" s="104"/>
      <c r="N43" s="104"/>
      <c r="O43" s="104"/>
    </row>
    <row r="44" spans="2:15" x14ac:dyDescent="0.25">
      <c r="B44" s="104"/>
      <c r="C44" s="104"/>
      <c r="D44" s="104"/>
      <c r="E44" s="104"/>
      <c r="F44" s="104"/>
      <c r="G44" s="104"/>
      <c r="H44" s="104"/>
      <c r="I44" s="104"/>
      <c r="J44" s="104"/>
      <c r="K44" s="104"/>
      <c r="L44" s="104"/>
      <c r="M44" s="104"/>
      <c r="N44" s="104"/>
      <c r="O44" s="104"/>
    </row>
    <row r="45" spans="2:15" x14ac:dyDescent="0.25">
      <c r="B45" s="104"/>
      <c r="C45" s="104"/>
      <c r="D45" s="104"/>
      <c r="E45" s="104"/>
      <c r="F45" s="104"/>
      <c r="G45" s="104"/>
      <c r="H45" s="104"/>
      <c r="I45" s="104"/>
      <c r="J45" s="104"/>
      <c r="K45" s="104"/>
      <c r="L45" s="104"/>
      <c r="M45" s="104"/>
      <c r="N45" s="104"/>
      <c r="O45" s="104"/>
    </row>
    <row r="46" spans="2:15" x14ac:dyDescent="0.25">
      <c r="B46" s="104"/>
      <c r="C46" s="104"/>
      <c r="D46" s="104"/>
      <c r="E46" s="104"/>
      <c r="F46" s="104"/>
      <c r="G46" s="104"/>
      <c r="H46" s="104"/>
      <c r="I46" s="104"/>
      <c r="J46" s="104"/>
      <c r="K46" s="104"/>
      <c r="L46" s="104"/>
      <c r="M46" s="104"/>
      <c r="N46" s="104"/>
      <c r="O46" s="104"/>
    </row>
    <row r="47" spans="2:15" x14ac:dyDescent="0.25">
      <c r="B47" s="104"/>
      <c r="C47" s="104"/>
      <c r="D47" s="104"/>
      <c r="E47" s="104"/>
      <c r="F47" s="104"/>
      <c r="G47" s="104"/>
      <c r="H47" s="104"/>
      <c r="I47" s="104"/>
      <c r="J47" s="104"/>
      <c r="K47" s="104"/>
      <c r="L47" s="104"/>
      <c r="M47" s="104"/>
      <c r="N47" s="104"/>
      <c r="O47" s="104"/>
    </row>
  </sheetData>
  <sheetProtection algorithmName="SHA-512" hashValue="fsURgYdaC6igMgd/TgazM8Sq1WfZLm2e9bT4wrSK9QAulWURcP0qZ+7jjWEuV1nSGdgbylqRTxPIuMr9mi4BPQ==" saltValue="1hTc1UJnw2rmsIo6jTcZZQ==" spinCount="100000" sheet="1" selectLockedCells="1"/>
  <mergeCells count="22">
    <mergeCell ref="I3:M3"/>
    <mergeCell ref="I2:M2"/>
    <mergeCell ref="I1:M1"/>
    <mergeCell ref="D3:H3"/>
    <mergeCell ref="D1:H2"/>
    <mergeCell ref="I7:M7"/>
    <mergeCell ref="I6:M6"/>
    <mergeCell ref="I5:M5"/>
    <mergeCell ref="D7:H7"/>
    <mergeCell ref="D5:H6"/>
    <mergeCell ref="B43:O47"/>
    <mergeCell ref="B35:C35"/>
    <mergeCell ref="B38:C38"/>
    <mergeCell ref="B9:C9"/>
    <mergeCell ref="B15:C15"/>
    <mergeCell ref="B26:C26"/>
    <mergeCell ref="N5:O5"/>
    <mergeCell ref="N37:O37"/>
    <mergeCell ref="N31:O31"/>
    <mergeCell ref="N25:O25"/>
    <mergeCell ref="N13:O13"/>
    <mergeCell ref="N19:O19"/>
  </mergeCells>
  <hyperlinks>
    <hyperlink ref="I5" r:id="rId1" xr:uid="{C3F6D137-50A4-4F19-92EA-EE0E026D12E0}"/>
  </hyperlinks>
  <printOptions horizontalCentered="1" verticalCentered="1"/>
  <pageMargins left="0.25" right="0.25" top="0.25" bottom="0.25" header="0.3" footer="0.3"/>
  <pageSetup scale="81"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Input Error" error="This cell must contain a valid selectino from the dropdown list." xr:uid="{0D15367E-2918-4454-9F0B-E0DB16F7AAE2}">
          <x14:formula1>
            <xm:f>Data!$R$3:$R$6</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172C51"/>
    <pageSetUpPr fitToPage="1"/>
  </sheetPr>
  <dimension ref="B2:AL46"/>
  <sheetViews>
    <sheetView zoomScale="85" zoomScaleNormal="85" workbookViewId="0">
      <selection activeCell="O6" sqref="O6"/>
    </sheetView>
  </sheetViews>
  <sheetFormatPr defaultColWidth="9" defaultRowHeight="15" x14ac:dyDescent="0.25"/>
  <cols>
    <col min="1" max="1" width="2.5703125" style="10" customWidth="1"/>
    <col min="2" max="2" width="7.85546875" style="10" customWidth="1"/>
    <col min="3" max="3" width="16" style="6" customWidth="1"/>
    <col min="4" max="7" width="14.140625" style="6" customWidth="1"/>
    <col min="8" max="9" width="12.85546875" style="6" customWidth="1"/>
    <col min="10" max="10" width="13.7109375" style="6" customWidth="1"/>
    <col min="11" max="11" width="12.85546875" style="6" customWidth="1"/>
    <col min="12" max="13" width="14.5703125" style="6" customWidth="1"/>
    <col min="14" max="14" width="12.7109375" style="6" customWidth="1"/>
    <col min="15" max="15" width="12.140625" style="6" customWidth="1"/>
    <col min="16" max="16" width="12.7109375" style="6" customWidth="1"/>
    <col min="17" max="18" width="12.140625" style="6" customWidth="1"/>
    <col min="19" max="20" width="14.5703125" style="6" customWidth="1"/>
    <col min="21" max="21" width="15.85546875" style="6" customWidth="1"/>
    <col min="22" max="23" width="14.5703125" style="6" customWidth="1"/>
    <col min="24" max="24" width="12.85546875" style="6" customWidth="1"/>
    <col min="25" max="25" width="14.5703125" style="85" customWidth="1"/>
    <col min="26" max="26" width="11" style="7" customWidth="1"/>
    <col min="27" max="29" width="14.5703125" style="6" customWidth="1"/>
    <col min="30" max="30" width="14.5703125" style="85" customWidth="1"/>
    <col min="31" max="36" width="15.5703125" style="10" customWidth="1"/>
    <col min="37" max="16384" width="9" style="10"/>
  </cols>
  <sheetData>
    <row r="2" spans="2:38" x14ac:dyDescent="0.25">
      <c r="C2" s="115" t="s">
        <v>18</v>
      </c>
      <c r="D2" s="116"/>
      <c r="E2" s="116"/>
      <c r="F2" s="116"/>
      <c r="G2" s="117"/>
      <c r="I2" s="126" t="s">
        <v>89</v>
      </c>
      <c r="J2" s="127"/>
      <c r="K2" s="40">
        <f>Monthly_Extra_to_Mortgage</f>
        <v>0</v>
      </c>
      <c r="M2" s="128" t="s">
        <v>9</v>
      </c>
      <c r="N2" s="129"/>
      <c r="O2" s="40">
        <f>Own_Monthly_Payment+Own_Monthly_HOA+Own_Monthly_Utilities+(Annual_Maintenance/12)</f>
        <v>3683.4454637535659</v>
      </c>
      <c r="P2" s="82"/>
      <c r="R2" s="36" t="s">
        <v>73</v>
      </c>
      <c r="S2" s="37" t="s">
        <v>74</v>
      </c>
      <c r="T2" s="37" t="s">
        <v>68</v>
      </c>
      <c r="U2" s="38" t="s">
        <v>83</v>
      </c>
    </row>
    <row r="3" spans="2:38" x14ac:dyDescent="0.25">
      <c r="C3" s="124" t="s">
        <v>60</v>
      </c>
      <c r="D3" s="125"/>
      <c r="E3" s="23" t="s">
        <v>62</v>
      </c>
      <c r="F3" s="23" t="s">
        <v>64</v>
      </c>
      <c r="G3" s="24" t="s">
        <v>61</v>
      </c>
      <c r="I3" s="136" t="s">
        <v>6</v>
      </c>
      <c r="J3" s="137"/>
      <c r="K3" s="40" cm="1">
        <f t="array" ref="K3">-PMT(Loan_Rate/12,Loan_Term*12,Loan_Amount,0,0)</f>
        <v>3078.3204637535659</v>
      </c>
      <c r="M3" s="132" t="s">
        <v>22</v>
      </c>
      <c r="N3" s="133"/>
      <c r="O3" s="40">
        <f>-(Own_Monthly_Total_Costs-Rent_Monthly_Total_Cost)</f>
        <v>-770.44546375356595</v>
      </c>
      <c r="P3" s="82"/>
      <c r="R3" s="33" t="s">
        <v>70</v>
      </c>
      <c r="S3" s="35">
        <v>3</v>
      </c>
      <c r="T3" s="31">
        <v>0.03</v>
      </c>
      <c r="U3" s="32">
        <f>Monthly_P_and_I-(-PMT(((Loan_Rate-T3)/12),(Loan_Term*12),Loan_Amount,0))</f>
        <v>858.44170525739582</v>
      </c>
    </row>
    <row r="4" spans="2:38" x14ac:dyDescent="0.25">
      <c r="C4" s="122" t="s">
        <v>58</v>
      </c>
      <c r="D4" s="123"/>
      <c r="E4" s="17">
        <v>0.05</v>
      </c>
      <c r="F4" s="18">
        <v>4.0000000000000001E-3</v>
      </c>
      <c r="G4" s="25">
        <f>Loan_Amount*F4/12</f>
        <v>150.41666666666666</v>
      </c>
      <c r="I4" s="136" t="s">
        <v>8</v>
      </c>
      <c r="J4" s="137"/>
      <c r="K4" s="40">
        <f>(Annual_Tax+Own_Annual_Insurance)/12</f>
        <v>269.20833333333331</v>
      </c>
      <c r="M4" s="130" t="s">
        <v>13</v>
      </c>
      <c r="N4" s="131"/>
      <c r="O4" s="40">
        <f>Down_Payment+Closing_Costs_OOP</f>
        <v>23750</v>
      </c>
      <c r="P4" s="82"/>
      <c r="R4" s="34" t="s">
        <v>71</v>
      </c>
      <c r="S4" s="35">
        <v>2</v>
      </c>
      <c r="T4" s="31">
        <v>0.02</v>
      </c>
      <c r="U4" s="32">
        <f>Monthly_P_and_I-(-PMT(((Loan_Rate-T4)/12),(Loan_Term*12),Loan_Amount,0))</f>
        <v>586.50125783824978</v>
      </c>
    </row>
    <row r="5" spans="2:38" x14ac:dyDescent="0.25">
      <c r="C5" s="120" t="s">
        <v>58</v>
      </c>
      <c r="D5" s="121"/>
      <c r="E5" s="19">
        <v>0.1</v>
      </c>
      <c r="F5" s="20">
        <v>2E-3</v>
      </c>
      <c r="G5" s="26">
        <f>Loan_Amount*F5/12</f>
        <v>75.208333333333329</v>
      </c>
      <c r="I5" s="136" t="s">
        <v>24</v>
      </c>
      <c r="J5" s="137"/>
      <c r="K5" s="40">
        <f>(Own_Monthly_HOA)+(Own_Monthly_Utilities)+(Annual_Maintenance/12)+(Annual_Tax/12)+(Own_Annual_Insurance/12)</f>
        <v>467.125</v>
      </c>
      <c r="R5" s="34" t="s">
        <v>72</v>
      </c>
      <c r="S5" s="35">
        <v>1</v>
      </c>
      <c r="T5" s="31">
        <v>0.01</v>
      </c>
      <c r="U5" s="32">
        <f>Monthly_P_and_I-(-PMT(((Loan_Rate-T5)/12),(Loan_Term*12),Loan_Amount,0))</f>
        <v>299.89659682947422</v>
      </c>
    </row>
    <row r="6" spans="2:38" x14ac:dyDescent="0.25">
      <c r="C6" s="120" t="s">
        <v>59</v>
      </c>
      <c r="D6" s="121"/>
      <c r="E6" s="19">
        <v>3.5000000000000003E-2</v>
      </c>
      <c r="F6" s="20">
        <v>8.5000000000000006E-3</v>
      </c>
      <c r="G6" s="26">
        <f>Loan_Amount*F6/12</f>
        <v>319.63541666666669</v>
      </c>
      <c r="I6" s="136" t="s">
        <v>18</v>
      </c>
      <c r="J6" s="137"/>
      <c r="K6" s="40">
        <f>Monthly_Mortgage_Insurance</f>
        <v>138</v>
      </c>
      <c r="M6" s="138" t="s">
        <v>86</v>
      </c>
      <c r="N6" s="138"/>
      <c r="O6" s="53">
        <v>0</v>
      </c>
      <c r="P6" s="86"/>
      <c r="Q6" s="11"/>
      <c r="R6" s="30" t="s">
        <v>51</v>
      </c>
      <c r="S6" s="35">
        <v>0</v>
      </c>
      <c r="T6" s="31">
        <v>0</v>
      </c>
      <c r="U6" s="32">
        <f>Monthly_P_and_I-(-PMT(((Loan_Rate-T6)/12),(Loan_Term*12),Loan_Amount,0))</f>
        <v>0</v>
      </c>
    </row>
    <row r="7" spans="2:38" x14ac:dyDescent="0.25">
      <c r="B7" s="86"/>
      <c r="C7" s="118" t="s">
        <v>59</v>
      </c>
      <c r="D7" s="119"/>
      <c r="E7" s="21">
        <v>0.05</v>
      </c>
      <c r="F7" s="22">
        <v>8.0000000000000002E-3</v>
      </c>
      <c r="G7" s="27">
        <f>Loan_Amount*F7/12</f>
        <v>300.83333333333331</v>
      </c>
      <c r="I7" s="134" t="s">
        <v>90</v>
      </c>
      <c r="J7" s="135"/>
      <c r="K7" s="40">
        <f>Monthly_P_and_I+Monthly_Escrow+Monthly_Mortgage_Insurance+Monthly_Extra_to_Mortgage</f>
        <v>3485.5287970868994</v>
      </c>
      <c r="P7" s="44"/>
    </row>
    <row r="8" spans="2:38" ht="15.75" thickBot="1" x14ac:dyDescent="0.3">
      <c r="B8" s="86"/>
      <c r="C8" s="86"/>
      <c r="D8" s="29"/>
      <c r="K8" s="10"/>
    </row>
    <row r="9" spans="2:38" s="87" customFormat="1" ht="60" customHeight="1" thickTop="1" x14ac:dyDescent="0.25">
      <c r="B9" s="87" t="s">
        <v>99</v>
      </c>
      <c r="C9" s="75" t="s">
        <v>10</v>
      </c>
      <c r="D9" s="2" t="s">
        <v>0</v>
      </c>
      <c r="E9" s="2" t="s">
        <v>39</v>
      </c>
      <c r="F9" s="2" t="s">
        <v>40</v>
      </c>
      <c r="G9" s="2" t="s">
        <v>41</v>
      </c>
      <c r="H9" s="2" t="s">
        <v>42</v>
      </c>
      <c r="I9" s="2" t="s">
        <v>52</v>
      </c>
      <c r="J9" s="61" t="s">
        <v>53</v>
      </c>
      <c r="K9" s="61" t="s">
        <v>43</v>
      </c>
      <c r="L9" s="2" t="s">
        <v>67</v>
      </c>
      <c r="M9" s="2" t="s">
        <v>44</v>
      </c>
      <c r="N9" s="2" t="s">
        <v>14</v>
      </c>
      <c r="O9" s="2" t="s">
        <v>18</v>
      </c>
      <c r="P9" s="2" t="s">
        <v>84</v>
      </c>
      <c r="Q9" s="39" t="s">
        <v>76</v>
      </c>
      <c r="R9" s="39" t="s">
        <v>77</v>
      </c>
      <c r="S9" s="39" t="s">
        <v>78</v>
      </c>
      <c r="T9" s="66" t="s">
        <v>81</v>
      </c>
      <c r="U9" s="2" t="s">
        <v>47</v>
      </c>
      <c r="V9" s="2" t="s">
        <v>15</v>
      </c>
      <c r="W9" s="83" t="s">
        <v>104</v>
      </c>
      <c r="X9" s="2" t="s">
        <v>46</v>
      </c>
      <c r="Y9" s="2" t="s">
        <v>19</v>
      </c>
      <c r="Z9" s="77" t="s">
        <v>11</v>
      </c>
      <c r="AA9" s="2" t="s">
        <v>55</v>
      </c>
      <c r="AB9" s="88" t="s">
        <v>109</v>
      </c>
      <c r="AC9" s="3" t="s">
        <v>12</v>
      </c>
      <c r="AD9" s="2" t="s">
        <v>16</v>
      </c>
      <c r="AE9" s="2" t="s">
        <v>20</v>
      </c>
      <c r="AF9" s="83" t="s">
        <v>100</v>
      </c>
      <c r="AG9" s="88" t="s">
        <v>101</v>
      </c>
      <c r="AH9" s="87" t="s">
        <v>80</v>
      </c>
    </row>
    <row r="10" spans="2:38" x14ac:dyDescent="0.25">
      <c r="B10" s="89">
        <v>0</v>
      </c>
      <c r="C10" s="76">
        <f>Sale_Price</f>
        <v>475000</v>
      </c>
      <c r="D10" s="4">
        <f>Monthly_Rent</f>
        <v>2888</v>
      </c>
      <c r="E10" s="4">
        <f>Monthly_Rent*12</f>
        <v>34656</v>
      </c>
      <c r="F10" s="4">
        <f>Rent_Monthly_Utilities+Monthly_Other+(Rent_Annual_Insurance)/12</f>
        <v>25</v>
      </c>
      <c r="G10" s="4">
        <f>F10*12</f>
        <v>300</v>
      </c>
      <c r="H10" s="4">
        <f>E10+G10</f>
        <v>34956</v>
      </c>
      <c r="I10" s="16" t="s">
        <v>51</v>
      </c>
      <c r="J10" s="71" t="s">
        <v>51</v>
      </c>
      <c r="K10" s="62">
        <f>H10/12</f>
        <v>2913</v>
      </c>
      <c r="L10" s="4">
        <f>(Own_Monthly_Costs_Excl_P_and_I*12)-Annual_Maintenance</f>
        <v>3230.5</v>
      </c>
      <c r="M10" s="4">
        <f>Annual_Maintenance</f>
        <v>2375</v>
      </c>
      <c r="N10" s="4">
        <f>(Monthly_P_and_I+Monthly_Extra_to_Mortgage)*12</f>
        <v>36939.845565042793</v>
      </c>
      <c r="O10" s="4">
        <f>Monthly_Mortgage_Insurance*12</f>
        <v>1656</v>
      </c>
      <c r="P10" s="4">
        <f>Monthly_Income*12</f>
        <v>0</v>
      </c>
      <c r="Q10" s="4">
        <f>IF(Loan_Type="3-2-1",U3*12,0)</f>
        <v>0</v>
      </c>
      <c r="R10" s="4">
        <f>IF(Loan_Type="2-1",U4*12,0)</f>
        <v>0</v>
      </c>
      <c r="S10" s="4">
        <f>IF(Loan_Type="1-0",U5*12,0)</f>
        <v>0</v>
      </c>
      <c r="T10" s="67">
        <f t="shared" ref="T10:T45" si="0">(L10+M10+N10+O10-P10-Q10-R10-S10)/12</f>
        <v>3683.4454637535659</v>
      </c>
      <c r="U10" s="4">
        <f t="shared" ref="U10:U45" si="1">K10-T10</f>
        <v>-770.44546375356595</v>
      </c>
      <c r="V10" s="4">
        <f>T10*12</f>
        <v>44201.345565042793</v>
      </c>
      <c r="W10" s="84" t="s">
        <v>51</v>
      </c>
      <c r="X10" s="4">
        <f>(H10-V10)</f>
        <v>-9245.3455650427932</v>
      </c>
      <c r="Y10" s="16" t="s">
        <v>51</v>
      </c>
      <c r="Z10" s="78">
        <f>-Loan_Amount</f>
        <v>-451250</v>
      </c>
      <c r="AA10" s="4">
        <f>-Z10</f>
        <v>451250</v>
      </c>
      <c r="AB10" s="90">
        <f t="shared" ref="AB10:AB45" si="2">C10+Z10</f>
        <v>23750</v>
      </c>
      <c r="AC10" s="5">
        <f t="shared" ref="AC10:AC45" si="3">AB10/C10</f>
        <v>0.05</v>
      </c>
      <c r="AD10" s="4">
        <f>-Down_Payment+-Closing_Costs_OOP</f>
        <v>-23750</v>
      </c>
      <c r="AE10" s="16">
        <f>AD10</f>
        <v>-23750</v>
      </c>
      <c r="AF10" s="84">
        <f>AB10+AD10</f>
        <v>0</v>
      </c>
      <c r="AG10" s="91">
        <f>AF10</f>
        <v>0</v>
      </c>
      <c r="AH10" s="92">
        <f>AG10</f>
        <v>0</v>
      </c>
      <c r="AJ10" s="85"/>
    </row>
    <row r="11" spans="2:38" x14ac:dyDescent="0.25">
      <c r="B11" s="10">
        <f>B10+1</f>
        <v>1</v>
      </c>
      <c r="C11" s="72">
        <f t="shared" ref="C11:C45" si="4">C10*(1+Annual_Appreciation)</f>
        <v>496374.99999999994</v>
      </c>
      <c r="D11" s="6">
        <f t="shared" ref="D11:D45" si="5">D10*(1+Annual_Rent_Increase)</f>
        <v>2989.08</v>
      </c>
      <c r="E11" s="6">
        <f t="shared" ref="E11:E45" si="6">E10*(1+Annual_Rent_Increase)</f>
        <v>35868.959999999999</v>
      </c>
      <c r="F11" s="6">
        <f t="shared" ref="F11:F45" si="7">F10*(1+Inflation_Rate)</f>
        <v>25.874999999999996</v>
      </c>
      <c r="G11" s="6">
        <f t="shared" ref="G11:G45" si="8">F11*12</f>
        <v>310.49999999999994</v>
      </c>
      <c r="H11" s="6">
        <f>E11+G11</f>
        <v>36179.46</v>
      </c>
      <c r="I11" s="6">
        <f>H10</f>
        <v>34956</v>
      </c>
      <c r="J11" s="63">
        <f>-I11</f>
        <v>-34956</v>
      </c>
      <c r="K11" s="63">
        <f t="shared" ref="K11:K45" si="9">H11/12</f>
        <v>3014.9549999999999</v>
      </c>
      <c r="L11" s="6">
        <f t="shared" ref="L11:L45" si="10">L10*(1+Inflation_Rate)</f>
        <v>3343.5674999999997</v>
      </c>
      <c r="M11" s="6">
        <f t="shared" ref="M11:M45" si="11">M10*(1+Inflation_Rate)</f>
        <v>2458.125</v>
      </c>
      <c r="N11" s="6">
        <f t="shared" ref="N11:N45" si="12">IF(Z11&lt;&gt;0,(Monthly_P_and_I+Monthly_Extra_to_Mortgage)*12,0)</f>
        <v>36939.845565042793</v>
      </c>
      <c r="O11" s="6">
        <f>IF(B11&lt;Mortgage_Insurance_Years,Monthly_Mortgage_Insurance*12,0)</f>
        <v>1656</v>
      </c>
      <c r="P11" s="6" cm="1">
        <f t="array" ref="P11">IF(B11&lt;Monthly_Income_Term,P10,0)</f>
        <v>0</v>
      </c>
      <c r="Q11" s="6">
        <f t="shared" ref="Q11:Q45" si="13">IF(AND(Loan_Type="3-2-1",B11&lt;=3),U3*12,0)</f>
        <v>0</v>
      </c>
      <c r="R11" s="6">
        <f t="shared" ref="R11:R45" si="14">IF(AND(Loan_Type="2-1",B11&lt;=2),U4*12,0)</f>
        <v>0</v>
      </c>
      <c r="S11" s="6">
        <f t="shared" ref="S11:S45" si="15">IF(AND(Loan_Type="1-0",B11&lt;=1),U5*12,0)</f>
        <v>0</v>
      </c>
      <c r="T11" s="68">
        <f t="shared" si="0"/>
        <v>3699.7948387535657</v>
      </c>
      <c r="U11" s="6">
        <f t="shared" si="1"/>
        <v>-684.8398387535658</v>
      </c>
      <c r="V11" s="6">
        <f t="shared" ref="V11:V45" si="16">T11*12</f>
        <v>44397.538065042791</v>
      </c>
      <c r="W11" s="68">
        <f>V10</f>
        <v>44201.345565042793</v>
      </c>
      <c r="X11" s="6">
        <f t="shared" ref="X11:X45" si="17">(H11-V11)</f>
        <v>-8218.0780650427914</v>
      </c>
      <c r="Y11" s="6">
        <f>X10</f>
        <v>-9245.3455650427932</v>
      </c>
      <c r="Z11" s="79">
        <f t="shared" ref="Z11:Z45" si="18">IF(-FV(Loan_Rate/12,12,(Monthly_P_and_I+Monthly_Extra_to_Mortgage),Z10)&lt;0,-FV(Loan_Rate/12,12,(Monthly_P_and_I+Monthly_Extra_to_Mortgage),Z10),0)</f>
        <v>-446882.54646223772</v>
      </c>
      <c r="AA11" s="6">
        <f t="shared" ref="AA11:AA45" si="19">-Z11</f>
        <v>446882.54646223772</v>
      </c>
      <c r="AB11" s="93">
        <f t="shared" si="2"/>
        <v>49492.453537762223</v>
      </c>
      <c r="AC11" s="7">
        <f t="shared" si="3"/>
        <v>9.9707788542457279E-2</v>
      </c>
      <c r="AD11" s="6">
        <f t="shared" ref="AD11:AD45" si="20">AD10*(1+TVM)</f>
        <v>-23750</v>
      </c>
      <c r="AE11" s="6">
        <f>Y11+AD11</f>
        <v>-32995.345565042793</v>
      </c>
      <c r="AF11" s="68">
        <f>AB11+AD11-W11</f>
        <v>-18458.89202728057</v>
      </c>
      <c r="AG11" s="93">
        <f>AF11-J11</f>
        <v>16497.10797271943</v>
      </c>
      <c r="AH11" s="85">
        <f>AG11-AG10</f>
        <v>16497.10797271943</v>
      </c>
      <c r="AJ11" s="85"/>
      <c r="AL11" s="85"/>
    </row>
    <row r="12" spans="2:38" x14ac:dyDescent="0.25">
      <c r="B12" s="10">
        <f t="shared" ref="B12:B45" si="21">B11+1</f>
        <v>2</v>
      </c>
      <c r="C12" s="72">
        <f t="shared" si="4"/>
        <v>518711.87499999988</v>
      </c>
      <c r="D12" s="6">
        <f t="shared" si="5"/>
        <v>3093.6977999999995</v>
      </c>
      <c r="E12" s="6">
        <f t="shared" si="6"/>
        <v>37124.373599999999</v>
      </c>
      <c r="F12" s="6">
        <f t="shared" si="7"/>
        <v>26.780624999999993</v>
      </c>
      <c r="G12" s="6">
        <f t="shared" si="8"/>
        <v>321.36749999999995</v>
      </c>
      <c r="H12" s="6">
        <f>E12+G12</f>
        <v>37445.741099999999</v>
      </c>
      <c r="I12" s="6">
        <f t="shared" ref="I12:I45" si="22">I11*(1+TVM)+H11</f>
        <v>71135.459999999992</v>
      </c>
      <c r="J12" s="63">
        <f t="shared" ref="J12:J45" si="23">-I12</f>
        <v>-71135.459999999992</v>
      </c>
      <c r="K12" s="63">
        <f t="shared" si="9"/>
        <v>3120.4784249999998</v>
      </c>
      <c r="L12" s="6">
        <f t="shared" si="10"/>
        <v>3460.5923624999996</v>
      </c>
      <c r="M12" s="6">
        <f t="shared" si="11"/>
        <v>2544.1593749999997</v>
      </c>
      <c r="N12" s="6">
        <f t="shared" si="12"/>
        <v>36939.845565042793</v>
      </c>
      <c r="O12" s="6">
        <f>IF(B12&lt;Mortgage_Insurance_Years,Monthly_Mortgage_Insurance*12,0)</f>
        <v>1656</v>
      </c>
      <c r="P12" s="6">
        <f t="shared" ref="P12:P45" si="24">IF(B12&lt;=Monthly_Income_Term,P11*(1+Annual_Rent_Increase),0)</f>
        <v>0</v>
      </c>
      <c r="Q12" s="6">
        <f t="shared" si="13"/>
        <v>0</v>
      </c>
      <c r="R12" s="6">
        <f t="shared" si="14"/>
        <v>0</v>
      </c>
      <c r="S12" s="6">
        <f t="shared" si="15"/>
        <v>0</v>
      </c>
      <c r="T12" s="68">
        <f t="shared" si="0"/>
        <v>3716.7164418785665</v>
      </c>
      <c r="U12" s="6">
        <f t="shared" si="1"/>
        <v>-596.23801687856667</v>
      </c>
      <c r="V12" s="6">
        <f t="shared" si="16"/>
        <v>44600.597302542796</v>
      </c>
      <c r="W12" s="68">
        <f t="shared" ref="W12:W45" si="25">W11*(1+TVM)+V11</f>
        <v>88598.883630085591</v>
      </c>
      <c r="X12" s="6">
        <f t="shared" si="17"/>
        <v>-7154.8562025427964</v>
      </c>
      <c r="Y12" s="6">
        <f t="shared" ref="Y12:Y45" si="26">X11+(Y11*(1+TVM))</f>
        <v>-17463.423630085585</v>
      </c>
      <c r="Z12" s="79">
        <f t="shared" si="18"/>
        <v>-442187.71604321804</v>
      </c>
      <c r="AA12" s="6">
        <f t="shared" si="19"/>
        <v>442187.71604321804</v>
      </c>
      <c r="AB12" s="93">
        <f t="shared" si="2"/>
        <v>76524.158956781845</v>
      </c>
      <c r="AC12" s="7">
        <f t="shared" si="3"/>
        <v>0.14752729336836923</v>
      </c>
      <c r="AD12" s="6">
        <f t="shared" si="20"/>
        <v>-23750</v>
      </c>
      <c r="AE12" s="6">
        <f t="shared" ref="AE12:AE45" si="27">Y12+AD12</f>
        <v>-41213.423630085585</v>
      </c>
      <c r="AF12" s="68">
        <f t="shared" ref="AF12:AF45" si="28">AB12+AD12-W12</f>
        <v>-35824.724673303746</v>
      </c>
      <c r="AG12" s="93">
        <f t="shared" ref="AG12:AG44" si="29">AF12-J12</f>
        <v>35310.735326696245</v>
      </c>
      <c r="AH12" s="85">
        <f t="shared" ref="AH12:AH44" si="30">AG12-AG11</f>
        <v>18813.627353976815</v>
      </c>
      <c r="AJ12" s="85"/>
      <c r="AL12" s="85"/>
    </row>
    <row r="13" spans="2:38" x14ac:dyDescent="0.25">
      <c r="B13" s="10">
        <f t="shared" si="21"/>
        <v>3</v>
      </c>
      <c r="C13" s="72">
        <f t="shared" si="4"/>
        <v>542053.90937499981</v>
      </c>
      <c r="D13" s="6">
        <f t="shared" si="5"/>
        <v>3201.9772229999994</v>
      </c>
      <c r="E13" s="6">
        <f t="shared" si="6"/>
        <v>38423.726675999998</v>
      </c>
      <c r="F13" s="6">
        <f t="shared" si="7"/>
        <v>27.717946874999992</v>
      </c>
      <c r="G13" s="6">
        <f t="shared" si="8"/>
        <v>332.61536249999989</v>
      </c>
      <c r="H13" s="6">
        <f t="shared" ref="H13:H45" si="31">E13+G13</f>
        <v>38756.342038499999</v>
      </c>
      <c r="I13" s="6">
        <f t="shared" si="22"/>
        <v>108581.20109999999</v>
      </c>
      <c r="J13" s="63">
        <f t="shared" si="23"/>
        <v>-108581.20109999999</v>
      </c>
      <c r="K13" s="63">
        <f t="shared" si="9"/>
        <v>3229.6951698749999</v>
      </c>
      <c r="L13" s="6">
        <f t="shared" si="10"/>
        <v>3581.7130951874992</v>
      </c>
      <c r="M13" s="6">
        <f t="shared" si="11"/>
        <v>2633.2049531249995</v>
      </c>
      <c r="N13" s="6">
        <f t="shared" si="12"/>
        <v>36939.845565042793</v>
      </c>
      <c r="O13" s="6">
        <f>IF(B13&lt;Mortgage_Insurance_Years,Monthly_Mortgage_Insurance*12,0)</f>
        <v>0</v>
      </c>
      <c r="P13" s="6">
        <f t="shared" si="24"/>
        <v>0</v>
      </c>
      <c r="Q13" s="6">
        <f t="shared" si="13"/>
        <v>0</v>
      </c>
      <c r="R13" s="6">
        <f t="shared" si="14"/>
        <v>0</v>
      </c>
      <c r="S13" s="6">
        <f t="shared" si="15"/>
        <v>0</v>
      </c>
      <c r="T13" s="68">
        <f t="shared" si="0"/>
        <v>3596.2303011129407</v>
      </c>
      <c r="U13" s="6">
        <f t="shared" si="1"/>
        <v>-366.53513123794073</v>
      </c>
      <c r="V13" s="6">
        <f t="shared" si="16"/>
        <v>43154.763613355288</v>
      </c>
      <c r="W13" s="68">
        <f t="shared" si="25"/>
        <v>133199.48093262839</v>
      </c>
      <c r="X13" s="6">
        <f t="shared" si="17"/>
        <v>-4398.4215748552888</v>
      </c>
      <c r="Y13" s="6">
        <f t="shared" si="26"/>
        <v>-24618.279832628381</v>
      </c>
      <c r="Z13" s="79">
        <f t="shared" si="18"/>
        <v>-437140.96912930673</v>
      </c>
      <c r="AA13" s="6">
        <f t="shared" si="19"/>
        <v>437140.96912930673</v>
      </c>
      <c r="AB13" s="93">
        <f t="shared" si="2"/>
        <v>104912.94024569308</v>
      </c>
      <c r="AC13" s="7">
        <f t="shared" si="3"/>
        <v>0.19354705949203471</v>
      </c>
      <c r="AD13" s="6">
        <f t="shared" si="20"/>
        <v>-23750</v>
      </c>
      <c r="AE13" s="6">
        <f t="shared" si="27"/>
        <v>-48368.279832628381</v>
      </c>
      <c r="AF13" s="68">
        <f t="shared" si="28"/>
        <v>-52036.540686935303</v>
      </c>
      <c r="AG13" s="93">
        <f t="shared" si="29"/>
        <v>56544.660413064688</v>
      </c>
      <c r="AH13" s="85">
        <f t="shared" si="30"/>
        <v>21233.925086368443</v>
      </c>
      <c r="AJ13" s="85"/>
      <c r="AL13" s="85"/>
    </row>
    <row r="14" spans="2:38" x14ac:dyDescent="0.25">
      <c r="B14" s="10">
        <f t="shared" si="21"/>
        <v>4</v>
      </c>
      <c r="C14" s="72">
        <f t="shared" si="4"/>
        <v>566446.33529687475</v>
      </c>
      <c r="D14" s="6">
        <f t="shared" si="5"/>
        <v>3314.0464258049992</v>
      </c>
      <c r="E14" s="6">
        <f t="shared" si="6"/>
        <v>39768.557109659996</v>
      </c>
      <c r="F14" s="6">
        <f t="shared" si="7"/>
        <v>28.688075015624989</v>
      </c>
      <c r="G14" s="6">
        <f t="shared" si="8"/>
        <v>344.25690018749987</v>
      </c>
      <c r="H14" s="6">
        <f t="shared" si="31"/>
        <v>40112.814009847498</v>
      </c>
      <c r="I14" s="6">
        <f t="shared" si="22"/>
        <v>147337.54313849998</v>
      </c>
      <c r="J14" s="63">
        <f t="shared" si="23"/>
        <v>-147337.54313849998</v>
      </c>
      <c r="K14" s="63">
        <f t="shared" si="9"/>
        <v>3342.7345008206248</v>
      </c>
      <c r="L14" s="6">
        <f t="shared" si="10"/>
        <v>3707.0730535190614</v>
      </c>
      <c r="M14" s="6">
        <f t="shared" si="11"/>
        <v>2725.3671264843742</v>
      </c>
      <c r="N14" s="6">
        <f t="shared" si="12"/>
        <v>36939.845565042793</v>
      </c>
      <c r="O14" s="6">
        <f>IF(B14&lt;Mortgage_Insurance_Years,Monthly_Mortgage_Insurance*12,0)</f>
        <v>0</v>
      </c>
      <c r="P14" s="6">
        <f t="shared" si="24"/>
        <v>0</v>
      </c>
      <c r="Q14" s="6">
        <f t="shared" si="13"/>
        <v>0</v>
      </c>
      <c r="R14" s="6">
        <f t="shared" si="14"/>
        <v>0</v>
      </c>
      <c r="S14" s="6">
        <f t="shared" si="15"/>
        <v>0</v>
      </c>
      <c r="T14" s="68">
        <f t="shared" si="0"/>
        <v>3614.3571454205194</v>
      </c>
      <c r="U14" s="6">
        <f t="shared" si="1"/>
        <v>-271.62264459989456</v>
      </c>
      <c r="V14" s="6">
        <f t="shared" si="16"/>
        <v>43372.285745046232</v>
      </c>
      <c r="W14" s="68">
        <f t="shared" si="25"/>
        <v>176354.24454598367</v>
      </c>
      <c r="X14" s="6">
        <f t="shared" si="17"/>
        <v>-3259.4717351987347</v>
      </c>
      <c r="Y14" s="6">
        <f t="shared" si="26"/>
        <v>-29016.70140748367</v>
      </c>
      <c r="Z14" s="79">
        <f t="shared" si="18"/>
        <v>-431715.92665921233</v>
      </c>
      <c r="AA14" s="6">
        <f t="shared" si="19"/>
        <v>431715.92665921233</v>
      </c>
      <c r="AB14" s="93">
        <f t="shared" si="2"/>
        <v>134730.40863766242</v>
      </c>
      <c r="AC14" s="7">
        <f t="shared" si="3"/>
        <v>0.23785202629486543</v>
      </c>
      <c r="AD14" s="6">
        <f t="shared" si="20"/>
        <v>-23750</v>
      </c>
      <c r="AE14" s="6">
        <f t="shared" si="27"/>
        <v>-52766.70140748367</v>
      </c>
      <c r="AF14" s="68">
        <f t="shared" si="28"/>
        <v>-65373.835908321256</v>
      </c>
      <c r="AG14" s="93">
        <f t="shared" si="29"/>
        <v>81963.707230178727</v>
      </c>
      <c r="AH14" s="85">
        <f t="shared" si="30"/>
        <v>25419.046817114038</v>
      </c>
      <c r="AJ14" s="85"/>
      <c r="AL14" s="85"/>
    </row>
    <row r="15" spans="2:38" x14ac:dyDescent="0.25">
      <c r="B15" s="10">
        <f t="shared" si="21"/>
        <v>5</v>
      </c>
      <c r="C15" s="72">
        <f t="shared" si="4"/>
        <v>591936.42038523406</v>
      </c>
      <c r="D15" s="6">
        <f t="shared" si="5"/>
        <v>3430.0380507081741</v>
      </c>
      <c r="E15" s="6">
        <f t="shared" si="6"/>
        <v>41160.456608498091</v>
      </c>
      <c r="F15" s="6">
        <f t="shared" si="7"/>
        <v>29.69215764117186</v>
      </c>
      <c r="G15" s="6">
        <f t="shared" si="8"/>
        <v>356.30589169406232</v>
      </c>
      <c r="H15" s="6">
        <f t="shared" si="31"/>
        <v>41516.762500192155</v>
      </c>
      <c r="I15" s="6">
        <f t="shared" si="22"/>
        <v>187450.35714834748</v>
      </c>
      <c r="J15" s="63">
        <f t="shared" si="23"/>
        <v>-187450.35714834748</v>
      </c>
      <c r="K15" s="63">
        <f t="shared" si="9"/>
        <v>3459.7302083493464</v>
      </c>
      <c r="L15" s="6">
        <f t="shared" si="10"/>
        <v>3836.8206103922284</v>
      </c>
      <c r="M15" s="6">
        <f t="shared" si="11"/>
        <v>2820.7549759113272</v>
      </c>
      <c r="N15" s="6">
        <f t="shared" si="12"/>
        <v>36939.845565042793</v>
      </c>
      <c r="O15" s="6">
        <f t="shared" ref="O15:O45" si="32">IF(B15&lt;=Mortgage_Insurance_Years,Monthly_Mortgage_Insurance*12,0)</f>
        <v>0</v>
      </c>
      <c r="P15" s="6">
        <f t="shared" si="24"/>
        <v>0</v>
      </c>
      <c r="Q15" s="6">
        <f t="shared" si="13"/>
        <v>0</v>
      </c>
      <c r="R15" s="6">
        <f t="shared" si="14"/>
        <v>0</v>
      </c>
      <c r="S15" s="6">
        <f t="shared" si="15"/>
        <v>0</v>
      </c>
      <c r="T15" s="68">
        <f t="shared" si="0"/>
        <v>3633.1184292788625</v>
      </c>
      <c r="U15" s="6">
        <f t="shared" si="1"/>
        <v>-173.38822092951614</v>
      </c>
      <c r="V15" s="6">
        <f t="shared" si="16"/>
        <v>43597.421151346352</v>
      </c>
      <c r="W15" s="68">
        <f t="shared" si="25"/>
        <v>219726.53029102989</v>
      </c>
      <c r="X15" s="6">
        <f t="shared" si="17"/>
        <v>-2080.6586511541973</v>
      </c>
      <c r="Y15" s="6">
        <f t="shared" si="26"/>
        <v>-32276.173142682404</v>
      </c>
      <c r="Z15" s="79">
        <f t="shared" si="18"/>
        <v>-425884.23224212124</v>
      </c>
      <c r="AA15" s="6">
        <f t="shared" si="19"/>
        <v>425884.23224212124</v>
      </c>
      <c r="AB15" s="93">
        <f t="shared" si="2"/>
        <v>166052.18814311281</v>
      </c>
      <c r="AC15" s="7">
        <f t="shared" si="3"/>
        <v>0.28052368873509342</v>
      </c>
      <c r="AD15" s="6">
        <f t="shared" si="20"/>
        <v>-23750</v>
      </c>
      <c r="AE15" s="6">
        <f t="shared" si="27"/>
        <v>-56026.173142682404</v>
      </c>
      <c r="AF15" s="68">
        <f t="shared" si="28"/>
        <v>-77424.342147917079</v>
      </c>
      <c r="AG15" s="93">
        <f t="shared" si="29"/>
        <v>110026.0150004304</v>
      </c>
      <c r="AH15" s="85">
        <f t="shared" si="30"/>
        <v>28062.307770251675</v>
      </c>
      <c r="AJ15" s="85"/>
      <c r="AL15" s="85"/>
    </row>
    <row r="16" spans="2:38" x14ac:dyDescent="0.25">
      <c r="B16" s="94">
        <f t="shared" si="21"/>
        <v>6</v>
      </c>
      <c r="C16" s="73">
        <f t="shared" si="4"/>
        <v>618573.5593025696</v>
      </c>
      <c r="D16" s="8">
        <f t="shared" si="5"/>
        <v>3550.08938248296</v>
      </c>
      <c r="E16" s="8">
        <f t="shared" si="6"/>
        <v>42601.07258979552</v>
      </c>
      <c r="F16" s="8">
        <f t="shared" si="7"/>
        <v>30.731383158612871</v>
      </c>
      <c r="G16" s="8">
        <f t="shared" si="8"/>
        <v>368.77659790335446</v>
      </c>
      <c r="H16" s="8">
        <f t="shared" si="31"/>
        <v>42969.849187698877</v>
      </c>
      <c r="I16" s="8">
        <f t="shared" si="22"/>
        <v>228967.11964853964</v>
      </c>
      <c r="J16" s="64">
        <f t="shared" si="23"/>
        <v>-228967.11964853964</v>
      </c>
      <c r="K16" s="64">
        <f t="shared" si="9"/>
        <v>3580.820765641573</v>
      </c>
      <c r="L16" s="8">
        <f t="shared" si="10"/>
        <v>3971.1093317559562</v>
      </c>
      <c r="M16" s="8">
        <f t="shared" si="11"/>
        <v>2919.4814000682236</v>
      </c>
      <c r="N16" s="8">
        <f t="shared" si="12"/>
        <v>36939.845565042793</v>
      </c>
      <c r="O16" s="8">
        <f t="shared" si="32"/>
        <v>0</v>
      </c>
      <c r="P16" s="8">
        <f t="shared" si="24"/>
        <v>0</v>
      </c>
      <c r="Q16" s="8">
        <f t="shared" si="13"/>
        <v>0</v>
      </c>
      <c r="R16" s="8">
        <f t="shared" si="14"/>
        <v>0</v>
      </c>
      <c r="S16" s="8">
        <f t="shared" si="15"/>
        <v>0</v>
      </c>
      <c r="T16" s="69">
        <f t="shared" si="0"/>
        <v>3652.5363580722478</v>
      </c>
      <c r="U16" s="8">
        <f t="shared" si="1"/>
        <v>-71.71559243067486</v>
      </c>
      <c r="V16" s="8">
        <f t="shared" si="16"/>
        <v>43830.436296866974</v>
      </c>
      <c r="W16" s="69">
        <f t="shared" si="25"/>
        <v>263323.95144237624</v>
      </c>
      <c r="X16" s="8">
        <f t="shared" si="17"/>
        <v>-860.5871091680965</v>
      </c>
      <c r="Y16" s="8">
        <f t="shared" si="26"/>
        <v>-34356.831793836602</v>
      </c>
      <c r="Z16" s="80">
        <f t="shared" si="18"/>
        <v>-419615.40394044353</v>
      </c>
      <c r="AA16" s="8">
        <f t="shared" si="19"/>
        <v>419615.40394044353</v>
      </c>
      <c r="AB16" s="95">
        <f t="shared" si="2"/>
        <v>198958.15536212607</v>
      </c>
      <c r="AC16" s="9">
        <f t="shared" si="3"/>
        <v>0.32164025178581468</v>
      </c>
      <c r="AD16" s="8">
        <f t="shared" si="20"/>
        <v>-23750</v>
      </c>
      <c r="AE16" s="8">
        <f t="shared" si="27"/>
        <v>-58106.831793836602</v>
      </c>
      <c r="AF16" s="69">
        <f t="shared" si="28"/>
        <v>-88115.796080250177</v>
      </c>
      <c r="AG16" s="95">
        <f t="shared" si="29"/>
        <v>140851.32356828946</v>
      </c>
      <c r="AH16" s="96">
        <f t="shared" si="30"/>
        <v>30825.308567859058</v>
      </c>
      <c r="AJ16" s="85"/>
      <c r="AL16" s="85"/>
    </row>
    <row r="17" spans="2:38" x14ac:dyDescent="0.25">
      <c r="B17" s="94">
        <f t="shared" si="21"/>
        <v>7</v>
      </c>
      <c r="C17" s="73">
        <f t="shared" si="4"/>
        <v>646409.36947118514</v>
      </c>
      <c r="D17" s="8">
        <f t="shared" si="5"/>
        <v>3674.3425108698634</v>
      </c>
      <c r="E17" s="8">
        <f t="shared" si="6"/>
        <v>44092.110130438363</v>
      </c>
      <c r="F17" s="8">
        <f t="shared" si="7"/>
        <v>31.806981569164318</v>
      </c>
      <c r="G17" s="8">
        <f t="shared" si="8"/>
        <v>381.6837788299718</v>
      </c>
      <c r="H17" s="8">
        <f t="shared" si="31"/>
        <v>44473.793909268337</v>
      </c>
      <c r="I17" s="8">
        <f t="shared" si="22"/>
        <v>271936.96883623849</v>
      </c>
      <c r="J17" s="64">
        <f t="shared" si="23"/>
        <v>-271936.96883623849</v>
      </c>
      <c r="K17" s="64">
        <f t="shared" si="9"/>
        <v>3706.1494924390281</v>
      </c>
      <c r="L17" s="8">
        <f t="shared" si="10"/>
        <v>4110.0981583674147</v>
      </c>
      <c r="M17" s="8">
        <f t="shared" si="11"/>
        <v>3021.6632490706111</v>
      </c>
      <c r="N17" s="8">
        <f t="shared" si="12"/>
        <v>36939.845565042793</v>
      </c>
      <c r="O17" s="8">
        <f t="shared" si="32"/>
        <v>0</v>
      </c>
      <c r="P17" s="8">
        <f t="shared" si="24"/>
        <v>0</v>
      </c>
      <c r="Q17" s="8">
        <f t="shared" si="13"/>
        <v>0</v>
      </c>
      <c r="R17" s="8">
        <f t="shared" si="14"/>
        <v>0</v>
      </c>
      <c r="S17" s="8">
        <f t="shared" si="15"/>
        <v>0</v>
      </c>
      <c r="T17" s="69">
        <f t="shared" si="0"/>
        <v>3672.6339143734017</v>
      </c>
      <c r="U17" s="8">
        <f t="shared" si="1"/>
        <v>33.515578065626414</v>
      </c>
      <c r="V17" s="8">
        <f t="shared" si="16"/>
        <v>44071.606972480819</v>
      </c>
      <c r="W17" s="69">
        <f t="shared" si="25"/>
        <v>307154.38773924322</v>
      </c>
      <c r="X17" s="8">
        <f t="shared" si="17"/>
        <v>402.18693678751879</v>
      </c>
      <c r="Y17" s="8">
        <f t="shared" si="26"/>
        <v>-35217.418903004698</v>
      </c>
      <c r="Z17" s="80">
        <f t="shared" si="18"/>
        <v>-412876.67494244548</v>
      </c>
      <c r="AA17" s="8">
        <f t="shared" si="19"/>
        <v>412876.67494244548</v>
      </c>
      <c r="AB17" s="95">
        <f t="shared" si="2"/>
        <v>233532.69452873967</v>
      </c>
      <c r="AC17" s="9">
        <f t="shared" si="3"/>
        <v>0.36127677839785677</v>
      </c>
      <c r="AD17" s="8">
        <f t="shared" si="20"/>
        <v>-23750</v>
      </c>
      <c r="AE17" s="8">
        <f t="shared" si="27"/>
        <v>-58967.418903004698</v>
      </c>
      <c r="AF17" s="69">
        <f t="shared" si="28"/>
        <v>-97371.693210503552</v>
      </c>
      <c r="AG17" s="95">
        <f t="shared" si="29"/>
        <v>174565.27562573494</v>
      </c>
      <c r="AH17" s="96">
        <f t="shared" si="30"/>
        <v>33713.95205744548</v>
      </c>
      <c r="AJ17" s="85"/>
      <c r="AL17" s="85"/>
    </row>
    <row r="18" spans="2:38" x14ac:dyDescent="0.25">
      <c r="B18" s="94">
        <f t="shared" si="21"/>
        <v>8</v>
      </c>
      <c r="C18" s="73">
        <f t="shared" si="4"/>
        <v>675497.79109738837</v>
      </c>
      <c r="D18" s="8">
        <f t="shared" si="5"/>
        <v>3802.9444987503084</v>
      </c>
      <c r="E18" s="8">
        <f t="shared" si="6"/>
        <v>45635.333985003701</v>
      </c>
      <c r="F18" s="8">
        <f t="shared" si="7"/>
        <v>32.920225924085067</v>
      </c>
      <c r="G18" s="8">
        <f t="shared" si="8"/>
        <v>395.04271108902083</v>
      </c>
      <c r="H18" s="8">
        <f t="shared" si="31"/>
        <v>46030.376696092724</v>
      </c>
      <c r="I18" s="8">
        <f t="shared" si="22"/>
        <v>316410.76274550683</v>
      </c>
      <c r="J18" s="64">
        <f t="shared" si="23"/>
        <v>-316410.76274550683</v>
      </c>
      <c r="K18" s="64">
        <f t="shared" si="9"/>
        <v>3835.8647246743935</v>
      </c>
      <c r="L18" s="8">
        <f t="shared" si="10"/>
        <v>4253.9515939102739</v>
      </c>
      <c r="M18" s="8">
        <f t="shared" si="11"/>
        <v>3127.4214627880824</v>
      </c>
      <c r="N18" s="8">
        <f t="shared" si="12"/>
        <v>36939.845565042793</v>
      </c>
      <c r="O18" s="8">
        <f t="shared" si="32"/>
        <v>0</v>
      </c>
      <c r="P18" s="8">
        <f t="shared" si="24"/>
        <v>0</v>
      </c>
      <c r="Q18" s="8">
        <f t="shared" si="13"/>
        <v>0</v>
      </c>
      <c r="R18" s="8">
        <f t="shared" si="14"/>
        <v>0</v>
      </c>
      <c r="S18" s="8">
        <f t="shared" si="15"/>
        <v>0</v>
      </c>
      <c r="T18" s="69">
        <f t="shared" si="0"/>
        <v>3693.4348851450959</v>
      </c>
      <c r="U18" s="8">
        <f t="shared" si="1"/>
        <v>142.42983952929762</v>
      </c>
      <c r="V18" s="8">
        <f t="shared" si="16"/>
        <v>44321.218621741151</v>
      </c>
      <c r="W18" s="69">
        <f t="shared" si="25"/>
        <v>351225.99471172405</v>
      </c>
      <c r="X18" s="8">
        <f t="shared" si="17"/>
        <v>1709.1580743515733</v>
      </c>
      <c r="Y18" s="8">
        <f t="shared" si="26"/>
        <v>-34815.231966217179</v>
      </c>
      <c r="Z18" s="80">
        <f t="shared" si="18"/>
        <v>-405632.82229197375</v>
      </c>
      <c r="AA18" s="8">
        <f t="shared" si="19"/>
        <v>405632.82229197375</v>
      </c>
      <c r="AB18" s="95">
        <f t="shared" si="2"/>
        <v>269864.96880541462</v>
      </c>
      <c r="AC18" s="9">
        <f t="shared" si="3"/>
        <v>0.3995053312713312</v>
      </c>
      <c r="AD18" s="8">
        <f t="shared" si="20"/>
        <v>-23750</v>
      </c>
      <c r="AE18" s="8">
        <f t="shared" si="27"/>
        <v>-58565.231966217179</v>
      </c>
      <c r="AF18" s="69">
        <f t="shared" si="28"/>
        <v>-105111.02590630943</v>
      </c>
      <c r="AG18" s="95">
        <f t="shared" si="29"/>
        <v>211299.7368391974</v>
      </c>
      <c r="AH18" s="96">
        <f t="shared" si="30"/>
        <v>36734.461213462462</v>
      </c>
      <c r="AJ18" s="85"/>
      <c r="AL18" s="85"/>
    </row>
    <row r="19" spans="2:38" x14ac:dyDescent="0.25">
      <c r="B19" s="94">
        <f t="shared" si="21"/>
        <v>9</v>
      </c>
      <c r="C19" s="73">
        <f t="shared" si="4"/>
        <v>705895.19169677084</v>
      </c>
      <c r="D19" s="8">
        <f t="shared" si="5"/>
        <v>3936.047556206569</v>
      </c>
      <c r="E19" s="8">
        <f t="shared" si="6"/>
        <v>47232.570674478826</v>
      </c>
      <c r="F19" s="8">
        <f t="shared" si="7"/>
        <v>34.072433831428043</v>
      </c>
      <c r="G19" s="8">
        <f t="shared" si="8"/>
        <v>408.86920597713652</v>
      </c>
      <c r="H19" s="8">
        <f t="shared" si="31"/>
        <v>47641.439880455961</v>
      </c>
      <c r="I19" s="8">
        <f t="shared" si="22"/>
        <v>362441.13944159955</v>
      </c>
      <c r="J19" s="64">
        <f t="shared" si="23"/>
        <v>-362441.13944159955</v>
      </c>
      <c r="K19" s="64">
        <f t="shared" si="9"/>
        <v>3970.1199900379966</v>
      </c>
      <c r="L19" s="8">
        <f t="shared" si="10"/>
        <v>4402.8398996971328</v>
      </c>
      <c r="M19" s="8">
        <f t="shared" si="11"/>
        <v>3236.881213985665</v>
      </c>
      <c r="N19" s="8">
        <f t="shared" si="12"/>
        <v>36939.845565042793</v>
      </c>
      <c r="O19" s="8">
        <f t="shared" si="32"/>
        <v>0</v>
      </c>
      <c r="P19" s="8">
        <f t="shared" si="24"/>
        <v>0</v>
      </c>
      <c r="Q19" s="8">
        <f t="shared" si="13"/>
        <v>0</v>
      </c>
      <c r="R19" s="8">
        <f t="shared" si="14"/>
        <v>0</v>
      </c>
      <c r="S19" s="8">
        <f t="shared" si="15"/>
        <v>0</v>
      </c>
      <c r="T19" s="69">
        <f t="shared" si="0"/>
        <v>3714.9638898937992</v>
      </c>
      <c r="U19" s="8">
        <f t="shared" si="1"/>
        <v>255.15610014419735</v>
      </c>
      <c r="V19" s="8">
        <f t="shared" si="16"/>
        <v>44579.56667872559</v>
      </c>
      <c r="W19" s="69">
        <f t="shared" si="25"/>
        <v>395547.21333346522</v>
      </c>
      <c r="X19" s="8">
        <f t="shared" si="17"/>
        <v>3061.8732017303701</v>
      </c>
      <c r="Y19" s="8">
        <f t="shared" si="26"/>
        <v>-33106.073891865606</v>
      </c>
      <c r="Z19" s="80">
        <f t="shared" si="18"/>
        <v>-397845.98278005165</v>
      </c>
      <c r="AA19" s="8">
        <f t="shared" si="19"/>
        <v>397845.98278005165</v>
      </c>
      <c r="AB19" s="95">
        <f t="shared" si="2"/>
        <v>308049.20891671919</v>
      </c>
      <c r="AC19" s="9">
        <f t="shared" si="3"/>
        <v>0.43639510870764919</v>
      </c>
      <c r="AD19" s="8">
        <f t="shared" si="20"/>
        <v>-23750</v>
      </c>
      <c r="AE19" s="8">
        <f t="shared" si="27"/>
        <v>-56856.073891865606</v>
      </c>
      <c r="AF19" s="69">
        <f t="shared" si="28"/>
        <v>-111248.00441674603</v>
      </c>
      <c r="AG19" s="95">
        <f t="shared" si="29"/>
        <v>251193.13502485352</v>
      </c>
      <c r="AH19" s="96">
        <f t="shared" si="30"/>
        <v>39893.398185656115</v>
      </c>
      <c r="AJ19" s="85"/>
      <c r="AL19" s="85"/>
    </row>
    <row r="20" spans="2:38" x14ac:dyDescent="0.25">
      <c r="B20" s="94">
        <f t="shared" si="21"/>
        <v>10</v>
      </c>
      <c r="C20" s="73">
        <f t="shared" si="4"/>
        <v>737660.47532312549</v>
      </c>
      <c r="D20" s="8">
        <f t="shared" si="5"/>
        <v>4073.8092206737988</v>
      </c>
      <c r="E20" s="8">
        <f t="shared" si="6"/>
        <v>48885.71064808558</v>
      </c>
      <c r="F20" s="8">
        <f t="shared" si="7"/>
        <v>35.264969015528024</v>
      </c>
      <c r="G20" s="8">
        <f t="shared" si="8"/>
        <v>423.17962818633629</v>
      </c>
      <c r="H20" s="8">
        <f t="shared" si="31"/>
        <v>49308.890276271915</v>
      </c>
      <c r="I20" s="8">
        <f t="shared" si="22"/>
        <v>410082.57932205551</v>
      </c>
      <c r="J20" s="64">
        <f t="shared" si="23"/>
        <v>-410082.57932205551</v>
      </c>
      <c r="K20" s="64">
        <f t="shared" si="9"/>
        <v>4109.074189689326</v>
      </c>
      <c r="L20" s="8">
        <f t="shared" si="10"/>
        <v>4556.9392961865324</v>
      </c>
      <c r="M20" s="8">
        <f t="shared" si="11"/>
        <v>3350.1720564751631</v>
      </c>
      <c r="N20" s="8">
        <f t="shared" si="12"/>
        <v>36939.845565042793</v>
      </c>
      <c r="O20" s="8">
        <f t="shared" si="32"/>
        <v>0</v>
      </c>
      <c r="P20" s="8">
        <f t="shared" si="24"/>
        <v>0</v>
      </c>
      <c r="Q20" s="8">
        <f t="shared" si="13"/>
        <v>0</v>
      </c>
      <c r="R20" s="8">
        <f t="shared" si="14"/>
        <v>0</v>
      </c>
      <c r="S20" s="8">
        <f t="shared" si="15"/>
        <v>0</v>
      </c>
      <c r="T20" s="69">
        <f t="shared" si="0"/>
        <v>3737.2464098087075</v>
      </c>
      <c r="U20" s="8">
        <f t="shared" si="1"/>
        <v>371.82777988061844</v>
      </c>
      <c r="V20" s="8">
        <f t="shared" si="16"/>
        <v>44846.95691770449</v>
      </c>
      <c r="W20" s="69">
        <f t="shared" si="25"/>
        <v>440126.78001219081</v>
      </c>
      <c r="X20" s="8">
        <f t="shared" si="17"/>
        <v>4461.9333585674249</v>
      </c>
      <c r="Y20" s="8">
        <f t="shared" si="26"/>
        <v>-30044.200690135236</v>
      </c>
      <c r="Z20" s="80">
        <f t="shared" si="18"/>
        <v>-389475.45503602282</v>
      </c>
      <c r="AA20" s="8">
        <f t="shared" si="19"/>
        <v>389475.45503602282</v>
      </c>
      <c r="AB20" s="95">
        <f t="shared" si="2"/>
        <v>348185.02028710267</v>
      </c>
      <c r="AC20" s="9">
        <f t="shared" si="3"/>
        <v>0.47201257480222641</v>
      </c>
      <c r="AD20" s="8">
        <f t="shared" si="20"/>
        <v>-23750</v>
      </c>
      <c r="AE20" s="8">
        <f t="shared" si="27"/>
        <v>-53794.200690135236</v>
      </c>
      <c r="AF20" s="69">
        <f t="shared" si="28"/>
        <v>-115691.75972508814</v>
      </c>
      <c r="AG20" s="95">
        <f t="shared" si="29"/>
        <v>294390.81959696737</v>
      </c>
      <c r="AH20" s="96">
        <f t="shared" si="30"/>
        <v>43197.684572113852</v>
      </c>
      <c r="AJ20" s="85"/>
      <c r="AL20" s="85"/>
    </row>
    <row r="21" spans="2:38" x14ac:dyDescent="0.25">
      <c r="B21" s="10">
        <f t="shared" si="21"/>
        <v>11</v>
      </c>
      <c r="C21" s="72">
        <f t="shared" si="4"/>
        <v>770855.19671266607</v>
      </c>
      <c r="D21" s="6">
        <f t="shared" si="5"/>
        <v>4216.3925433973818</v>
      </c>
      <c r="E21" s="6">
        <f t="shared" si="6"/>
        <v>50596.710520768574</v>
      </c>
      <c r="F21" s="6">
        <f t="shared" si="7"/>
        <v>36.4992429310715</v>
      </c>
      <c r="G21" s="6">
        <f t="shared" si="8"/>
        <v>437.99091517285797</v>
      </c>
      <c r="H21" s="6">
        <f t="shared" si="31"/>
        <v>51034.701435941432</v>
      </c>
      <c r="I21" s="6">
        <f t="shared" si="22"/>
        <v>459391.46959832741</v>
      </c>
      <c r="J21" s="63">
        <f t="shared" si="23"/>
        <v>-459391.46959832741</v>
      </c>
      <c r="K21" s="63">
        <f t="shared" si="9"/>
        <v>4252.8917863284523</v>
      </c>
      <c r="L21" s="6">
        <f t="shared" si="10"/>
        <v>4716.4321715530605</v>
      </c>
      <c r="M21" s="6">
        <f t="shared" si="11"/>
        <v>3467.4280784517937</v>
      </c>
      <c r="N21" s="6">
        <f t="shared" si="12"/>
        <v>36939.845565042793</v>
      </c>
      <c r="O21" s="6">
        <f t="shared" si="32"/>
        <v>0</v>
      </c>
      <c r="P21" s="6">
        <f t="shared" si="24"/>
        <v>0</v>
      </c>
      <c r="Q21" s="6">
        <f t="shared" si="13"/>
        <v>0</v>
      </c>
      <c r="R21" s="6">
        <f t="shared" si="14"/>
        <v>0</v>
      </c>
      <c r="S21" s="6">
        <f t="shared" si="15"/>
        <v>0</v>
      </c>
      <c r="T21" s="68">
        <f t="shared" si="0"/>
        <v>3760.3088179206375</v>
      </c>
      <c r="U21" s="6">
        <f t="shared" si="1"/>
        <v>492.58296840781486</v>
      </c>
      <c r="V21" s="6">
        <f t="shared" si="16"/>
        <v>45123.705815047651</v>
      </c>
      <c r="W21" s="68">
        <f t="shared" si="25"/>
        <v>484973.7369298953</v>
      </c>
      <c r="X21" s="6">
        <f t="shared" si="17"/>
        <v>5910.9956208937801</v>
      </c>
      <c r="Y21" s="6">
        <f t="shared" si="26"/>
        <v>-25582.267331567811</v>
      </c>
      <c r="Z21" s="79">
        <f t="shared" si="18"/>
        <v>-380477.48678378353</v>
      </c>
      <c r="AA21" s="6">
        <f t="shared" si="19"/>
        <v>380477.48678378353</v>
      </c>
      <c r="AB21" s="93">
        <f t="shared" si="2"/>
        <v>390377.70992888254</v>
      </c>
      <c r="AC21" s="7">
        <f t="shared" si="3"/>
        <v>0.50642158422704986</v>
      </c>
      <c r="AD21" s="6">
        <f t="shared" si="20"/>
        <v>-23750</v>
      </c>
      <c r="AE21" s="6">
        <f t="shared" si="27"/>
        <v>-49332.267331567811</v>
      </c>
      <c r="AF21" s="68">
        <f t="shared" si="28"/>
        <v>-118346.02700101276</v>
      </c>
      <c r="AG21" s="93">
        <f t="shared" si="29"/>
        <v>341045.44259731466</v>
      </c>
      <c r="AH21" s="85">
        <f t="shared" si="30"/>
        <v>46654.623000347288</v>
      </c>
      <c r="AJ21" s="85"/>
      <c r="AL21" s="85"/>
    </row>
    <row r="22" spans="2:38" x14ac:dyDescent="0.25">
      <c r="B22" s="10">
        <f t="shared" si="21"/>
        <v>12</v>
      </c>
      <c r="C22" s="72">
        <f t="shared" si="4"/>
        <v>805543.68056473602</v>
      </c>
      <c r="D22" s="6">
        <f t="shared" si="5"/>
        <v>4363.9662824162897</v>
      </c>
      <c r="E22" s="6">
        <f t="shared" si="6"/>
        <v>52367.595388995469</v>
      </c>
      <c r="F22" s="6">
        <f t="shared" si="7"/>
        <v>37.776716433658997</v>
      </c>
      <c r="G22" s="6">
        <f t="shared" si="8"/>
        <v>453.32059720390794</v>
      </c>
      <c r="H22" s="6">
        <f t="shared" si="31"/>
        <v>52820.915986199376</v>
      </c>
      <c r="I22" s="6">
        <f t="shared" si="22"/>
        <v>510426.17103426886</v>
      </c>
      <c r="J22" s="63">
        <f t="shared" si="23"/>
        <v>-510426.17103426886</v>
      </c>
      <c r="K22" s="63">
        <f t="shared" si="9"/>
        <v>4401.742998849948</v>
      </c>
      <c r="L22" s="6">
        <f t="shared" si="10"/>
        <v>4881.5072975574176</v>
      </c>
      <c r="M22" s="6">
        <f t="shared" si="11"/>
        <v>3588.7880611976061</v>
      </c>
      <c r="N22" s="6">
        <f t="shared" si="12"/>
        <v>36939.845565042793</v>
      </c>
      <c r="O22" s="6">
        <f t="shared" si="32"/>
        <v>0</v>
      </c>
      <c r="P22" s="6">
        <f t="shared" si="24"/>
        <v>0</v>
      </c>
      <c r="Q22" s="6">
        <f t="shared" si="13"/>
        <v>0</v>
      </c>
      <c r="R22" s="6">
        <f t="shared" si="14"/>
        <v>0</v>
      </c>
      <c r="S22" s="6">
        <f t="shared" si="15"/>
        <v>0</v>
      </c>
      <c r="T22" s="68">
        <f t="shared" si="0"/>
        <v>3784.1784103164846</v>
      </c>
      <c r="U22" s="6">
        <f t="shared" si="1"/>
        <v>617.56458853346339</v>
      </c>
      <c r="V22" s="6">
        <f t="shared" si="16"/>
        <v>45410.140923797815</v>
      </c>
      <c r="W22" s="68">
        <f t="shared" si="25"/>
        <v>530097.44274494296</v>
      </c>
      <c r="X22" s="6">
        <f t="shared" si="17"/>
        <v>7410.7750624015607</v>
      </c>
      <c r="Y22" s="6">
        <f t="shared" si="26"/>
        <v>-19671.271710674031</v>
      </c>
      <c r="Z22" s="79">
        <f t="shared" si="18"/>
        <v>-370805.0461511052</v>
      </c>
      <c r="AA22" s="6">
        <f t="shared" si="19"/>
        <v>370805.0461511052</v>
      </c>
      <c r="AB22" s="93">
        <f t="shared" si="2"/>
        <v>434738.63441363082</v>
      </c>
      <c r="AC22" s="7">
        <f t="shared" si="3"/>
        <v>0.53968350184170288</v>
      </c>
      <c r="AD22" s="6">
        <f t="shared" si="20"/>
        <v>-23750</v>
      </c>
      <c r="AE22" s="6">
        <f t="shared" si="27"/>
        <v>-43421.271710674031</v>
      </c>
      <c r="AF22" s="68">
        <f t="shared" si="28"/>
        <v>-119108.80833131215</v>
      </c>
      <c r="AG22" s="93">
        <f t="shared" si="29"/>
        <v>391317.36270295671</v>
      </c>
      <c r="AH22" s="85">
        <f t="shared" si="30"/>
        <v>50271.920105642057</v>
      </c>
      <c r="AJ22" s="85"/>
      <c r="AL22" s="85"/>
    </row>
    <row r="23" spans="2:38" x14ac:dyDescent="0.25">
      <c r="B23" s="10">
        <f t="shared" si="21"/>
        <v>13</v>
      </c>
      <c r="C23" s="72">
        <f t="shared" si="4"/>
        <v>841793.14619014913</v>
      </c>
      <c r="D23" s="6">
        <f t="shared" si="5"/>
        <v>4516.7051023008598</v>
      </c>
      <c r="E23" s="6">
        <f t="shared" si="6"/>
        <v>54200.461227610307</v>
      </c>
      <c r="F23" s="6">
        <f t="shared" si="7"/>
        <v>39.098901508837059</v>
      </c>
      <c r="G23" s="6">
        <f t="shared" si="8"/>
        <v>469.18681810604471</v>
      </c>
      <c r="H23" s="6">
        <f t="shared" si="31"/>
        <v>54669.648045716349</v>
      </c>
      <c r="I23" s="6">
        <f t="shared" si="22"/>
        <v>563247.0870204682</v>
      </c>
      <c r="J23" s="63">
        <f t="shared" si="23"/>
        <v>-563247.0870204682</v>
      </c>
      <c r="K23" s="63">
        <f t="shared" si="9"/>
        <v>4555.804003809696</v>
      </c>
      <c r="L23" s="6">
        <f t="shared" si="10"/>
        <v>5052.360052971927</v>
      </c>
      <c r="M23" s="6">
        <f t="shared" si="11"/>
        <v>3714.3956433395219</v>
      </c>
      <c r="N23" s="6">
        <f t="shared" si="12"/>
        <v>36939.845565042793</v>
      </c>
      <c r="O23" s="6">
        <f t="shared" si="32"/>
        <v>0</v>
      </c>
      <c r="P23" s="6">
        <f t="shared" si="24"/>
        <v>0</v>
      </c>
      <c r="Q23" s="6">
        <f t="shared" si="13"/>
        <v>0</v>
      </c>
      <c r="R23" s="6">
        <f t="shared" si="14"/>
        <v>0</v>
      </c>
      <c r="S23" s="6">
        <f t="shared" si="15"/>
        <v>0</v>
      </c>
      <c r="T23" s="68">
        <f t="shared" si="0"/>
        <v>3808.8834384461866</v>
      </c>
      <c r="U23" s="6">
        <f t="shared" si="1"/>
        <v>746.92056536350947</v>
      </c>
      <c r="V23" s="6">
        <f t="shared" si="16"/>
        <v>45706.601261354241</v>
      </c>
      <c r="W23" s="68">
        <f t="shared" si="25"/>
        <v>575507.58366874082</v>
      </c>
      <c r="X23" s="6">
        <f t="shared" si="17"/>
        <v>8963.0467843621082</v>
      </c>
      <c r="Y23" s="6">
        <f t="shared" si="26"/>
        <v>-12260.49664827247</v>
      </c>
      <c r="Z23" s="79">
        <f t="shared" si="18"/>
        <v>-360407.57583669247</v>
      </c>
      <c r="AA23" s="6">
        <f t="shared" si="19"/>
        <v>360407.57583669247</v>
      </c>
      <c r="AB23" s="93">
        <f t="shared" si="2"/>
        <v>481385.57035345666</v>
      </c>
      <c r="AC23" s="7">
        <f t="shared" si="3"/>
        <v>0.57185731736133483</v>
      </c>
      <c r="AD23" s="6">
        <f t="shared" si="20"/>
        <v>-23750</v>
      </c>
      <c r="AE23" s="6">
        <f t="shared" si="27"/>
        <v>-36010.49664827247</v>
      </c>
      <c r="AF23" s="68">
        <f t="shared" si="28"/>
        <v>-117872.01331528416</v>
      </c>
      <c r="AG23" s="93">
        <f t="shared" si="29"/>
        <v>445375.07370518404</v>
      </c>
      <c r="AH23" s="85">
        <f t="shared" si="30"/>
        <v>54057.711002227326</v>
      </c>
      <c r="AJ23" s="85"/>
      <c r="AL23" s="85"/>
    </row>
    <row r="24" spans="2:38" x14ac:dyDescent="0.25">
      <c r="B24" s="10">
        <f t="shared" si="21"/>
        <v>14</v>
      </c>
      <c r="C24" s="72">
        <f t="shared" si="4"/>
        <v>879673.83776870579</v>
      </c>
      <c r="D24" s="6">
        <f t="shared" si="5"/>
        <v>4674.7897808813896</v>
      </c>
      <c r="E24" s="6">
        <f t="shared" si="6"/>
        <v>56097.477370576664</v>
      </c>
      <c r="F24" s="6">
        <f t="shared" si="7"/>
        <v>40.467363061646353</v>
      </c>
      <c r="G24" s="6">
        <f t="shared" si="8"/>
        <v>485.60835673975623</v>
      </c>
      <c r="H24" s="6">
        <f t="shared" si="31"/>
        <v>56583.085727316422</v>
      </c>
      <c r="I24" s="6">
        <f t="shared" si="22"/>
        <v>617916.73506618454</v>
      </c>
      <c r="J24" s="63">
        <f t="shared" si="23"/>
        <v>-617916.73506618454</v>
      </c>
      <c r="K24" s="63">
        <f t="shared" si="9"/>
        <v>4715.2571439430349</v>
      </c>
      <c r="L24" s="6">
        <f t="shared" si="10"/>
        <v>5229.1926548259444</v>
      </c>
      <c r="M24" s="6">
        <f t="shared" si="11"/>
        <v>3844.399490856405</v>
      </c>
      <c r="N24" s="6">
        <f t="shared" si="12"/>
        <v>36939.845565042793</v>
      </c>
      <c r="O24" s="6">
        <f t="shared" si="32"/>
        <v>0</v>
      </c>
      <c r="P24" s="6">
        <f t="shared" si="24"/>
        <v>0</v>
      </c>
      <c r="Q24" s="6">
        <f t="shared" si="13"/>
        <v>0</v>
      </c>
      <c r="R24" s="6">
        <f t="shared" si="14"/>
        <v>0</v>
      </c>
      <c r="S24" s="6">
        <f t="shared" si="15"/>
        <v>0</v>
      </c>
      <c r="T24" s="68">
        <f t="shared" si="0"/>
        <v>3834.4531425604287</v>
      </c>
      <c r="U24" s="6">
        <f t="shared" si="1"/>
        <v>880.8040013826062</v>
      </c>
      <c r="V24" s="6">
        <f t="shared" si="16"/>
        <v>46013.437710725142</v>
      </c>
      <c r="W24" s="68">
        <f t="shared" si="25"/>
        <v>621214.1849300951</v>
      </c>
      <c r="X24" s="6">
        <f t="shared" si="17"/>
        <v>10569.64801659128</v>
      </c>
      <c r="Y24" s="6">
        <f t="shared" si="26"/>
        <v>-3297.4498639103622</v>
      </c>
      <c r="Z24" s="79">
        <f t="shared" si="18"/>
        <v>-349230.72885002254</v>
      </c>
      <c r="AA24" s="6">
        <f t="shared" si="19"/>
        <v>349230.72885002254</v>
      </c>
      <c r="AB24" s="93">
        <f t="shared" si="2"/>
        <v>530443.10891868325</v>
      </c>
      <c r="AC24" s="7">
        <f t="shared" si="3"/>
        <v>0.60299975530038852</v>
      </c>
      <c r="AD24" s="6">
        <f t="shared" si="20"/>
        <v>-23750</v>
      </c>
      <c r="AE24" s="6">
        <f t="shared" si="27"/>
        <v>-27047.449863910362</v>
      </c>
      <c r="AF24" s="68">
        <f t="shared" si="28"/>
        <v>-114521.07601141185</v>
      </c>
      <c r="AG24" s="93">
        <f t="shared" si="29"/>
        <v>503395.6590547727</v>
      </c>
      <c r="AH24" s="85">
        <f t="shared" si="30"/>
        <v>58020.585349588655</v>
      </c>
      <c r="AJ24" s="85"/>
      <c r="AL24" s="85"/>
    </row>
    <row r="25" spans="2:38" x14ac:dyDescent="0.25">
      <c r="B25" s="10">
        <f t="shared" si="21"/>
        <v>15</v>
      </c>
      <c r="C25" s="72">
        <f t="shared" si="4"/>
        <v>919259.16046829754</v>
      </c>
      <c r="D25" s="6">
        <f t="shared" si="5"/>
        <v>4838.4074232122375</v>
      </c>
      <c r="E25" s="6">
        <f t="shared" si="6"/>
        <v>58060.889078546839</v>
      </c>
      <c r="F25" s="6">
        <f t="shared" si="7"/>
        <v>41.883720768803968</v>
      </c>
      <c r="G25" s="6">
        <f t="shared" si="8"/>
        <v>502.60464922564762</v>
      </c>
      <c r="H25" s="6">
        <f t="shared" si="31"/>
        <v>58563.493727772489</v>
      </c>
      <c r="I25" s="6">
        <f t="shared" si="22"/>
        <v>674499.82079350099</v>
      </c>
      <c r="J25" s="63">
        <f t="shared" si="23"/>
        <v>-674499.82079350099</v>
      </c>
      <c r="K25" s="63">
        <f t="shared" si="9"/>
        <v>4880.2911439810405</v>
      </c>
      <c r="L25" s="6">
        <f t="shared" si="10"/>
        <v>5412.2143977448522</v>
      </c>
      <c r="M25" s="6">
        <f t="shared" si="11"/>
        <v>3978.9534730363789</v>
      </c>
      <c r="N25" s="6">
        <f t="shared" si="12"/>
        <v>36939.845565042793</v>
      </c>
      <c r="O25" s="6">
        <f t="shared" si="32"/>
        <v>0</v>
      </c>
      <c r="P25" s="6">
        <f t="shared" si="24"/>
        <v>0</v>
      </c>
      <c r="Q25" s="6">
        <f t="shared" si="13"/>
        <v>0</v>
      </c>
      <c r="R25" s="6">
        <f t="shared" si="14"/>
        <v>0</v>
      </c>
      <c r="S25" s="6">
        <f t="shared" si="15"/>
        <v>0</v>
      </c>
      <c r="T25" s="68">
        <f t="shared" si="0"/>
        <v>3860.9177863186687</v>
      </c>
      <c r="U25" s="6">
        <f t="shared" si="1"/>
        <v>1019.3733576623717</v>
      </c>
      <c r="V25" s="6">
        <f t="shared" si="16"/>
        <v>46331.013435824025</v>
      </c>
      <c r="W25" s="68">
        <f t="shared" si="25"/>
        <v>667227.62264082022</v>
      </c>
      <c r="X25" s="6">
        <f t="shared" si="17"/>
        <v>12232.480291948465</v>
      </c>
      <c r="Y25" s="6">
        <f t="shared" si="26"/>
        <v>7272.1981526809177</v>
      </c>
      <c r="Z25" s="79">
        <f t="shared" si="18"/>
        <v>-337216.08444269316</v>
      </c>
      <c r="AA25" s="6">
        <f t="shared" si="19"/>
        <v>337216.08444269316</v>
      </c>
      <c r="AB25" s="93">
        <f t="shared" si="2"/>
        <v>582043.07602560439</v>
      </c>
      <c r="AC25" s="7">
        <f t="shared" si="3"/>
        <v>0.63316538040164272</v>
      </c>
      <c r="AD25" s="6">
        <f t="shared" si="20"/>
        <v>-23750</v>
      </c>
      <c r="AE25" s="6">
        <f t="shared" si="27"/>
        <v>-16477.801847319082</v>
      </c>
      <c r="AF25" s="68">
        <f t="shared" si="28"/>
        <v>-108934.54661521583</v>
      </c>
      <c r="AG25" s="93">
        <f t="shared" si="29"/>
        <v>565565.27417828515</v>
      </c>
      <c r="AH25" s="85">
        <f t="shared" si="30"/>
        <v>62169.615123512456</v>
      </c>
      <c r="AJ25" s="85"/>
      <c r="AL25" s="85"/>
    </row>
    <row r="26" spans="2:38" x14ac:dyDescent="0.25">
      <c r="B26" s="94">
        <f t="shared" si="21"/>
        <v>16</v>
      </c>
      <c r="C26" s="73">
        <f t="shared" si="4"/>
        <v>960625.82268937083</v>
      </c>
      <c r="D26" s="8">
        <f t="shared" si="5"/>
        <v>5007.751683024665</v>
      </c>
      <c r="E26" s="8">
        <f t="shared" si="6"/>
        <v>60093.020196295976</v>
      </c>
      <c r="F26" s="8">
        <f t="shared" si="7"/>
        <v>43.349650995712103</v>
      </c>
      <c r="G26" s="8">
        <f t="shared" si="8"/>
        <v>520.19581194854527</v>
      </c>
      <c r="H26" s="8">
        <f t="shared" si="31"/>
        <v>60613.216008244519</v>
      </c>
      <c r="I26" s="8">
        <f t="shared" si="22"/>
        <v>733063.31452127348</v>
      </c>
      <c r="J26" s="64">
        <f t="shared" si="23"/>
        <v>-733063.31452127348</v>
      </c>
      <c r="K26" s="64">
        <f t="shared" si="9"/>
        <v>5051.1013340203763</v>
      </c>
      <c r="L26" s="8">
        <f t="shared" si="10"/>
        <v>5601.641901665922</v>
      </c>
      <c r="M26" s="8">
        <f t="shared" si="11"/>
        <v>4118.2168445926518</v>
      </c>
      <c r="N26" s="8">
        <f t="shared" si="12"/>
        <v>36939.845565042793</v>
      </c>
      <c r="O26" s="8">
        <f t="shared" si="32"/>
        <v>0</v>
      </c>
      <c r="P26" s="8">
        <f t="shared" si="24"/>
        <v>0</v>
      </c>
      <c r="Q26" s="8">
        <f t="shared" si="13"/>
        <v>0</v>
      </c>
      <c r="R26" s="8">
        <f t="shared" si="14"/>
        <v>0</v>
      </c>
      <c r="S26" s="8">
        <f t="shared" si="15"/>
        <v>0</v>
      </c>
      <c r="T26" s="69">
        <f t="shared" si="0"/>
        <v>3888.308692608447</v>
      </c>
      <c r="U26" s="8">
        <f t="shared" si="1"/>
        <v>1162.7926414119293</v>
      </c>
      <c r="V26" s="8">
        <f t="shared" si="16"/>
        <v>46659.704311301364</v>
      </c>
      <c r="W26" s="69">
        <f t="shared" si="25"/>
        <v>713558.6360766443</v>
      </c>
      <c r="X26" s="8">
        <f t="shared" si="17"/>
        <v>13953.511696943155</v>
      </c>
      <c r="Y26" s="8">
        <f t="shared" si="26"/>
        <v>19504.678444629382</v>
      </c>
      <c r="Z26" s="80">
        <f t="shared" si="18"/>
        <v>-324300.84274646768</v>
      </c>
      <c r="AA26" s="8">
        <f t="shared" si="19"/>
        <v>324300.84274646768</v>
      </c>
      <c r="AB26" s="95">
        <f t="shared" si="2"/>
        <v>636324.97994290316</v>
      </c>
      <c r="AC26" s="9">
        <f t="shared" si="3"/>
        <v>0.66240669875128477</v>
      </c>
      <c r="AD26" s="8">
        <f t="shared" si="20"/>
        <v>-23750</v>
      </c>
      <c r="AE26" s="8">
        <f t="shared" si="27"/>
        <v>-4245.3215553706177</v>
      </c>
      <c r="AF26" s="69">
        <f t="shared" si="28"/>
        <v>-100983.65613374114</v>
      </c>
      <c r="AG26" s="95">
        <f t="shared" si="29"/>
        <v>632079.65838753234</v>
      </c>
      <c r="AH26" s="96">
        <f t="shared" si="30"/>
        <v>66514.38420924719</v>
      </c>
      <c r="AJ26" s="85"/>
      <c r="AL26" s="85"/>
    </row>
    <row r="27" spans="2:38" x14ac:dyDescent="0.25">
      <c r="B27" s="94">
        <f t="shared" si="21"/>
        <v>17</v>
      </c>
      <c r="C27" s="73">
        <f t="shared" si="4"/>
        <v>1003853.9847103924</v>
      </c>
      <c r="D27" s="8">
        <f t="shared" si="5"/>
        <v>5183.0229919305275</v>
      </c>
      <c r="E27" s="8">
        <f t="shared" si="6"/>
        <v>62196.27590316633</v>
      </c>
      <c r="F27" s="8">
        <f t="shared" si="7"/>
        <v>44.866888780562022</v>
      </c>
      <c r="G27" s="8">
        <f t="shared" si="8"/>
        <v>538.40266536674426</v>
      </c>
      <c r="H27" s="8">
        <f t="shared" si="31"/>
        <v>62734.678568533076</v>
      </c>
      <c r="I27" s="8">
        <f t="shared" si="22"/>
        <v>793676.53052951803</v>
      </c>
      <c r="J27" s="64">
        <f t="shared" si="23"/>
        <v>-793676.53052951803</v>
      </c>
      <c r="K27" s="64">
        <f t="shared" si="9"/>
        <v>5227.88988071109</v>
      </c>
      <c r="L27" s="8">
        <f t="shared" si="10"/>
        <v>5797.6993682242291</v>
      </c>
      <c r="M27" s="8">
        <f t="shared" si="11"/>
        <v>4262.3544341533943</v>
      </c>
      <c r="N27" s="8">
        <f t="shared" si="12"/>
        <v>36939.845565042793</v>
      </c>
      <c r="O27" s="8">
        <f t="shared" si="32"/>
        <v>0</v>
      </c>
      <c r="P27" s="8">
        <f t="shared" si="24"/>
        <v>0</v>
      </c>
      <c r="Q27" s="8">
        <f t="shared" si="13"/>
        <v>0</v>
      </c>
      <c r="R27" s="8">
        <f t="shared" si="14"/>
        <v>0</v>
      </c>
      <c r="S27" s="8">
        <f t="shared" si="15"/>
        <v>0</v>
      </c>
      <c r="T27" s="69">
        <f t="shared" si="0"/>
        <v>3916.6582806183683</v>
      </c>
      <c r="U27" s="8">
        <f t="shared" si="1"/>
        <v>1311.2316000927217</v>
      </c>
      <c r="V27" s="8">
        <f t="shared" si="16"/>
        <v>46999.899367420418</v>
      </c>
      <c r="W27" s="69">
        <f t="shared" si="25"/>
        <v>760218.34038794565</v>
      </c>
      <c r="X27" s="8">
        <f t="shared" si="17"/>
        <v>15734.779201112658</v>
      </c>
      <c r="Y27" s="8">
        <f t="shared" si="26"/>
        <v>33458.190141572537</v>
      </c>
      <c r="Z27" s="80">
        <f t="shared" si="18"/>
        <v>-310417.49652190821</v>
      </c>
      <c r="AA27" s="8">
        <f t="shared" si="19"/>
        <v>310417.49652190821</v>
      </c>
      <c r="AB27" s="95">
        <f t="shared" si="2"/>
        <v>693436.48818848422</v>
      </c>
      <c r="AC27" s="9">
        <f t="shared" si="3"/>
        <v>0.69077425477225918</v>
      </c>
      <c r="AD27" s="8">
        <f t="shared" si="20"/>
        <v>-23750</v>
      </c>
      <c r="AE27" s="8">
        <f t="shared" si="27"/>
        <v>9708.190141572537</v>
      </c>
      <c r="AF27" s="69">
        <f t="shared" si="28"/>
        <v>-90531.852199461428</v>
      </c>
      <c r="AG27" s="95">
        <f t="shared" si="29"/>
        <v>703144.6783300566</v>
      </c>
      <c r="AH27" s="96">
        <f t="shared" si="30"/>
        <v>71065.019942524261</v>
      </c>
      <c r="AJ27" s="85"/>
      <c r="AL27" s="85"/>
    </row>
    <row r="28" spans="2:38" x14ac:dyDescent="0.25">
      <c r="B28" s="94">
        <f t="shared" si="21"/>
        <v>18</v>
      </c>
      <c r="C28" s="73">
        <f t="shared" si="4"/>
        <v>1049027.41402236</v>
      </c>
      <c r="D28" s="8">
        <f t="shared" si="5"/>
        <v>5364.4287966480952</v>
      </c>
      <c r="E28" s="8">
        <f t="shared" si="6"/>
        <v>64373.145559777149</v>
      </c>
      <c r="F28" s="8">
        <f t="shared" si="7"/>
        <v>46.437229887881692</v>
      </c>
      <c r="G28" s="8">
        <f t="shared" si="8"/>
        <v>557.24675865458028</v>
      </c>
      <c r="H28" s="8">
        <f t="shared" si="31"/>
        <v>64930.392318431732</v>
      </c>
      <c r="I28" s="8">
        <f t="shared" si="22"/>
        <v>856411.20909805107</v>
      </c>
      <c r="J28" s="64">
        <f t="shared" si="23"/>
        <v>-856411.20909805107</v>
      </c>
      <c r="K28" s="64">
        <f t="shared" si="9"/>
        <v>5410.8660265359777</v>
      </c>
      <c r="L28" s="8">
        <f t="shared" si="10"/>
        <v>6000.6188461120764</v>
      </c>
      <c r="M28" s="8">
        <f t="shared" si="11"/>
        <v>4411.5368393487624</v>
      </c>
      <c r="N28" s="8">
        <f t="shared" si="12"/>
        <v>36939.845565042793</v>
      </c>
      <c r="O28" s="8">
        <f t="shared" si="32"/>
        <v>0</v>
      </c>
      <c r="P28" s="8">
        <f t="shared" si="24"/>
        <v>0</v>
      </c>
      <c r="Q28" s="8">
        <f t="shared" si="13"/>
        <v>0</v>
      </c>
      <c r="R28" s="8">
        <f t="shared" si="14"/>
        <v>0</v>
      </c>
      <c r="S28" s="8">
        <f t="shared" si="15"/>
        <v>0</v>
      </c>
      <c r="T28" s="69">
        <f t="shared" si="0"/>
        <v>3946.0001042086355</v>
      </c>
      <c r="U28" s="8">
        <f t="shared" si="1"/>
        <v>1464.8659223273421</v>
      </c>
      <c r="V28" s="8">
        <f t="shared" si="16"/>
        <v>47352.001250503628</v>
      </c>
      <c r="W28" s="69">
        <f t="shared" si="25"/>
        <v>807218.23975536611</v>
      </c>
      <c r="X28" s="8">
        <f t="shared" si="17"/>
        <v>17578.391067928103</v>
      </c>
      <c r="Y28" s="8">
        <f t="shared" si="26"/>
        <v>49192.969342685195</v>
      </c>
      <c r="Z28" s="80">
        <f t="shared" si="18"/>
        <v>-295493.47830184491</v>
      </c>
      <c r="AA28" s="8">
        <f t="shared" si="19"/>
        <v>295493.47830184491</v>
      </c>
      <c r="AB28" s="95">
        <f t="shared" si="2"/>
        <v>753533.93572051509</v>
      </c>
      <c r="AC28" s="9">
        <f t="shared" si="3"/>
        <v>0.71831672428005156</v>
      </c>
      <c r="AD28" s="8">
        <f t="shared" si="20"/>
        <v>-23750</v>
      </c>
      <c r="AE28" s="8">
        <f t="shared" si="27"/>
        <v>25442.969342685195</v>
      </c>
      <c r="AF28" s="69">
        <f t="shared" si="28"/>
        <v>-77434.304034851026</v>
      </c>
      <c r="AG28" s="95">
        <f t="shared" si="29"/>
        <v>778976.90506320004</v>
      </c>
      <c r="AH28" s="96">
        <f t="shared" si="30"/>
        <v>75832.226733143441</v>
      </c>
      <c r="AJ28" s="85"/>
      <c r="AL28" s="85"/>
    </row>
    <row r="29" spans="2:38" x14ac:dyDescent="0.25">
      <c r="B29" s="94">
        <f t="shared" si="21"/>
        <v>19</v>
      </c>
      <c r="C29" s="73">
        <f t="shared" si="4"/>
        <v>1096233.6476533662</v>
      </c>
      <c r="D29" s="8">
        <f t="shared" si="5"/>
        <v>5552.1838045307777</v>
      </c>
      <c r="E29" s="8">
        <f t="shared" si="6"/>
        <v>66626.205654369347</v>
      </c>
      <c r="F29" s="8">
        <f t="shared" si="7"/>
        <v>48.062532933957549</v>
      </c>
      <c r="G29" s="8">
        <f t="shared" si="8"/>
        <v>576.75039520749056</v>
      </c>
      <c r="H29" s="8">
        <f t="shared" si="31"/>
        <v>67202.956049576838</v>
      </c>
      <c r="I29" s="8">
        <f t="shared" si="22"/>
        <v>921341.60141648282</v>
      </c>
      <c r="J29" s="64">
        <f t="shared" si="23"/>
        <v>-921341.60141648282</v>
      </c>
      <c r="K29" s="64">
        <f t="shared" si="9"/>
        <v>5600.2463374647368</v>
      </c>
      <c r="L29" s="8">
        <f t="shared" si="10"/>
        <v>6210.640505725999</v>
      </c>
      <c r="M29" s="8">
        <f t="shared" si="11"/>
        <v>4565.940628725969</v>
      </c>
      <c r="N29" s="8">
        <f t="shared" si="12"/>
        <v>36939.845565042793</v>
      </c>
      <c r="O29" s="8">
        <f t="shared" si="32"/>
        <v>0</v>
      </c>
      <c r="P29" s="8">
        <f t="shared" si="24"/>
        <v>0</v>
      </c>
      <c r="Q29" s="8">
        <f t="shared" si="13"/>
        <v>0</v>
      </c>
      <c r="R29" s="8">
        <f t="shared" si="14"/>
        <v>0</v>
      </c>
      <c r="S29" s="8">
        <f t="shared" si="15"/>
        <v>0</v>
      </c>
      <c r="T29" s="69">
        <f t="shared" si="0"/>
        <v>3976.3688916245633</v>
      </c>
      <c r="U29" s="8">
        <f t="shared" si="1"/>
        <v>1623.8774458401736</v>
      </c>
      <c r="V29" s="8">
        <f t="shared" si="16"/>
        <v>47716.426699494761</v>
      </c>
      <c r="W29" s="69">
        <f t="shared" si="25"/>
        <v>854570.2410058697</v>
      </c>
      <c r="X29" s="8">
        <f t="shared" si="17"/>
        <v>19486.529350082077</v>
      </c>
      <c r="Y29" s="8">
        <f t="shared" si="26"/>
        <v>66771.360410613299</v>
      </c>
      <c r="Z29" s="80">
        <f t="shared" si="18"/>
        <v>-279450.78108532086</v>
      </c>
      <c r="AA29" s="8">
        <f t="shared" si="19"/>
        <v>279450.78108532086</v>
      </c>
      <c r="AB29" s="95">
        <f t="shared" si="2"/>
        <v>816782.86656804534</v>
      </c>
      <c r="AC29" s="9">
        <f t="shared" si="3"/>
        <v>0.74508100377732212</v>
      </c>
      <c r="AD29" s="8">
        <f t="shared" si="20"/>
        <v>-23750</v>
      </c>
      <c r="AE29" s="8">
        <f t="shared" si="27"/>
        <v>43021.360410613299</v>
      </c>
      <c r="AF29" s="69">
        <f t="shared" si="28"/>
        <v>-61537.374437824357</v>
      </c>
      <c r="AG29" s="95">
        <f t="shared" si="29"/>
        <v>859804.22697865847</v>
      </c>
      <c r="AH29" s="96">
        <f t="shared" si="30"/>
        <v>80827.321915458422</v>
      </c>
      <c r="AJ29" s="85"/>
      <c r="AL29" s="85"/>
    </row>
    <row r="30" spans="2:38" x14ac:dyDescent="0.25">
      <c r="B30" s="94">
        <f t="shared" si="21"/>
        <v>20</v>
      </c>
      <c r="C30" s="73">
        <f t="shared" si="4"/>
        <v>1145564.1617977675</v>
      </c>
      <c r="D30" s="8">
        <f t="shared" si="5"/>
        <v>5746.5102376893547</v>
      </c>
      <c r="E30" s="8">
        <f t="shared" si="6"/>
        <v>68958.122852272267</v>
      </c>
      <c r="F30" s="8">
        <f t="shared" si="7"/>
        <v>49.744721586646058</v>
      </c>
      <c r="G30" s="8">
        <f t="shared" si="8"/>
        <v>596.93665903975273</v>
      </c>
      <c r="H30" s="8">
        <f t="shared" si="31"/>
        <v>69555.059511312022</v>
      </c>
      <c r="I30" s="8">
        <f t="shared" si="22"/>
        <v>988544.55746605969</v>
      </c>
      <c r="J30" s="64">
        <f t="shared" si="23"/>
        <v>-988544.55746605969</v>
      </c>
      <c r="K30" s="64">
        <f t="shared" si="9"/>
        <v>5796.2549592760015</v>
      </c>
      <c r="L30" s="8">
        <f t="shared" si="10"/>
        <v>6428.0129234264086</v>
      </c>
      <c r="M30" s="8">
        <f t="shared" si="11"/>
        <v>4725.7485507313777</v>
      </c>
      <c r="N30" s="8">
        <f t="shared" si="12"/>
        <v>36939.845565042793</v>
      </c>
      <c r="O30" s="8">
        <f t="shared" si="32"/>
        <v>0</v>
      </c>
      <c r="P30" s="8">
        <f t="shared" si="24"/>
        <v>0</v>
      </c>
      <c r="Q30" s="8">
        <f t="shared" si="13"/>
        <v>0</v>
      </c>
      <c r="R30" s="8">
        <f t="shared" si="14"/>
        <v>0</v>
      </c>
      <c r="S30" s="8">
        <f t="shared" si="15"/>
        <v>0</v>
      </c>
      <c r="T30" s="69">
        <f t="shared" si="0"/>
        <v>4007.8005866000481</v>
      </c>
      <c r="U30" s="8">
        <f t="shared" si="1"/>
        <v>1788.4543726759534</v>
      </c>
      <c r="V30" s="8">
        <f t="shared" si="16"/>
        <v>48093.607039200579</v>
      </c>
      <c r="W30" s="69">
        <f t="shared" si="25"/>
        <v>902286.66770536441</v>
      </c>
      <c r="X30" s="8">
        <f t="shared" si="17"/>
        <v>21461.452472111443</v>
      </c>
      <c r="Y30" s="8">
        <f t="shared" si="26"/>
        <v>86257.889760695369</v>
      </c>
      <c r="Z30" s="80">
        <f t="shared" si="18"/>
        <v>-262205.5505994003</v>
      </c>
      <c r="AA30" s="8">
        <f t="shared" si="19"/>
        <v>262205.5505994003</v>
      </c>
      <c r="AB30" s="95">
        <f t="shared" si="2"/>
        <v>883358.6111983672</v>
      </c>
      <c r="AC30" s="9">
        <f t="shared" si="3"/>
        <v>0.77111229615640786</v>
      </c>
      <c r="AD30" s="8">
        <f t="shared" si="20"/>
        <v>-23750</v>
      </c>
      <c r="AE30" s="8">
        <f t="shared" si="27"/>
        <v>62507.889760695369</v>
      </c>
      <c r="AF30" s="69">
        <f t="shared" si="28"/>
        <v>-42678.056506997207</v>
      </c>
      <c r="AG30" s="95">
        <f t="shared" si="29"/>
        <v>945866.50095906248</v>
      </c>
      <c r="AH30" s="96">
        <f t="shared" si="30"/>
        <v>86062.273980404017</v>
      </c>
      <c r="AJ30" s="85"/>
      <c r="AL30" s="85"/>
    </row>
    <row r="31" spans="2:38" x14ac:dyDescent="0.25">
      <c r="B31" s="10">
        <f t="shared" si="21"/>
        <v>21</v>
      </c>
      <c r="C31" s="72">
        <f t="shared" si="4"/>
        <v>1197114.5490786671</v>
      </c>
      <c r="D31" s="6">
        <f t="shared" si="5"/>
        <v>5947.6380960084816</v>
      </c>
      <c r="E31" s="6">
        <f t="shared" si="6"/>
        <v>71371.65715210179</v>
      </c>
      <c r="F31" s="6">
        <f t="shared" si="7"/>
        <v>51.485786842178669</v>
      </c>
      <c r="G31" s="6">
        <f t="shared" si="8"/>
        <v>617.82944210614403</v>
      </c>
      <c r="H31" s="6">
        <f t="shared" si="31"/>
        <v>71989.486594207934</v>
      </c>
      <c r="I31" s="6">
        <f t="shared" si="22"/>
        <v>1058099.6169773717</v>
      </c>
      <c r="J31" s="63">
        <f t="shared" si="23"/>
        <v>-1058099.6169773717</v>
      </c>
      <c r="K31" s="63">
        <f t="shared" si="9"/>
        <v>5999.1238828506612</v>
      </c>
      <c r="L31" s="6">
        <f t="shared" si="10"/>
        <v>6652.9933757463323</v>
      </c>
      <c r="M31" s="6">
        <f t="shared" si="11"/>
        <v>4891.1497500069754</v>
      </c>
      <c r="N31" s="6">
        <f t="shared" si="12"/>
        <v>36939.845565042793</v>
      </c>
      <c r="O31" s="6">
        <f t="shared" si="32"/>
        <v>0</v>
      </c>
      <c r="P31" s="6">
        <f t="shared" si="24"/>
        <v>0</v>
      </c>
      <c r="Q31" s="6">
        <f t="shared" si="13"/>
        <v>0</v>
      </c>
      <c r="R31" s="6">
        <f t="shared" si="14"/>
        <v>0</v>
      </c>
      <c r="S31" s="6">
        <f t="shared" si="15"/>
        <v>0</v>
      </c>
      <c r="T31" s="68">
        <f t="shared" si="0"/>
        <v>4040.3323908996754</v>
      </c>
      <c r="U31" s="6">
        <f t="shared" si="1"/>
        <v>1958.7914919509858</v>
      </c>
      <c r="V31" s="6">
        <f t="shared" si="16"/>
        <v>48483.988690796104</v>
      </c>
      <c r="W31" s="68">
        <f t="shared" si="25"/>
        <v>950380.27474456502</v>
      </c>
      <c r="X31" s="6">
        <f t="shared" si="17"/>
        <v>23505.49790341183</v>
      </c>
      <c r="Y31" s="6">
        <f t="shared" si="26"/>
        <v>107719.34223280681</v>
      </c>
      <c r="Z31" s="79">
        <f t="shared" si="18"/>
        <v>-243667.64699761671</v>
      </c>
      <c r="AA31" s="6">
        <f t="shared" si="19"/>
        <v>243667.64699761671</v>
      </c>
      <c r="AB31" s="93">
        <f t="shared" si="2"/>
        <v>953446.90208105033</v>
      </c>
      <c r="AC31" s="7">
        <f t="shared" si="3"/>
        <v>0.79645419297163311</v>
      </c>
      <c r="AD31" s="6">
        <f t="shared" si="20"/>
        <v>-23750</v>
      </c>
      <c r="AE31" s="6">
        <f t="shared" si="27"/>
        <v>83969.342232806812</v>
      </c>
      <c r="AF31" s="68">
        <f t="shared" si="28"/>
        <v>-20683.372663514689</v>
      </c>
      <c r="AG31" s="93">
        <f t="shared" si="29"/>
        <v>1037416.2443138571</v>
      </c>
      <c r="AH31" s="85">
        <f t="shared" si="30"/>
        <v>91549.743354794569</v>
      </c>
      <c r="AJ31" s="85"/>
      <c r="AL31" s="85"/>
    </row>
    <row r="32" spans="2:38" x14ac:dyDescent="0.25">
      <c r="B32" s="10">
        <f t="shared" si="21"/>
        <v>22</v>
      </c>
      <c r="C32" s="72">
        <f t="shared" si="4"/>
        <v>1250984.7037872069</v>
      </c>
      <c r="D32" s="6">
        <f t="shared" si="5"/>
        <v>6155.8054293687783</v>
      </c>
      <c r="E32" s="6">
        <f t="shared" si="6"/>
        <v>73869.665152425354</v>
      </c>
      <c r="F32" s="6">
        <f t="shared" si="7"/>
        <v>53.287789381654918</v>
      </c>
      <c r="G32" s="6">
        <f t="shared" si="8"/>
        <v>639.45347257985895</v>
      </c>
      <c r="H32" s="6">
        <f t="shared" si="31"/>
        <v>74509.118625005212</v>
      </c>
      <c r="I32" s="6">
        <f t="shared" si="22"/>
        <v>1130089.1035715798</v>
      </c>
      <c r="J32" s="63">
        <f t="shared" si="23"/>
        <v>-1130089.1035715798</v>
      </c>
      <c r="K32" s="63">
        <f t="shared" si="9"/>
        <v>6209.0932187504341</v>
      </c>
      <c r="L32" s="6">
        <f t="shared" si="10"/>
        <v>6885.8481438974532</v>
      </c>
      <c r="M32" s="6">
        <f t="shared" si="11"/>
        <v>5062.3399912572195</v>
      </c>
      <c r="N32" s="6">
        <f t="shared" si="12"/>
        <v>36939.845565042793</v>
      </c>
      <c r="O32" s="6">
        <f t="shared" si="32"/>
        <v>0</v>
      </c>
      <c r="P32" s="6">
        <f t="shared" si="24"/>
        <v>0</v>
      </c>
      <c r="Q32" s="6">
        <f t="shared" si="13"/>
        <v>0</v>
      </c>
      <c r="R32" s="6">
        <f t="shared" si="14"/>
        <v>0</v>
      </c>
      <c r="S32" s="6">
        <f t="shared" si="15"/>
        <v>0</v>
      </c>
      <c r="T32" s="68">
        <f t="shared" si="0"/>
        <v>4074.0028083497891</v>
      </c>
      <c r="U32" s="6">
        <f t="shared" si="1"/>
        <v>2135.0904104006449</v>
      </c>
      <c r="V32" s="6">
        <f t="shared" si="16"/>
        <v>48888.033700197469</v>
      </c>
      <c r="W32" s="68">
        <f t="shared" si="25"/>
        <v>998864.26343536109</v>
      </c>
      <c r="X32" s="6">
        <f t="shared" si="17"/>
        <v>25621.084924807743</v>
      </c>
      <c r="Y32" s="6">
        <f t="shared" si="26"/>
        <v>131224.84013621864</v>
      </c>
      <c r="Z32" s="79">
        <f t="shared" si="18"/>
        <v>-223740.17370408276</v>
      </c>
      <c r="AA32" s="6">
        <f t="shared" si="19"/>
        <v>223740.17370408276</v>
      </c>
      <c r="AB32" s="93">
        <f t="shared" si="2"/>
        <v>1027244.5300831242</v>
      </c>
      <c r="AC32" s="7">
        <f t="shared" si="3"/>
        <v>0.82114875343660398</v>
      </c>
      <c r="AD32" s="6">
        <f t="shared" si="20"/>
        <v>-23750</v>
      </c>
      <c r="AE32" s="6">
        <f t="shared" si="27"/>
        <v>107474.84013621864</v>
      </c>
      <c r="AF32" s="68">
        <f t="shared" si="28"/>
        <v>4630.2666477630846</v>
      </c>
      <c r="AG32" s="93">
        <f t="shared" si="29"/>
        <v>1134719.3702193429</v>
      </c>
      <c r="AH32" s="85">
        <f t="shared" si="30"/>
        <v>97303.125905485824</v>
      </c>
      <c r="AJ32" s="85"/>
      <c r="AL32" s="85"/>
    </row>
    <row r="33" spans="2:38" x14ac:dyDescent="0.25">
      <c r="B33" s="10">
        <f t="shared" si="21"/>
        <v>23</v>
      </c>
      <c r="C33" s="72">
        <f t="shared" si="4"/>
        <v>1307279.0154576311</v>
      </c>
      <c r="D33" s="6">
        <f t="shared" si="5"/>
        <v>6371.2586193966854</v>
      </c>
      <c r="E33" s="6">
        <f t="shared" si="6"/>
        <v>76455.103432760239</v>
      </c>
      <c r="F33" s="6">
        <f t="shared" si="7"/>
        <v>55.152862010012832</v>
      </c>
      <c r="G33" s="6">
        <f t="shared" si="8"/>
        <v>661.83434412015401</v>
      </c>
      <c r="H33" s="6">
        <f t="shared" si="31"/>
        <v>77116.937776880397</v>
      </c>
      <c r="I33" s="6">
        <f t="shared" si="22"/>
        <v>1204598.222196585</v>
      </c>
      <c r="J33" s="63">
        <f t="shared" si="23"/>
        <v>-1204598.222196585</v>
      </c>
      <c r="K33" s="63">
        <f t="shared" si="9"/>
        <v>6426.4114814066997</v>
      </c>
      <c r="L33" s="6">
        <f t="shared" si="10"/>
        <v>7126.8528289338637</v>
      </c>
      <c r="M33" s="6">
        <f t="shared" si="11"/>
        <v>5239.5218909512214</v>
      </c>
      <c r="N33" s="6">
        <f t="shared" si="12"/>
        <v>36939.845565042793</v>
      </c>
      <c r="O33" s="6">
        <f t="shared" si="32"/>
        <v>0</v>
      </c>
      <c r="P33" s="6">
        <f t="shared" si="24"/>
        <v>0</v>
      </c>
      <c r="Q33" s="6">
        <f t="shared" si="13"/>
        <v>0</v>
      </c>
      <c r="R33" s="6">
        <f t="shared" si="14"/>
        <v>0</v>
      </c>
      <c r="S33" s="6">
        <f t="shared" si="15"/>
        <v>0</v>
      </c>
      <c r="T33" s="68">
        <f t="shared" si="0"/>
        <v>4108.8516904106564</v>
      </c>
      <c r="U33" s="6">
        <f t="shared" si="1"/>
        <v>2317.5597909960434</v>
      </c>
      <c r="V33" s="6">
        <f t="shared" si="16"/>
        <v>49306.220284927876</v>
      </c>
      <c r="W33" s="68">
        <f t="shared" si="25"/>
        <v>1047752.2971355586</v>
      </c>
      <c r="X33" s="6">
        <f t="shared" si="17"/>
        <v>27810.717491952521</v>
      </c>
      <c r="Y33" s="6">
        <f t="shared" si="26"/>
        <v>156845.92506102638</v>
      </c>
      <c r="Z33" s="79">
        <f t="shared" si="18"/>
        <v>-202318.97094055652</v>
      </c>
      <c r="AA33" s="6">
        <f t="shared" si="19"/>
        <v>202318.97094055652</v>
      </c>
      <c r="AB33" s="93">
        <f t="shared" si="2"/>
        <v>1104960.0445170745</v>
      </c>
      <c r="AC33" s="7">
        <f t="shared" si="3"/>
        <v>0.84523658029519266</v>
      </c>
      <c r="AD33" s="6">
        <f t="shared" si="20"/>
        <v>-23750</v>
      </c>
      <c r="AE33" s="6">
        <f t="shared" si="27"/>
        <v>133095.92506102638</v>
      </c>
      <c r="AF33" s="68">
        <f t="shared" si="28"/>
        <v>33457.747381515917</v>
      </c>
      <c r="AG33" s="93">
        <f t="shared" si="29"/>
        <v>1238055.9695781008</v>
      </c>
      <c r="AH33" s="85">
        <f t="shared" si="30"/>
        <v>103336.59935875796</v>
      </c>
      <c r="AJ33" s="85"/>
      <c r="AL33" s="85"/>
    </row>
    <row r="34" spans="2:38" x14ac:dyDescent="0.25">
      <c r="B34" s="10">
        <f t="shared" si="21"/>
        <v>24</v>
      </c>
      <c r="C34" s="72">
        <f t="shared" si="4"/>
        <v>1366106.5711532244</v>
      </c>
      <c r="D34" s="6">
        <f t="shared" si="5"/>
        <v>6594.2526710755692</v>
      </c>
      <c r="E34" s="6">
        <f t="shared" si="6"/>
        <v>79131.032052906841</v>
      </c>
      <c r="F34" s="6">
        <f t="shared" si="7"/>
        <v>57.083212180363276</v>
      </c>
      <c r="G34" s="6">
        <f t="shared" si="8"/>
        <v>684.99854616435937</v>
      </c>
      <c r="H34" s="6">
        <f t="shared" si="31"/>
        <v>79816.030599071208</v>
      </c>
      <c r="I34" s="6">
        <f t="shared" si="22"/>
        <v>1281715.1599734654</v>
      </c>
      <c r="J34" s="63">
        <f t="shared" si="23"/>
        <v>-1281715.1599734654</v>
      </c>
      <c r="K34" s="63">
        <f t="shared" si="9"/>
        <v>6651.3358832559343</v>
      </c>
      <c r="L34" s="6">
        <f t="shared" si="10"/>
        <v>7376.2926779465488</v>
      </c>
      <c r="M34" s="6">
        <f t="shared" si="11"/>
        <v>5422.9051571345135</v>
      </c>
      <c r="N34" s="6">
        <f t="shared" si="12"/>
        <v>36939.845565042793</v>
      </c>
      <c r="O34" s="6">
        <f t="shared" si="32"/>
        <v>0</v>
      </c>
      <c r="P34" s="6">
        <f t="shared" si="24"/>
        <v>0</v>
      </c>
      <c r="Q34" s="6">
        <f t="shared" si="13"/>
        <v>0</v>
      </c>
      <c r="R34" s="6">
        <f t="shared" si="14"/>
        <v>0</v>
      </c>
      <c r="S34" s="6">
        <f t="shared" si="15"/>
        <v>0</v>
      </c>
      <c r="T34" s="68">
        <f t="shared" si="0"/>
        <v>4144.9202833436548</v>
      </c>
      <c r="U34" s="6">
        <f t="shared" si="1"/>
        <v>2506.4155999122795</v>
      </c>
      <c r="V34" s="6">
        <f t="shared" si="16"/>
        <v>49739.043400123861</v>
      </c>
      <c r="W34" s="68">
        <f t="shared" si="25"/>
        <v>1097058.5174204865</v>
      </c>
      <c r="X34" s="6">
        <f t="shared" si="17"/>
        <v>30076.987198947347</v>
      </c>
      <c r="Y34" s="6">
        <f t="shared" si="26"/>
        <v>184656.64255297891</v>
      </c>
      <c r="Z34" s="79">
        <f t="shared" si="18"/>
        <v>-179292.0712891593</v>
      </c>
      <c r="AA34" s="6">
        <f t="shared" si="19"/>
        <v>179292.0712891593</v>
      </c>
      <c r="AB34" s="93">
        <f t="shared" si="2"/>
        <v>1186814.4998640651</v>
      </c>
      <c r="AC34" s="7">
        <f t="shared" si="3"/>
        <v>0.86875689270873901</v>
      </c>
      <c r="AD34" s="6">
        <f t="shared" si="20"/>
        <v>-23750</v>
      </c>
      <c r="AE34" s="6">
        <f t="shared" si="27"/>
        <v>160906.64255297891</v>
      </c>
      <c r="AF34" s="68">
        <f t="shared" si="28"/>
        <v>66005.982443578541</v>
      </c>
      <c r="AG34" s="93">
        <f t="shared" si="29"/>
        <v>1347721.1424170439</v>
      </c>
      <c r="AH34" s="85">
        <f t="shared" si="30"/>
        <v>109665.17283894308</v>
      </c>
      <c r="AJ34" s="85"/>
      <c r="AL34" s="85"/>
    </row>
    <row r="35" spans="2:38" x14ac:dyDescent="0.25">
      <c r="B35" s="10">
        <f t="shared" si="21"/>
        <v>25</v>
      </c>
      <c r="C35" s="72">
        <f t="shared" si="4"/>
        <v>1427581.3668551194</v>
      </c>
      <c r="D35" s="6">
        <f t="shared" si="5"/>
        <v>6825.0515145632135</v>
      </c>
      <c r="E35" s="6">
        <f t="shared" si="6"/>
        <v>81900.61817475858</v>
      </c>
      <c r="F35" s="6">
        <f t="shared" si="7"/>
        <v>59.081124606675985</v>
      </c>
      <c r="G35" s="6">
        <f t="shared" si="8"/>
        <v>708.97349528011182</v>
      </c>
      <c r="H35" s="6">
        <f t="shared" si="31"/>
        <v>82609.591670038688</v>
      </c>
      <c r="I35" s="6">
        <f t="shared" si="22"/>
        <v>1361531.1905725366</v>
      </c>
      <c r="J35" s="63">
        <f t="shared" si="23"/>
        <v>-1361531.1905725366</v>
      </c>
      <c r="K35" s="63">
        <f t="shared" si="9"/>
        <v>6884.1326391698904</v>
      </c>
      <c r="L35" s="6">
        <f t="shared" si="10"/>
        <v>7634.4629216746771</v>
      </c>
      <c r="M35" s="6">
        <f t="shared" si="11"/>
        <v>5612.7068376342213</v>
      </c>
      <c r="N35" s="6">
        <f t="shared" si="12"/>
        <v>36939.845565042793</v>
      </c>
      <c r="O35" s="6">
        <f t="shared" si="32"/>
        <v>0</v>
      </c>
      <c r="P35" s="6">
        <f t="shared" si="24"/>
        <v>0</v>
      </c>
      <c r="Q35" s="6">
        <f t="shared" si="13"/>
        <v>0</v>
      </c>
      <c r="R35" s="6">
        <f t="shared" si="14"/>
        <v>0</v>
      </c>
      <c r="S35" s="6">
        <f t="shared" si="15"/>
        <v>0</v>
      </c>
      <c r="T35" s="68">
        <f t="shared" si="0"/>
        <v>4182.2512770293079</v>
      </c>
      <c r="U35" s="6">
        <f t="shared" si="1"/>
        <v>2701.8813621405825</v>
      </c>
      <c r="V35" s="6">
        <f t="shared" si="16"/>
        <v>50187.015324351698</v>
      </c>
      <c r="W35" s="68">
        <f t="shared" si="25"/>
        <v>1146797.5608206105</v>
      </c>
      <c r="X35" s="6">
        <f t="shared" si="17"/>
        <v>32422.57634568699</v>
      </c>
      <c r="Y35" s="6">
        <f t="shared" si="26"/>
        <v>214733.62975192626</v>
      </c>
      <c r="Z35" s="79">
        <f t="shared" si="18"/>
        <v>-154539.11444500159</v>
      </c>
      <c r="AA35" s="6">
        <f t="shared" si="19"/>
        <v>154539.11444500159</v>
      </c>
      <c r="AB35" s="93">
        <f t="shared" si="2"/>
        <v>1273042.2524101178</v>
      </c>
      <c r="AC35" s="7">
        <f t="shared" si="3"/>
        <v>0.89174759629607492</v>
      </c>
      <c r="AD35" s="6">
        <f t="shared" si="20"/>
        <v>-23750</v>
      </c>
      <c r="AE35" s="6">
        <f t="shared" si="27"/>
        <v>190983.62975192626</v>
      </c>
      <c r="AF35" s="68">
        <f t="shared" si="28"/>
        <v>102494.69158950727</v>
      </c>
      <c r="AG35" s="93">
        <f t="shared" si="29"/>
        <v>1464025.8821620438</v>
      </c>
      <c r="AH35" s="85">
        <f t="shared" si="30"/>
        <v>116304.73974499991</v>
      </c>
      <c r="AJ35" s="85"/>
      <c r="AL35" s="85"/>
    </row>
    <row r="36" spans="2:38" x14ac:dyDescent="0.25">
      <c r="B36" s="94">
        <f t="shared" si="21"/>
        <v>26</v>
      </c>
      <c r="C36" s="73">
        <f t="shared" si="4"/>
        <v>1491822.5283635997</v>
      </c>
      <c r="D36" s="8">
        <f t="shared" si="5"/>
        <v>7063.9283175729252</v>
      </c>
      <c r="E36" s="8">
        <f t="shared" si="6"/>
        <v>84767.139810875116</v>
      </c>
      <c r="F36" s="8">
        <f t="shared" si="7"/>
        <v>61.148963967909637</v>
      </c>
      <c r="G36" s="8">
        <f t="shared" si="8"/>
        <v>733.78756761491559</v>
      </c>
      <c r="H36" s="8">
        <f t="shared" si="31"/>
        <v>85500.927378490029</v>
      </c>
      <c r="I36" s="8">
        <f t="shared" si="22"/>
        <v>1444140.7822425752</v>
      </c>
      <c r="J36" s="64">
        <f t="shared" si="23"/>
        <v>-1444140.7822425752</v>
      </c>
      <c r="K36" s="64">
        <f t="shared" si="9"/>
        <v>7125.0772815408354</v>
      </c>
      <c r="L36" s="8">
        <f t="shared" si="10"/>
        <v>7901.6691239332904</v>
      </c>
      <c r="M36" s="8">
        <f t="shared" si="11"/>
        <v>5809.151576951419</v>
      </c>
      <c r="N36" s="8">
        <f t="shared" si="12"/>
        <v>36939.845565042793</v>
      </c>
      <c r="O36" s="8">
        <f t="shared" si="32"/>
        <v>0</v>
      </c>
      <c r="P36" s="8">
        <f t="shared" si="24"/>
        <v>0</v>
      </c>
      <c r="Q36" s="8">
        <f t="shared" si="13"/>
        <v>0</v>
      </c>
      <c r="R36" s="8">
        <f t="shared" si="14"/>
        <v>0</v>
      </c>
      <c r="S36" s="8">
        <f t="shared" si="15"/>
        <v>0</v>
      </c>
      <c r="T36" s="69">
        <f t="shared" si="0"/>
        <v>4220.8888554939585</v>
      </c>
      <c r="U36" s="8">
        <f t="shared" si="1"/>
        <v>2904.1884260468769</v>
      </c>
      <c r="V36" s="8">
        <f t="shared" si="16"/>
        <v>50650.666265927503</v>
      </c>
      <c r="W36" s="69">
        <f t="shared" si="25"/>
        <v>1196984.5761449621</v>
      </c>
      <c r="X36" s="8">
        <f t="shared" si="17"/>
        <v>34850.261112562526</v>
      </c>
      <c r="Y36" s="8">
        <f t="shared" si="26"/>
        <v>247156.20609761326</v>
      </c>
      <c r="Z36" s="80">
        <f t="shared" si="18"/>
        <v>-127930.71809966222</v>
      </c>
      <c r="AA36" s="8">
        <f t="shared" si="19"/>
        <v>127930.71809966222</v>
      </c>
      <c r="AB36" s="95">
        <f t="shared" si="2"/>
        <v>1363891.8102639373</v>
      </c>
      <c r="AC36" s="9">
        <f t="shared" si="3"/>
        <v>0.91424535045734212</v>
      </c>
      <c r="AD36" s="8">
        <f t="shared" si="20"/>
        <v>-23750</v>
      </c>
      <c r="AE36" s="8">
        <f t="shared" si="27"/>
        <v>223406.20609761326</v>
      </c>
      <c r="AF36" s="69">
        <f t="shared" si="28"/>
        <v>143157.23411897523</v>
      </c>
      <c r="AG36" s="95">
        <f t="shared" si="29"/>
        <v>1587298.0163615504</v>
      </c>
      <c r="AH36" s="96">
        <f t="shared" si="30"/>
        <v>123272.1341995066</v>
      </c>
      <c r="AJ36" s="85"/>
      <c r="AL36" s="85"/>
    </row>
    <row r="37" spans="2:38" x14ac:dyDescent="0.25">
      <c r="B37" s="94">
        <f t="shared" si="21"/>
        <v>27</v>
      </c>
      <c r="C37" s="73">
        <f t="shared" si="4"/>
        <v>1558954.5421399616</v>
      </c>
      <c r="D37" s="8">
        <f t="shared" si="5"/>
        <v>7311.165808687977</v>
      </c>
      <c r="E37" s="8">
        <f t="shared" si="6"/>
        <v>87733.989704255742</v>
      </c>
      <c r="F37" s="8">
        <f t="shared" si="7"/>
        <v>63.289177706786468</v>
      </c>
      <c r="G37" s="8">
        <f t="shared" si="8"/>
        <v>759.47013248143764</v>
      </c>
      <c r="H37" s="8">
        <f t="shared" si="31"/>
        <v>88493.45983673718</v>
      </c>
      <c r="I37" s="8">
        <f t="shared" si="22"/>
        <v>1529641.7096210653</v>
      </c>
      <c r="J37" s="64">
        <f t="shared" si="23"/>
        <v>-1529641.7096210653</v>
      </c>
      <c r="K37" s="64">
        <f t="shared" si="9"/>
        <v>7374.454986394765</v>
      </c>
      <c r="L37" s="8">
        <f t="shared" si="10"/>
        <v>8178.2275432709548</v>
      </c>
      <c r="M37" s="8">
        <f t="shared" si="11"/>
        <v>6012.4718821447186</v>
      </c>
      <c r="N37" s="8">
        <f t="shared" si="12"/>
        <v>36939.845565042793</v>
      </c>
      <c r="O37" s="8">
        <f t="shared" si="32"/>
        <v>0</v>
      </c>
      <c r="P37" s="8">
        <f t="shared" si="24"/>
        <v>0</v>
      </c>
      <c r="Q37" s="8">
        <f t="shared" si="13"/>
        <v>0</v>
      </c>
      <c r="R37" s="8">
        <f t="shared" si="14"/>
        <v>0</v>
      </c>
      <c r="S37" s="8">
        <f t="shared" si="15"/>
        <v>0</v>
      </c>
      <c r="T37" s="69">
        <f t="shared" si="0"/>
        <v>4260.8787492048723</v>
      </c>
      <c r="U37" s="8">
        <f t="shared" si="1"/>
        <v>3113.5762371898927</v>
      </c>
      <c r="V37" s="8">
        <f t="shared" si="16"/>
        <v>51130.544990458468</v>
      </c>
      <c r="W37" s="69">
        <f t="shared" si="25"/>
        <v>1247635.2424108896</v>
      </c>
      <c r="X37" s="8">
        <f t="shared" si="17"/>
        <v>37362.914846278713</v>
      </c>
      <c r="Y37" s="8">
        <f t="shared" si="26"/>
        <v>282006.46721017582</v>
      </c>
      <c r="Z37" s="80">
        <f t="shared" si="18"/>
        <v>-99327.801667164342</v>
      </c>
      <c r="AA37" s="8">
        <f t="shared" si="19"/>
        <v>99327.801667164342</v>
      </c>
      <c r="AB37" s="95">
        <f t="shared" si="2"/>
        <v>1459626.7404727973</v>
      </c>
      <c r="AC37" s="9">
        <f t="shared" si="3"/>
        <v>0.9362856331071604</v>
      </c>
      <c r="AD37" s="8">
        <f t="shared" si="20"/>
        <v>-23750</v>
      </c>
      <c r="AE37" s="8">
        <f t="shared" si="27"/>
        <v>258256.46721017582</v>
      </c>
      <c r="AF37" s="69">
        <f t="shared" si="28"/>
        <v>188241.49806190771</v>
      </c>
      <c r="AG37" s="95">
        <f t="shared" si="29"/>
        <v>1717883.207682973</v>
      </c>
      <c r="AH37" s="96">
        <f t="shared" si="30"/>
        <v>130585.19132142258</v>
      </c>
      <c r="AJ37" s="85"/>
      <c r="AL37" s="85"/>
    </row>
    <row r="38" spans="2:38" x14ac:dyDescent="0.25">
      <c r="B38" s="94">
        <f t="shared" si="21"/>
        <v>28</v>
      </c>
      <c r="C38" s="73">
        <f t="shared" si="4"/>
        <v>1629107.4965362598</v>
      </c>
      <c r="D38" s="8">
        <f t="shared" si="5"/>
        <v>7567.0566119920559</v>
      </c>
      <c r="E38" s="8">
        <f t="shared" si="6"/>
        <v>90804.679343904689</v>
      </c>
      <c r="F38" s="8">
        <f t="shared" si="7"/>
        <v>65.504298926523987</v>
      </c>
      <c r="G38" s="8">
        <f t="shared" si="8"/>
        <v>786.0515871182879</v>
      </c>
      <c r="H38" s="8">
        <f t="shared" si="31"/>
        <v>91590.730931022976</v>
      </c>
      <c r="I38" s="8">
        <f t="shared" si="22"/>
        <v>1618135.1694578025</v>
      </c>
      <c r="J38" s="64">
        <f t="shared" si="23"/>
        <v>-1618135.1694578025</v>
      </c>
      <c r="K38" s="64">
        <f t="shared" si="9"/>
        <v>7632.5609109185816</v>
      </c>
      <c r="L38" s="8">
        <f t="shared" si="10"/>
        <v>8464.4655072854384</v>
      </c>
      <c r="M38" s="8">
        <f t="shared" si="11"/>
        <v>6222.9083980197829</v>
      </c>
      <c r="N38" s="8">
        <f t="shared" si="12"/>
        <v>36939.845565042793</v>
      </c>
      <c r="O38" s="8">
        <f t="shared" si="32"/>
        <v>0</v>
      </c>
      <c r="P38" s="8">
        <f t="shared" si="24"/>
        <v>0</v>
      </c>
      <c r="Q38" s="8">
        <f t="shared" si="13"/>
        <v>0</v>
      </c>
      <c r="R38" s="8">
        <f t="shared" si="14"/>
        <v>0</v>
      </c>
      <c r="S38" s="8">
        <f t="shared" si="15"/>
        <v>0</v>
      </c>
      <c r="T38" s="69">
        <f t="shared" si="0"/>
        <v>4302.2682891956674</v>
      </c>
      <c r="U38" s="8">
        <f t="shared" si="1"/>
        <v>3330.2926217229142</v>
      </c>
      <c r="V38" s="8">
        <f t="shared" si="16"/>
        <v>51627.219470348005</v>
      </c>
      <c r="W38" s="69">
        <f t="shared" si="25"/>
        <v>1298765.7874013481</v>
      </c>
      <c r="X38" s="8">
        <f t="shared" si="17"/>
        <v>39963.51146067497</v>
      </c>
      <c r="Y38" s="8">
        <f t="shared" si="26"/>
        <v>319369.38205645455</v>
      </c>
      <c r="Z38" s="80">
        <f t="shared" si="18"/>
        <v>-68580.859317601891</v>
      </c>
      <c r="AA38" s="8">
        <f t="shared" si="19"/>
        <v>68580.859317601891</v>
      </c>
      <c r="AB38" s="95">
        <f t="shared" si="2"/>
        <v>1560526.6372186579</v>
      </c>
      <c r="AC38" s="9">
        <f t="shared" si="3"/>
        <v>0.95790280293754981</v>
      </c>
      <c r="AD38" s="8">
        <f t="shared" si="20"/>
        <v>-23750</v>
      </c>
      <c r="AE38" s="8">
        <f t="shared" si="27"/>
        <v>295619.38205645455</v>
      </c>
      <c r="AF38" s="69">
        <f t="shared" si="28"/>
        <v>238010.84981730976</v>
      </c>
      <c r="AG38" s="95">
        <f t="shared" si="29"/>
        <v>1856146.0192751123</v>
      </c>
      <c r="AH38" s="96">
        <f t="shared" si="30"/>
        <v>138262.8115921393</v>
      </c>
      <c r="AJ38" s="85"/>
      <c r="AL38" s="85"/>
    </row>
    <row r="39" spans="2:38" x14ac:dyDescent="0.25">
      <c r="B39" s="94">
        <f t="shared" si="21"/>
        <v>29</v>
      </c>
      <c r="C39" s="73">
        <f t="shared" si="4"/>
        <v>1702417.3338803914</v>
      </c>
      <c r="D39" s="8">
        <f t="shared" si="5"/>
        <v>7831.9035934117774</v>
      </c>
      <c r="E39" s="8">
        <f t="shared" si="6"/>
        <v>93982.843120941339</v>
      </c>
      <c r="F39" s="8">
        <f t="shared" si="7"/>
        <v>67.796949388952328</v>
      </c>
      <c r="G39" s="8">
        <f t="shared" si="8"/>
        <v>813.56339266742793</v>
      </c>
      <c r="H39" s="8">
        <f t="shared" si="31"/>
        <v>94796.406513608774</v>
      </c>
      <c r="I39" s="8">
        <f t="shared" si="22"/>
        <v>1709725.9003888255</v>
      </c>
      <c r="J39" s="64">
        <f t="shared" si="23"/>
        <v>-1709725.9003888255</v>
      </c>
      <c r="K39" s="64">
        <f t="shared" si="9"/>
        <v>7899.7005428007315</v>
      </c>
      <c r="L39" s="8">
        <f t="shared" si="10"/>
        <v>8760.7218000404282</v>
      </c>
      <c r="M39" s="8">
        <f t="shared" si="11"/>
        <v>6440.7101919504748</v>
      </c>
      <c r="N39" s="8">
        <f t="shared" si="12"/>
        <v>36939.845565042793</v>
      </c>
      <c r="O39" s="8">
        <f t="shared" si="32"/>
        <v>0</v>
      </c>
      <c r="P39" s="8">
        <f t="shared" si="24"/>
        <v>0</v>
      </c>
      <c r="Q39" s="8">
        <f t="shared" si="13"/>
        <v>0</v>
      </c>
      <c r="R39" s="8">
        <f t="shared" si="14"/>
        <v>0</v>
      </c>
      <c r="S39" s="8">
        <f t="shared" si="15"/>
        <v>0</v>
      </c>
      <c r="T39" s="69">
        <f t="shared" si="0"/>
        <v>4345.106463086141</v>
      </c>
      <c r="U39" s="8">
        <f t="shared" si="1"/>
        <v>3554.5940797145904</v>
      </c>
      <c r="V39" s="8">
        <f t="shared" si="16"/>
        <v>52141.277557033696</v>
      </c>
      <c r="W39" s="69">
        <f t="shared" si="25"/>
        <v>1350393.0068716961</v>
      </c>
      <c r="X39" s="8">
        <f t="shared" si="17"/>
        <v>42655.128956575078</v>
      </c>
      <c r="Y39" s="8">
        <f t="shared" si="26"/>
        <v>359332.89351712953</v>
      </c>
      <c r="Z39" s="80">
        <f t="shared" si="18"/>
        <v>-35529.178518604531</v>
      </c>
      <c r="AA39" s="8">
        <f t="shared" si="19"/>
        <v>35529.178518604531</v>
      </c>
      <c r="AB39" s="95">
        <f t="shared" si="2"/>
        <v>1666888.155361787</v>
      </c>
      <c r="AC39" s="9">
        <f t="shared" si="3"/>
        <v>0.97913015932607939</v>
      </c>
      <c r="AD39" s="8">
        <f t="shared" si="20"/>
        <v>-23750</v>
      </c>
      <c r="AE39" s="8">
        <f t="shared" si="27"/>
        <v>335582.89351712953</v>
      </c>
      <c r="AF39" s="69">
        <f t="shared" si="28"/>
        <v>292745.14849009085</v>
      </c>
      <c r="AG39" s="95">
        <f>AF39-J39</f>
        <v>2002471.0488789163</v>
      </c>
      <c r="AH39" s="96">
        <f t="shared" si="30"/>
        <v>146325.029603804</v>
      </c>
      <c r="AJ39" s="85"/>
      <c r="AL39" s="85"/>
    </row>
    <row r="40" spans="2:38" x14ac:dyDescent="0.25">
      <c r="B40" s="94">
        <f t="shared" si="21"/>
        <v>30</v>
      </c>
      <c r="C40" s="73">
        <f t="shared" si="4"/>
        <v>1779026.1139050089</v>
      </c>
      <c r="D40" s="8">
        <f t="shared" si="5"/>
        <v>8106.0202191811886</v>
      </c>
      <c r="E40" s="8">
        <f t="shared" si="6"/>
        <v>97272.242630174282</v>
      </c>
      <c r="F40" s="8">
        <f t="shared" si="7"/>
        <v>70.169842617565649</v>
      </c>
      <c r="G40" s="8">
        <f t="shared" si="8"/>
        <v>842.03811141078779</v>
      </c>
      <c r="H40" s="8">
        <f t="shared" si="31"/>
        <v>98114.280741585069</v>
      </c>
      <c r="I40" s="8">
        <f t="shared" si="22"/>
        <v>1804522.3069024342</v>
      </c>
      <c r="J40" s="64">
        <f t="shared" si="23"/>
        <v>-1804522.3069024342</v>
      </c>
      <c r="K40" s="64">
        <f t="shared" si="9"/>
        <v>8176.1900617987558</v>
      </c>
      <c r="L40" s="8">
        <f t="shared" si="10"/>
        <v>9067.3470630418433</v>
      </c>
      <c r="M40" s="8">
        <f t="shared" si="11"/>
        <v>6666.1350486687406</v>
      </c>
      <c r="N40" s="8">
        <f t="shared" si="12"/>
        <v>36939.845565042793</v>
      </c>
      <c r="O40" s="8">
        <f t="shared" si="32"/>
        <v>0</v>
      </c>
      <c r="P40" s="8">
        <f t="shared" si="24"/>
        <v>0</v>
      </c>
      <c r="Q40" s="8">
        <f t="shared" si="13"/>
        <v>0</v>
      </c>
      <c r="R40" s="8">
        <f t="shared" si="14"/>
        <v>0</v>
      </c>
      <c r="S40" s="8">
        <f t="shared" si="15"/>
        <v>0</v>
      </c>
      <c r="T40" s="69">
        <f t="shared" si="0"/>
        <v>4389.443973062781</v>
      </c>
      <c r="U40" s="8">
        <f t="shared" si="1"/>
        <v>3786.7460887359748</v>
      </c>
      <c r="V40" s="8">
        <f t="shared" si="16"/>
        <v>52673.327676753368</v>
      </c>
      <c r="W40" s="69">
        <f t="shared" si="25"/>
        <v>1402534.2844287297</v>
      </c>
      <c r="X40" s="8">
        <f t="shared" si="17"/>
        <v>45440.953064831701</v>
      </c>
      <c r="Y40" s="8">
        <f t="shared" si="26"/>
        <v>401988.02247370459</v>
      </c>
      <c r="Z40" s="80">
        <f t="shared" si="18"/>
        <v>-1.1423253454267979E-9</v>
      </c>
      <c r="AA40" s="8">
        <f t="shared" si="19"/>
        <v>1.1423253454267979E-9</v>
      </c>
      <c r="AB40" s="95">
        <f t="shared" si="2"/>
        <v>1779026.1139050077</v>
      </c>
      <c r="AC40" s="9">
        <f t="shared" si="3"/>
        <v>0.99999999999999933</v>
      </c>
      <c r="AD40" s="8">
        <f t="shared" si="20"/>
        <v>-23750</v>
      </c>
      <c r="AE40" s="8">
        <f t="shared" si="27"/>
        <v>378238.02247370459</v>
      </c>
      <c r="AF40" s="69">
        <f t="shared" si="28"/>
        <v>352741.82947627804</v>
      </c>
      <c r="AG40" s="95">
        <f>AF40-J40</f>
        <v>2157264.136378712</v>
      </c>
      <c r="AH40" s="96">
        <f>AG40-AG39</f>
        <v>154793.08749979571</v>
      </c>
      <c r="AJ40" s="85"/>
      <c r="AL40" s="85"/>
    </row>
    <row r="41" spans="2:38" x14ac:dyDescent="0.25">
      <c r="B41" s="10">
        <f t="shared" si="21"/>
        <v>31</v>
      </c>
      <c r="C41" s="72">
        <f t="shared" si="4"/>
        <v>1859082.2890307342</v>
      </c>
      <c r="D41" s="6">
        <f t="shared" si="5"/>
        <v>8389.7309268525296</v>
      </c>
      <c r="E41" s="6">
        <f t="shared" si="6"/>
        <v>100676.77112223038</v>
      </c>
      <c r="F41" s="6">
        <f t="shared" si="7"/>
        <v>72.625787109180436</v>
      </c>
      <c r="G41" s="6">
        <f t="shared" si="8"/>
        <v>871.50944531016523</v>
      </c>
      <c r="H41" s="6">
        <f t="shared" si="31"/>
        <v>101548.28056754054</v>
      </c>
      <c r="I41" s="6">
        <f t="shared" si="22"/>
        <v>1902636.5876440192</v>
      </c>
      <c r="J41" s="63">
        <f t="shared" si="23"/>
        <v>-1902636.5876440192</v>
      </c>
      <c r="K41" s="63">
        <f t="shared" si="9"/>
        <v>8462.3567139617116</v>
      </c>
      <c r="L41" s="6">
        <f t="shared" si="10"/>
        <v>9384.7042102483065</v>
      </c>
      <c r="M41" s="6">
        <f t="shared" si="11"/>
        <v>6899.4497753721462</v>
      </c>
      <c r="N41" s="6">
        <f t="shared" si="12"/>
        <v>0</v>
      </c>
      <c r="O41" s="6">
        <f t="shared" si="32"/>
        <v>0</v>
      </c>
      <c r="P41" s="6">
        <f t="shared" si="24"/>
        <v>0</v>
      </c>
      <c r="Q41" s="6">
        <f t="shared" si="13"/>
        <v>0</v>
      </c>
      <c r="R41" s="6">
        <f t="shared" si="14"/>
        <v>0</v>
      </c>
      <c r="S41" s="6">
        <f t="shared" si="15"/>
        <v>0</v>
      </c>
      <c r="T41" s="68">
        <f t="shared" si="0"/>
        <v>1357.0128321350378</v>
      </c>
      <c r="U41" s="6">
        <f t="shared" si="1"/>
        <v>7105.3438818266741</v>
      </c>
      <c r="V41" s="6">
        <f t="shared" si="16"/>
        <v>16284.153985620454</v>
      </c>
      <c r="W41" s="68">
        <f t="shared" si="25"/>
        <v>1455207.612105483</v>
      </c>
      <c r="X41" s="6">
        <f t="shared" si="17"/>
        <v>85264.126581920078</v>
      </c>
      <c r="Y41" s="6">
        <f t="shared" si="26"/>
        <v>447428.97553853632</v>
      </c>
      <c r="Z41" s="79">
        <f t="shared" si="18"/>
        <v>0</v>
      </c>
      <c r="AA41" s="6">
        <f t="shared" si="19"/>
        <v>0</v>
      </c>
      <c r="AB41" s="93">
        <f t="shared" si="2"/>
        <v>1859082.2890307342</v>
      </c>
      <c r="AC41" s="7">
        <f t="shared" si="3"/>
        <v>1</v>
      </c>
      <c r="AD41" s="6">
        <f t="shared" si="20"/>
        <v>-23750</v>
      </c>
      <c r="AE41" s="6">
        <f t="shared" si="27"/>
        <v>423678.97553853632</v>
      </c>
      <c r="AF41" s="68">
        <f t="shared" si="28"/>
        <v>380124.67692525126</v>
      </c>
      <c r="AG41" s="93">
        <f t="shared" si="29"/>
        <v>2282761.2645692704</v>
      </c>
      <c r="AH41" s="85">
        <f>AG41-AG40</f>
        <v>125497.1281905584</v>
      </c>
      <c r="AJ41" s="85"/>
      <c r="AL41" s="85"/>
    </row>
    <row r="42" spans="2:38" x14ac:dyDescent="0.25">
      <c r="B42" s="10">
        <f t="shared" si="21"/>
        <v>32</v>
      </c>
      <c r="C42" s="72">
        <f t="shared" si="4"/>
        <v>1942740.992037117</v>
      </c>
      <c r="D42" s="6">
        <f t="shared" si="5"/>
        <v>8683.3715092923667</v>
      </c>
      <c r="E42" s="6">
        <f t="shared" si="6"/>
        <v>104200.45811150843</v>
      </c>
      <c r="F42" s="6">
        <f t="shared" si="7"/>
        <v>75.167689658001748</v>
      </c>
      <c r="G42" s="6">
        <f t="shared" si="8"/>
        <v>902.01227589602104</v>
      </c>
      <c r="H42" s="6">
        <f t="shared" si="31"/>
        <v>105102.47038740445</v>
      </c>
      <c r="I42" s="6">
        <f t="shared" si="22"/>
        <v>2004184.8682115597</v>
      </c>
      <c r="J42" s="63">
        <f t="shared" si="23"/>
        <v>-2004184.8682115597</v>
      </c>
      <c r="K42" s="63">
        <f t="shared" si="9"/>
        <v>8758.5391989503714</v>
      </c>
      <c r="L42" s="6">
        <f t="shared" si="10"/>
        <v>9713.1688576069973</v>
      </c>
      <c r="M42" s="6">
        <f t="shared" si="11"/>
        <v>7140.9305175101708</v>
      </c>
      <c r="N42" s="6">
        <f t="shared" si="12"/>
        <v>0</v>
      </c>
      <c r="O42" s="6">
        <f t="shared" si="32"/>
        <v>0</v>
      </c>
      <c r="P42" s="6">
        <f t="shared" si="24"/>
        <v>0</v>
      </c>
      <c r="Q42" s="6">
        <f t="shared" si="13"/>
        <v>0</v>
      </c>
      <c r="R42" s="6">
        <f t="shared" si="14"/>
        <v>0</v>
      </c>
      <c r="S42" s="6">
        <f t="shared" si="15"/>
        <v>0</v>
      </c>
      <c r="T42" s="68">
        <f t="shared" si="0"/>
        <v>1404.5082812597641</v>
      </c>
      <c r="U42" s="6">
        <f t="shared" si="1"/>
        <v>7354.0309176906076</v>
      </c>
      <c r="V42" s="6">
        <f t="shared" si="16"/>
        <v>16854.09937511717</v>
      </c>
      <c r="W42" s="68">
        <f t="shared" si="25"/>
        <v>1471491.7660911034</v>
      </c>
      <c r="X42" s="6">
        <f t="shared" si="17"/>
        <v>88248.371012287273</v>
      </c>
      <c r="Y42" s="6">
        <f t="shared" si="26"/>
        <v>532693.1021204564</v>
      </c>
      <c r="Z42" s="79">
        <f t="shared" si="18"/>
        <v>0</v>
      </c>
      <c r="AA42" s="6">
        <f t="shared" si="19"/>
        <v>0</v>
      </c>
      <c r="AB42" s="93">
        <f t="shared" si="2"/>
        <v>1942740.992037117</v>
      </c>
      <c r="AC42" s="7">
        <f t="shared" si="3"/>
        <v>1</v>
      </c>
      <c r="AD42" s="6">
        <f t="shared" si="20"/>
        <v>-23750</v>
      </c>
      <c r="AE42" s="6">
        <f t="shared" si="27"/>
        <v>508943.1021204564</v>
      </c>
      <c r="AF42" s="68">
        <f t="shared" si="28"/>
        <v>447499.22594601358</v>
      </c>
      <c r="AG42" s="93">
        <f t="shared" si="29"/>
        <v>2451684.0941575733</v>
      </c>
      <c r="AH42" s="85">
        <f t="shared" si="30"/>
        <v>168922.82958830288</v>
      </c>
      <c r="AJ42" s="85"/>
      <c r="AL42" s="85"/>
    </row>
    <row r="43" spans="2:38" x14ac:dyDescent="0.25">
      <c r="B43" s="10">
        <f t="shared" si="21"/>
        <v>33</v>
      </c>
      <c r="C43" s="72">
        <f t="shared" si="4"/>
        <v>2030164.3366787871</v>
      </c>
      <c r="D43" s="6">
        <f t="shared" si="5"/>
        <v>8987.2895121175989</v>
      </c>
      <c r="E43" s="6">
        <f t="shared" si="6"/>
        <v>107847.47414541122</v>
      </c>
      <c r="F43" s="6">
        <f t="shared" si="7"/>
        <v>77.798558796031799</v>
      </c>
      <c r="G43" s="6">
        <f t="shared" si="8"/>
        <v>933.58270555238164</v>
      </c>
      <c r="H43" s="6">
        <f t="shared" si="31"/>
        <v>108781.05685096361</v>
      </c>
      <c r="I43" s="6">
        <f t="shared" si="22"/>
        <v>2109287.3385989643</v>
      </c>
      <c r="J43" s="63">
        <f t="shared" si="23"/>
        <v>-2109287.3385989643</v>
      </c>
      <c r="K43" s="63">
        <f t="shared" si="9"/>
        <v>9065.0880709136345</v>
      </c>
      <c r="L43" s="6">
        <f t="shared" si="10"/>
        <v>10053.129767623241</v>
      </c>
      <c r="M43" s="6">
        <f t="shared" si="11"/>
        <v>7390.8630856230266</v>
      </c>
      <c r="N43" s="6">
        <f t="shared" si="12"/>
        <v>0</v>
      </c>
      <c r="O43" s="6">
        <f t="shared" si="32"/>
        <v>0</v>
      </c>
      <c r="P43" s="6">
        <f t="shared" si="24"/>
        <v>0</v>
      </c>
      <c r="Q43" s="6">
        <f t="shared" si="13"/>
        <v>0</v>
      </c>
      <c r="R43" s="6">
        <f t="shared" si="14"/>
        <v>0</v>
      </c>
      <c r="S43" s="6">
        <f t="shared" si="15"/>
        <v>0</v>
      </c>
      <c r="T43" s="68">
        <f t="shared" si="0"/>
        <v>1453.6660711038555</v>
      </c>
      <c r="U43" s="6">
        <f t="shared" si="1"/>
        <v>7611.4219998097788</v>
      </c>
      <c r="V43" s="6">
        <f t="shared" si="16"/>
        <v>17443.992853246265</v>
      </c>
      <c r="W43" s="68">
        <f t="shared" si="25"/>
        <v>1488345.8654662205</v>
      </c>
      <c r="X43" s="6">
        <f t="shared" si="17"/>
        <v>91337.063997717341</v>
      </c>
      <c r="Y43" s="6">
        <f t="shared" si="26"/>
        <v>620941.47313274373</v>
      </c>
      <c r="Z43" s="79">
        <f t="shared" si="18"/>
        <v>0</v>
      </c>
      <c r="AA43" s="6">
        <f t="shared" si="19"/>
        <v>0</v>
      </c>
      <c r="AB43" s="93">
        <f t="shared" si="2"/>
        <v>2030164.3366787871</v>
      </c>
      <c r="AC43" s="7">
        <f t="shared" si="3"/>
        <v>1</v>
      </c>
      <c r="AD43" s="6">
        <f t="shared" si="20"/>
        <v>-23750</v>
      </c>
      <c r="AE43" s="6">
        <f t="shared" si="27"/>
        <v>597191.47313274373</v>
      </c>
      <c r="AF43" s="68">
        <f t="shared" si="28"/>
        <v>518068.4712125666</v>
      </c>
      <c r="AG43" s="93">
        <f t="shared" si="29"/>
        <v>2627355.8098115306</v>
      </c>
      <c r="AH43" s="85">
        <f t="shared" si="30"/>
        <v>175671.71565395733</v>
      </c>
      <c r="AJ43" s="85"/>
      <c r="AL43" s="85"/>
    </row>
    <row r="44" spans="2:38" x14ac:dyDescent="0.25">
      <c r="B44" s="10">
        <f t="shared" si="21"/>
        <v>34</v>
      </c>
      <c r="C44" s="72">
        <f t="shared" si="4"/>
        <v>2121521.7318293322</v>
      </c>
      <c r="D44" s="6">
        <f t="shared" si="5"/>
        <v>9301.8446450417141</v>
      </c>
      <c r="E44" s="6">
        <f t="shared" si="6"/>
        <v>111622.13574050061</v>
      </c>
      <c r="F44" s="6">
        <f t="shared" si="7"/>
        <v>80.521508353892912</v>
      </c>
      <c r="G44" s="6">
        <f t="shared" si="8"/>
        <v>966.258100246715</v>
      </c>
      <c r="H44" s="6">
        <f t="shared" si="31"/>
        <v>112588.39384074733</v>
      </c>
      <c r="I44" s="6">
        <f t="shared" si="22"/>
        <v>2218068.395449928</v>
      </c>
      <c r="J44" s="63">
        <f t="shared" si="23"/>
        <v>-2218068.395449928</v>
      </c>
      <c r="K44" s="63">
        <f t="shared" si="9"/>
        <v>9382.366153395611</v>
      </c>
      <c r="L44" s="6">
        <f t="shared" si="10"/>
        <v>10404.989309490053</v>
      </c>
      <c r="M44" s="6">
        <f t="shared" si="11"/>
        <v>7649.5432936198322</v>
      </c>
      <c r="N44" s="6">
        <f t="shared" si="12"/>
        <v>0</v>
      </c>
      <c r="O44" s="6">
        <f t="shared" si="32"/>
        <v>0</v>
      </c>
      <c r="P44" s="6">
        <f t="shared" si="24"/>
        <v>0</v>
      </c>
      <c r="Q44" s="6">
        <f t="shared" si="13"/>
        <v>0</v>
      </c>
      <c r="R44" s="6">
        <f t="shared" si="14"/>
        <v>0</v>
      </c>
      <c r="S44" s="6">
        <f t="shared" si="15"/>
        <v>0</v>
      </c>
      <c r="T44" s="68">
        <f t="shared" si="0"/>
        <v>1504.5443835924905</v>
      </c>
      <c r="U44" s="6">
        <f t="shared" si="1"/>
        <v>7877.8217698031203</v>
      </c>
      <c r="V44" s="6">
        <f t="shared" si="16"/>
        <v>18054.532603109885</v>
      </c>
      <c r="W44" s="68">
        <f t="shared" si="25"/>
        <v>1505789.8583194667</v>
      </c>
      <c r="X44" s="6">
        <f t="shared" si="17"/>
        <v>94533.861237637451</v>
      </c>
      <c r="Y44" s="6">
        <f t="shared" si="26"/>
        <v>712278.53713046107</v>
      </c>
      <c r="Z44" s="79">
        <f t="shared" si="18"/>
        <v>0</v>
      </c>
      <c r="AA44" s="6">
        <f t="shared" si="19"/>
        <v>0</v>
      </c>
      <c r="AB44" s="93">
        <f t="shared" si="2"/>
        <v>2121521.7318293322</v>
      </c>
      <c r="AC44" s="7">
        <f t="shared" si="3"/>
        <v>1</v>
      </c>
      <c r="AD44" s="6">
        <f t="shared" si="20"/>
        <v>-23750</v>
      </c>
      <c r="AE44" s="6">
        <f t="shared" si="27"/>
        <v>688528.53713046107</v>
      </c>
      <c r="AF44" s="68">
        <f t="shared" si="28"/>
        <v>591981.87350986549</v>
      </c>
      <c r="AG44" s="93">
        <f t="shared" si="29"/>
        <v>2810050.2689597933</v>
      </c>
      <c r="AH44" s="85">
        <f t="shared" si="30"/>
        <v>182694.45914826263</v>
      </c>
      <c r="AJ44" s="85"/>
      <c r="AL44" s="85"/>
    </row>
    <row r="45" spans="2:38" ht="15.75" thickBot="1" x14ac:dyDescent="0.3">
      <c r="B45" s="10">
        <f t="shared" si="21"/>
        <v>35</v>
      </c>
      <c r="C45" s="74">
        <f t="shared" si="4"/>
        <v>2216990.2097616522</v>
      </c>
      <c r="D45" s="6">
        <f t="shared" si="5"/>
        <v>9627.4092076181732</v>
      </c>
      <c r="E45" s="6">
        <f t="shared" si="6"/>
        <v>115528.91049141812</v>
      </c>
      <c r="F45" s="6">
        <f t="shared" si="7"/>
        <v>83.339761146279159</v>
      </c>
      <c r="G45" s="6">
        <f t="shared" si="8"/>
        <v>1000.0771337553499</v>
      </c>
      <c r="H45" s="6">
        <f t="shared" si="31"/>
        <v>116528.98762517347</v>
      </c>
      <c r="I45" s="6">
        <f t="shared" si="22"/>
        <v>2330656.7892906754</v>
      </c>
      <c r="J45" s="65">
        <f t="shared" si="23"/>
        <v>-2330656.7892906754</v>
      </c>
      <c r="K45" s="65">
        <f t="shared" si="9"/>
        <v>9710.7489687644556</v>
      </c>
      <c r="L45" s="6">
        <f t="shared" si="10"/>
        <v>10769.163935322204</v>
      </c>
      <c r="M45" s="6">
        <f t="shared" si="11"/>
        <v>7917.2773088965259</v>
      </c>
      <c r="N45" s="6">
        <f t="shared" si="12"/>
        <v>0</v>
      </c>
      <c r="O45" s="6">
        <f t="shared" si="32"/>
        <v>0</v>
      </c>
      <c r="P45" s="6">
        <f t="shared" si="24"/>
        <v>0</v>
      </c>
      <c r="Q45" s="6">
        <f t="shared" si="13"/>
        <v>0</v>
      </c>
      <c r="R45" s="6">
        <f t="shared" si="14"/>
        <v>0</v>
      </c>
      <c r="S45" s="6">
        <f t="shared" si="15"/>
        <v>0</v>
      </c>
      <c r="T45" s="70">
        <f t="shared" si="0"/>
        <v>1557.2034370182275</v>
      </c>
      <c r="U45" s="6">
        <f t="shared" si="1"/>
        <v>8153.5455317462283</v>
      </c>
      <c r="V45" s="6">
        <f t="shared" si="16"/>
        <v>18686.441244218731</v>
      </c>
      <c r="W45" s="70">
        <f t="shared" si="25"/>
        <v>1523844.3909225767</v>
      </c>
      <c r="X45" s="6">
        <f t="shared" si="17"/>
        <v>97842.546380954736</v>
      </c>
      <c r="Y45" s="6">
        <f t="shared" si="26"/>
        <v>806812.39836809854</v>
      </c>
      <c r="Z45" s="81">
        <f t="shared" si="18"/>
        <v>0</v>
      </c>
      <c r="AA45" s="6">
        <f t="shared" si="19"/>
        <v>0</v>
      </c>
      <c r="AB45" s="97">
        <f t="shared" si="2"/>
        <v>2216990.2097616522</v>
      </c>
      <c r="AC45" s="7">
        <f t="shared" si="3"/>
        <v>1</v>
      </c>
      <c r="AD45" s="6">
        <f t="shared" si="20"/>
        <v>-23750</v>
      </c>
      <c r="AE45" s="6">
        <f t="shared" si="27"/>
        <v>783062.39836809854</v>
      </c>
      <c r="AF45" s="70">
        <f t="shared" si="28"/>
        <v>669395.81883907551</v>
      </c>
      <c r="AG45" s="97">
        <f>AF45-J45</f>
        <v>3000052.6081297509</v>
      </c>
      <c r="AH45" s="85">
        <f>AG45-AG44</f>
        <v>190002.33916995768</v>
      </c>
      <c r="AJ45" s="85"/>
      <c r="AL45" s="85"/>
    </row>
    <row r="46" spans="2:38" ht="15.75" thickTop="1" x14ac:dyDescent="0.25"/>
  </sheetData>
  <sheetProtection algorithmName="SHA-512" hashValue="Y6walqJgYVsBaC0uXmK33slukKnPqD2TNUC5pOCPGQtzxbFee4UUlZQ3GUgJ1ZpObFkXTZ267uFX56nPQx8eYg==" saltValue="4EHNgL+Y/WDrLA4rDpfoow==" spinCount="100000" sheet="1" objects="1" scenarios="1" selectLockedCells="1"/>
  <mergeCells count="16">
    <mergeCell ref="I2:J2"/>
    <mergeCell ref="M2:N2"/>
    <mergeCell ref="M4:N4"/>
    <mergeCell ref="M3:N3"/>
    <mergeCell ref="I7:J7"/>
    <mergeCell ref="I6:J6"/>
    <mergeCell ref="I5:J5"/>
    <mergeCell ref="I4:J4"/>
    <mergeCell ref="I3:J3"/>
    <mergeCell ref="M6:N6"/>
    <mergeCell ref="C2:G2"/>
    <mergeCell ref="C7:D7"/>
    <mergeCell ref="C6:D6"/>
    <mergeCell ref="C5:D5"/>
    <mergeCell ref="C4:D4"/>
    <mergeCell ref="C3:D3"/>
  </mergeCells>
  <pageMargins left="0.25" right="0.25" top="0.75" bottom="0.75" header="0.3" footer="0.3"/>
  <pageSetup scale="53" orientation="landscape" r:id="rId1"/>
  <ignoredErrors>
    <ignoredError sqref="F12:F4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767FC-6012-4259-9289-DA037D4B6600}">
  <sheetPr codeName="Sheet6">
    <tabColor theme="0"/>
    <pageSetUpPr fitToPage="1"/>
  </sheetPr>
  <dimension ref="A80"/>
  <sheetViews>
    <sheetView showGridLines="0" showRowColHeaders="0" workbookViewId="0">
      <selection activeCell="T19" sqref="T19"/>
    </sheetView>
  </sheetViews>
  <sheetFormatPr defaultRowHeight="15" x14ac:dyDescent="0.25"/>
  <sheetData>
    <row r="80" spans="1:1" x14ac:dyDescent="0.25">
      <c r="A80" s="1"/>
    </row>
  </sheetData>
  <sheetProtection algorithmName="SHA-512" hashValue="RpW1xdfGnP/hQVZXe0dv89FRMMOu0nDhmeyFz7WPilp/V8Eb5hA/33U0KhdCb1XKEIGuIuWKpJwtW2D8Sw/cmQ==" saltValue="mg8FsXtHS/3hOq3FuUJvGw==" spinCount="100000" sheet="1" objects="1" scenarios="1" selectLockedCells="1" selectUnlockedCells="1"/>
  <printOptions horizontalCentered="1" verticalCentered="1"/>
  <pageMargins left="0.25" right="0.25" top="0.75" bottom="0.75" header="0.3" footer="0.3"/>
  <pageSetup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164D0-3D99-4B9F-ABC2-F5BC860E0BB5}">
  <sheetPr codeName="Sheet3">
    <tabColor rgb="FF172C51"/>
    <pageSetUpPr fitToPage="1"/>
  </sheetPr>
  <dimension ref="A80"/>
  <sheetViews>
    <sheetView showGridLines="0" showRowColHeaders="0" zoomScale="115" zoomScaleNormal="115" workbookViewId="0">
      <selection activeCell="T19" sqref="T19"/>
    </sheetView>
  </sheetViews>
  <sheetFormatPr defaultRowHeight="15" x14ac:dyDescent="0.25"/>
  <sheetData>
    <row r="80" spans="1:1" x14ac:dyDescent="0.25">
      <c r="A80" s="1"/>
    </row>
  </sheetData>
  <sheetProtection algorithmName="SHA-512" hashValue="pelspJW9kJ2UDmceueSqpPoZP7z8OuhP2FGdtNiuVoLTEX6FQ3RO+Ou01CNr1pkCsQXJGfIkZSanviarwWX/Wg==" saltValue="Zw2Ngnz0OebvXE0zcipL0A==" spinCount="100000" sheet="1" objects="1" scenarios="1" selectLockedCells="1" selectUnlockedCells="1"/>
  <printOptions horizontalCentered="1" verticalCentered="1"/>
  <pageMargins left="0.25" right="0.25" top="0.75" bottom="0.75" header="0.3" footer="0.3"/>
  <pageSetup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CA723-AAFD-4437-BF2A-3AD7020EEAE8}">
  <sheetPr codeName="Sheet5">
    <tabColor theme="0"/>
    <pageSetUpPr fitToPage="1"/>
  </sheetPr>
  <dimension ref="A80"/>
  <sheetViews>
    <sheetView showGridLines="0" showRowColHeaders="0" workbookViewId="0">
      <selection activeCell="T19" sqref="T19"/>
    </sheetView>
  </sheetViews>
  <sheetFormatPr defaultRowHeight="15" x14ac:dyDescent="0.25"/>
  <sheetData>
    <row r="80" spans="1:1" x14ac:dyDescent="0.25">
      <c r="A80" s="1"/>
    </row>
  </sheetData>
  <sheetProtection algorithmName="SHA-512" hashValue="pcIugdVXinhsTUmvMlbP9BcC/nGlsPYDp2Hp01PhjuhchX3XWx1CK8cRDiWNYK+iG9yBUPIDmjs/NPpNgHs1lQ==" saltValue="wj9XaGo3Jssn9eJY8iQTVw==" spinCount="100000" sheet="1" objects="1" scenarios="1" selectLockedCells="1" selectUnlockedCells="1"/>
  <printOptions horizontalCentered="1" verticalCentered="1"/>
  <pageMargins left="0.25" right="0.25" top="0.75" bottom="0.75" header="0.3" footer="0.3"/>
  <pageSetup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44C77-763D-4092-AEC2-679CF4C327AF}">
  <sheetPr codeName="Sheet8">
    <tabColor rgb="FF172C51"/>
    <pageSetUpPr fitToPage="1"/>
  </sheetPr>
  <dimension ref="A80"/>
  <sheetViews>
    <sheetView showGridLines="0" showRowColHeaders="0" topLeftCell="A4" zoomScale="115" zoomScaleNormal="115" workbookViewId="0">
      <selection activeCell="G35" sqref="G35"/>
    </sheetView>
  </sheetViews>
  <sheetFormatPr defaultRowHeight="15" x14ac:dyDescent="0.25"/>
  <sheetData>
    <row r="80" spans="1:1" x14ac:dyDescent="0.25">
      <c r="A80" s="1"/>
    </row>
  </sheetData>
  <sheetProtection algorithmName="SHA-512" hashValue="UefWT/zdbCF+2hqFNj9wV698o1q5z0YnNuwVx/sgvTJ5O7TONMwStqI57Xejayk6gARyjgUEAZhkDkE8OXqk/Q==" saltValue="C7wcFP/1j0T46EjABYLTgA==" spinCount="100000" sheet="1" objects="1" scenarios="1" selectLockedCells="1" selectUnlockedCells="1"/>
  <printOptions horizontalCentered="1" verticalCentered="1"/>
  <pageMargins left="0.25" right="0.25" top="0.75" bottom="0.75" header="0.3" footer="0.3"/>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74F4E-DDCA-45C3-9D02-2033E155DA51}">
  <sheetPr codeName="Sheet7">
    <tabColor rgb="FF9BB3FF"/>
    <pageSetUpPr fitToPage="1"/>
  </sheetPr>
  <dimension ref="A1"/>
  <sheetViews>
    <sheetView showGridLines="0" showRowColHeaders="0" zoomScale="115" zoomScaleNormal="115" workbookViewId="0">
      <selection activeCell="G35" sqref="G35"/>
    </sheetView>
  </sheetViews>
  <sheetFormatPr defaultRowHeight="15" x14ac:dyDescent="0.25"/>
  <sheetData/>
  <sheetProtection algorithmName="SHA-512" hashValue="Lbf70krHmZOBcmKByFcr6rZrqlV8Li4BuiJm5hhQGZq476A66nzqzF94Sg2CUoL/ALuYXCbAgf1/esYUUMhGEw==" saltValue="RLsLW5iIIX80bxUa0RjDWA==" spinCount="100000" sheet="1" objects="1" scenarios="1" selectLockedCells="1" selectUnlockedCells="1"/>
  <printOptions horizontalCentered="1" verticalCentered="1"/>
  <pageMargins left="0.25" right="0.25" top="0.75" bottom="0.75" header="0.3" footer="0.3"/>
  <pageSetup scale="8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B583D-B88D-4451-82C4-1DA614BFA827}">
  <sheetPr codeName="Sheet9">
    <tabColor rgb="FF9BB3FF"/>
    <pageSetUpPr fitToPage="1"/>
  </sheetPr>
  <dimension ref="A1"/>
  <sheetViews>
    <sheetView showGridLines="0" showRowColHeaders="0" zoomScale="85" zoomScaleNormal="85" workbookViewId="0">
      <selection activeCell="R5" sqref="R5"/>
    </sheetView>
  </sheetViews>
  <sheetFormatPr defaultRowHeight="15" x14ac:dyDescent="0.25"/>
  <sheetData/>
  <sheetProtection algorithmName="SHA-512" hashValue="+MM/3dfY2i72VqTFsPO7umXxMTWv8d0zdU9PEmqr07NDgJkp8cRc861zc6dlYoqqT7I4dcBZgacjtHOG27Zltg==" saltValue="9ZFGbRVtDBsHf3IIH8fzlg==" spinCount="100000" sheet="1" objects="1" scenarios="1" selectLockedCells="1" selectUnlockedCells="1"/>
  <printOptions horizontalCentered="1" verticalCentered="1"/>
  <pageMargins left="0.25" right="0.25" top="0.75" bottom="0.75" header="0.3" footer="0.3"/>
  <pageSetup scale="8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A4894-1DBE-4D05-A20A-42FEBCEB41C9}">
  <sheetPr codeName="Sheet10">
    <tabColor theme="0"/>
    <pageSetUpPr fitToPage="1"/>
  </sheetPr>
  <dimension ref="A80"/>
  <sheetViews>
    <sheetView showGridLines="0" showRowColHeaders="0" workbookViewId="0">
      <selection activeCell="R5" sqref="R5"/>
    </sheetView>
  </sheetViews>
  <sheetFormatPr defaultRowHeight="15" x14ac:dyDescent="0.25"/>
  <sheetData>
    <row r="80" spans="1:1" x14ac:dyDescent="0.25">
      <c r="A80" s="1"/>
    </row>
  </sheetData>
  <sheetProtection algorithmName="SHA-512" hashValue="tBz+flaCaddDisGfBcmTK0wJzWTKNrl+YBNRwuguRgHIk3ICqJ4PqHhvwVx3J8ssqAK1goGEc/wqMo++76iP+A==" saltValue="BDCt5L4ZZRsnZ074r5v94Q==" spinCount="100000" sheet="1" objects="1" scenarios="1" selectLockedCells="1" selectUnlockedCells="1"/>
  <printOptions horizontalCentered="1" verticalCentered="1"/>
  <pageMargins left="0.25" right="0.25" top="0.75" bottom="0.75" header="0.3" footer="0.3"/>
  <pageSetup scale="8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82D5A-C137-4FC1-A046-DCBE66C6BF9B}">
  <sheetPr codeName="Sheet11">
    <tabColor rgb="FF9BB3FF"/>
    <pageSetUpPr fitToPage="1"/>
  </sheetPr>
  <dimension ref="A80"/>
  <sheetViews>
    <sheetView showGridLines="0" showRowColHeaders="0" zoomScale="85" zoomScaleNormal="85" workbookViewId="0">
      <selection activeCell="D3" sqref="D3"/>
    </sheetView>
  </sheetViews>
  <sheetFormatPr defaultRowHeight="15" x14ac:dyDescent="0.25"/>
  <sheetData>
    <row r="80" spans="1:1" x14ac:dyDescent="0.25">
      <c r="A80" s="1"/>
    </row>
  </sheetData>
  <sheetProtection algorithmName="SHA-512" hashValue="jnbl/Hq/hr1oBY95Cl+FnK9wQcHHE0UhbIl0UeWJ64VLFKnwXq1gLmjMjZAkY7B9GHX2nIrb3CFei6GUX9rF4w==" saltValue="jaUFKy3Ticw3KRF/paUiTQ==" spinCount="100000" sheet="1" objects="1" scenarios="1" selectLockedCells="1" selectUnlockedCells="1"/>
  <printOptions horizontalCentered="1" verticalCentered="1"/>
  <pageMargins left="0.25" right="0.25" top="0.75" bottom="0.75" header="0.3" footer="0.3"/>
  <pageSetup scale="8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54970-7F46-412F-A085-0EEFD8B8466E}">
  <sheetPr codeName="Sheet12">
    <tabColor theme="0"/>
    <pageSetUpPr fitToPage="1"/>
  </sheetPr>
  <dimension ref="A80"/>
  <sheetViews>
    <sheetView showGridLines="0" showRowColHeaders="0" workbookViewId="0">
      <selection activeCell="R5" sqref="R5"/>
    </sheetView>
  </sheetViews>
  <sheetFormatPr defaultRowHeight="15" x14ac:dyDescent="0.25"/>
  <sheetData>
    <row r="80" spans="1:1" x14ac:dyDescent="0.25">
      <c r="A80" s="1"/>
    </row>
  </sheetData>
  <sheetProtection algorithmName="SHA-512" hashValue="lMiR24gu1hP7Q1RC4WzQlZp8EA0JQIA29fgrnK3CFrpQDV9q4k28bLV+yUciQJ4Gb6vDgURYFqEnsLjTMuSHFA==" saltValue="GirHCv/LjPPnp6qjvWda0g==" spinCount="100000" sheet="1" objects="1" scenarios="1" selectLockedCells="1" selectUnlockedCells="1"/>
  <printOptions horizontalCentered="1" verticalCentered="1"/>
  <pageMargins left="0.25" right="0.25" top="0.75" bottom="0.75" header="0.3" footer="0.3"/>
  <pageSetup scale="8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2F7B3-E6E3-4994-8DC1-2F597607A653}">
  <sheetPr codeName="Sheet13">
    <tabColor theme="0"/>
    <pageSetUpPr fitToPage="1"/>
  </sheetPr>
  <dimension ref="A80"/>
  <sheetViews>
    <sheetView showGridLines="0" showRowColHeaders="0" workbookViewId="0">
      <selection activeCell="R5" sqref="R5"/>
    </sheetView>
  </sheetViews>
  <sheetFormatPr defaultRowHeight="15" x14ac:dyDescent="0.25"/>
  <sheetData>
    <row r="80" spans="1:1" x14ac:dyDescent="0.25">
      <c r="A80" s="1"/>
    </row>
  </sheetData>
  <sheetProtection algorithmName="SHA-512" hashValue="H3tvbUX+g2L+bsoxIZCsute7hMaNu7V8sDAQI84tcKeU5bGOmARiuo3u+EKAk1aGFiD0vj3SU5RtBFAAxgRoJA==" saltValue="EDD+JIXpgHELKfQdVIJqcw==" spinCount="100000" sheet="1" objects="1" scenarios="1" selectLockedCells="1" selectUnlockedCells="1"/>
  <printOptions horizontalCentered="1" verticalCentered="1"/>
  <pageMargins left="0.25" right="0.25" top="0.75" bottom="0.75" header="0.3" footer="0.3"/>
  <pageSetup scale="8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DBA44-EFE1-41E8-BCD9-D5DD83FB1979}">
  <sheetPr codeName="Sheet14">
    <tabColor theme="0"/>
    <pageSetUpPr fitToPage="1"/>
  </sheetPr>
  <dimension ref="A80"/>
  <sheetViews>
    <sheetView showGridLines="0" showRowColHeaders="0" workbookViewId="0">
      <selection activeCell="R5" sqref="R5"/>
    </sheetView>
  </sheetViews>
  <sheetFormatPr defaultRowHeight="15" x14ac:dyDescent="0.25"/>
  <sheetData>
    <row r="80" spans="1:1" x14ac:dyDescent="0.25">
      <c r="A80" s="1"/>
    </row>
  </sheetData>
  <sheetProtection algorithmName="SHA-512" hashValue="iY5zDsKWALtVYLh/wekbC/vQtJahPLyafDCIvNKy/P6g7i7m5pk3K8alRjAS0HjjPhgO32veyHFEFm5zISsPuw==" saltValue="rH1mFUny3vnjcRVyDTpL3Q==" spinCount="100000" sheet="1" objects="1" scenarios="1" selectLockedCells="1" selectUnlockedCells="1"/>
  <printOptions horizontalCentered="1" verticalCentered="1"/>
  <pageMargins left="0.25" right="0.25" top="0.75" bottom="0.75" header="0.3" footer="0.3"/>
  <pageSetup scale="8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38E34-78FE-4726-A230-36D9E0894639}">
  <sheetPr codeName="Sheet15">
    <tabColor theme="0"/>
    <pageSetUpPr fitToPage="1"/>
  </sheetPr>
  <dimension ref="A80"/>
  <sheetViews>
    <sheetView showGridLines="0" showRowColHeaders="0" workbookViewId="0">
      <selection activeCell="R5" sqref="R5"/>
    </sheetView>
  </sheetViews>
  <sheetFormatPr defaultRowHeight="15" x14ac:dyDescent="0.25"/>
  <sheetData>
    <row r="80" spans="1:1" x14ac:dyDescent="0.25">
      <c r="A80" s="1"/>
    </row>
  </sheetData>
  <sheetProtection algorithmName="SHA-512" hashValue="a7TREEHHBgyn6s4OclUmegLn99HdrqbwO/G5QOQNqIwMP9bcm/n+ZtBfRs1fHY5eVjMzPVkZw/JnVJ4ffjXXuQ==" saltValue="RXZX1dNNHKjJfHiO/IQQFA==" spinCount="100000" sheet="1" objects="1" scenarios="1" selectLockedCells="1" selectUnlockedCells="1"/>
  <printOptions horizontalCentered="1" verticalCentered="1"/>
  <pageMargins left="0.25" right="0.25" top="0.75" bottom="0.75" header="0.3" footer="0.3"/>
  <pageSetup scale="8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2AD5D-6AAA-4776-A569-FB088AE156CB}">
  <sheetPr codeName="Sheet16">
    <tabColor theme="0"/>
  </sheetPr>
  <dimension ref="A1"/>
  <sheetViews>
    <sheetView showGridLines="0" showRowColHeaders="0" workbookViewId="0">
      <selection activeCell="T19" sqref="T19"/>
    </sheetView>
  </sheetViews>
  <sheetFormatPr defaultRowHeight="15" x14ac:dyDescent="0.25"/>
  <sheetData/>
  <sheetProtection algorithmName="SHA-512" hashValue="dOB3o+1cm4PnrNG45Xy9GaohjNQCjafTGiCo8QKcQGP6Vgzskq0R56Yos6o9S46kt6Gq1FZ1ohfCFfT/vhhzFA==" saltValue="IwiL+sm0l85zW6CE6yIljg==" spinCount="100000" sheet="1" objects="1" scenarios="1" selectLockedCells="1" selectUnlockedCells="1"/>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2D4E4-3753-4A24-AE46-9F2348B70E14}">
  <sheetPr codeName="Sheet17">
    <tabColor theme="0"/>
  </sheetPr>
  <dimension ref="A1"/>
  <sheetViews>
    <sheetView showGridLines="0" showRowColHeaders="0" workbookViewId="0">
      <selection activeCell="T19" sqref="T19"/>
    </sheetView>
  </sheetViews>
  <sheetFormatPr defaultRowHeight="15" x14ac:dyDescent="0.25"/>
  <sheetData/>
  <sheetProtection algorithmName="SHA-512" hashValue="bpU8Th9IuAvIEfSFsLokrQXMk0syzItIhTkmVFheKNoqM79nYVT5rIYy5vsy96mt6seOLfE8/m5bwlA4dM9ECA==" saltValue="mQD5ynUwUhPsjdk6Q54eTw==" spinCount="100000" sheet="1" objects="1" scenarios="1" selectLockedCells="1" selectUnlockedCells="1"/>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93F2-F4B4-4588-B5E4-101E4095BE6D}">
  <sheetPr codeName="Sheet18">
    <tabColor theme="0"/>
  </sheetPr>
  <dimension ref="A1"/>
  <sheetViews>
    <sheetView showGridLines="0" showRowColHeaders="0" workbookViewId="0">
      <selection activeCell="R5" sqref="R5"/>
    </sheetView>
  </sheetViews>
  <sheetFormatPr defaultRowHeight="15" x14ac:dyDescent="0.25"/>
  <sheetData/>
  <sheetProtection algorithmName="SHA-512" hashValue="PRJa91g2Lyzj1MViNOPy5brVX8g5mgCWFEGDe/QCYDc1qxXCOZ5gf+i7IBEOo2Q2iksafo5TPSmR4szEcF0HCw==" saltValue="yBpDqUHADPEGLjFVpdCpyw==" spinCount="100000" sheet="1" objects="1" scenarios="1" selectLockedCells="1" selectUnlockedCells="1"/>
  <printOptions horizontalCentered="1" verticalCentered="1"/>
  <pageMargins left="0.25" right="0.25" top="0.75" bottom="0.75" header="0.3" footer="0.3"/>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74252-082A-43A9-AECE-5338A0F7CF44}">
  <sheetPr codeName="Sheet19">
    <tabColor theme="0"/>
  </sheetPr>
  <dimension ref="A2:A6"/>
  <sheetViews>
    <sheetView workbookViewId="0">
      <selection activeCell="T19" sqref="T19"/>
    </sheetView>
  </sheetViews>
  <sheetFormatPr defaultColWidth="9.140625" defaultRowHeight="15" x14ac:dyDescent="0.25"/>
  <cols>
    <col min="1" max="1" width="140.5703125" style="43" customWidth="1"/>
    <col min="2" max="2" width="28" style="28" bestFit="1" customWidth="1"/>
    <col min="3" max="16384" width="9.140625" style="28"/>
  </cols>
  <sheetData>
    <row r="2" spans="1:1" x14ac:dyDescent="0.25">
      <c r="A2" s="42" t="s">
        <v>87</v>
      </c>
    </row>
    <row r="4" spans="1:1" x14ac:dyDescent="0.25">
      <c r="A4" s="43" t="s">
        <v>56</v>
      </c>
    </row>
    <row r="5" spans="1:1" x14ac:dyDescent="0.25">
      <c r="A5" s="43" t="s">
        <v>57</v>
      </c>
    </row>
    <row r="6" spans="1:1" x14ac:dyDescent="0.25">
      <c r="A6" s="43" t="s">
        <v>63</v>
      </c>
    </row>
  </sheetData>
  <sheetProtection algorithmName="SHA-512" hashValue="+HF9Nyxa7zB+dblZ3+4q1OQyq2Ub9Qw8uWAdugkzJiobnPUdjPtzfScym2K/NGx5Bvcs2/6h9MVbh3ZXyVvS/g==" saltValue="kM1J+5kOKmx5drRfkRIm9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34</vt:i4>
      </vt:variant>
    </vt:vector>
  </HeadingPairs>
  <TitlesOfParts>
    <vt:vector size="52" baseType="lpstr">
      <vt:lpstr>Dashboard</vt:lpstr>
      <vt:lpstr>Data</vt:lpstr>
      <vt:lpstr>Rent Only Cash Flow</vt:lpstr>
      <vt:lpstr>Monthly Cash Flow</vt:lpstr>
      <vt:lpstr>Monthly Cash Flow (no labels)</vt:lpstr>
      <vt:lpstr>Home Equity</vt:lpstr>
      <vt:lpstr>Home &amp; Loan Vals</vt:lpstr>
      <vt:lpstr>Accum Cost</vt:lpstr>
      <vt:lpstr>TWD Comp (20)</vt:lpstr>
      <vt:lpstr>TWD Comp (35)</vt:lpstr>
      <vt:lpstr>TWD 5 Yrs</vt:lpstr>
      <vt:lpstr>TWD 10 Yrs</vt:lpstr>
      <vt:lpstr>TWD 20 Yrs</vt:lpstr>
      <vt:lpstr>TWD 35 Yrs</vt:lpstr>
      <vt:lpstr>Home &amp; Loan</vt:lpstr>
      <vt:lpstr>Home &amp; Loans (no values)</vt:lpstr>
      <vt:lpstr>Monthly CF Difference</vt:lpstr>
      <vt:lpstr>Update Notes</vt:lpstr>
      <vt:lpstr>Annual_Appreciation</vt:lpstr>
      <vt:lpstr>Annual_Maintenance</vt:lpstr>
      <vt:lpstr>Annual_Maintenance_Percentage</vt:lpstr>
      <vt:lpstr>Annual_Rent_Increase</vt:lpstr>
      <vt:lpstr>Annual_Tax</vt:lpstr>
      <vt:lpstr>Closing_Costs_in_Loan</vt:lpstr>
      <vt:lpstr>Closing_Costs_OOP</vt:lpstr>
      <vt:lpstr>Down_Payment</vt:lpstr>
      <vt:lpstr>Down_Payment_Percentage</vt:lpstr>
      <vt:lpstr>Inflation_Rate</vt:lpstr>
      <vt:lpstr>Loan_Amount</vt:lpstr>
      <vt:lpstr>Loan_Rate</vt:lpstr>
      <vt:lpstr>Loan_Term</vt:lpstr>
      <vt:lpstr>Loan_Type</vt:lpstr>
      <vt:lpstr>Monthly_Escrow</vt:lpstr>
      <vt:lpstr>Monthly_Extra_to_Mortgage</vt:lpstr>
      <vt:lpstr>Monthly_Income</vt:lpstr>
      <vt:lpstr>Monthly_Income_Term</vt:lpstr>
      <vt:lpstr>Monthly_Mortgage_Insurance</vt:lpstr>
      <vt:lpstr>Monthly_Other</vt:lpstr>
      <vt:lpstr>Monthly_P_and_I</vt:lpstr>
      <vt:lpstr>Monthly_Rent</vt:lpstr>
      <vt:lpstr>Mortgage_Insurance_Years</vt:lpstr>
      <vt:lpstr>Own_Annual_Insurance</vt:lpstr>
      <vt:lpstr>Own_Monthly_Costs_Excl_P_and_I</vt:lpstr>
      <vt:lpstr>Own_Monthly_HOA</vt:lpstr>
      <vt:lpstr>Own_Monthly_Payment</vt:lpstr>
      <vt:lpstr>Own_Monthly_Total_Costs</vt:lpstr>
      <vt:lpstr>Own_Monthly_Utilities</vt:lpstr>
      <vt:lpstr>Rent_Annual_Insurance</vt:lpstr>
      <vt:lpstr>Rent_Monthly_Total_Cost</vt:lpstr>
      <vt:lpstr>Rent_Monthly_Utilities</vt:lpstr>
      <vt:lpstr>Sale_Price</vt:lpstr>
      <vt:lpstr>TVM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Brady Mullen</dc:creator>
  <cp:lastModifiedBy>Dan Mullen</cp:lastModifiedBy>
  <cp:lastPrinted>2023-12-30T05:37:47Z</cp:lastPrinted>
  <dcterms:created xsi:type="dcterms:W3CDTF">2015-06-05T18:17:20Z</dcterms:created>
  <dcterms:modified xsi:type="dcterms:W3CDTF">2024-06-25T04:17:42Z</dcterms:modified>
</cp:coreProperties>
</file>