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ttps://d.docs.live.net/2aa166e6fbb7ae5e/EasyValuations/"/>
    </mc:Choice>
  </mc:AlternateContent>
  <xr:revisionPtr revIDLastSave="709" documentId="8_{FD74F85B-AEF2-4983-86C7-3844E0B20C22}" xr6:coauthVersionLast="47" xr6:coauthVersionMax="47" xr10:uidLastSave="{9BE2C39C-BC88-44F0-8D76-3ADA90B8B071}"/>
  <bookViews>
    <workbookView xWindow="-108" yWindow="-108" windowWidth="23256" windowHeight="12456" xr2:uid="{00000000-000D-0000-FFFF-FFFF00000000}"/>
  </bookViews>
  <sheets>
    <sheet name="Tables" sheetId="24" r:id="rId1"/>
  </sheets>
  <externalReferences>
    <externalReference r:id="rId2"/>
  </externalReferences>
  <definedNames>
    <definedName name="compound_periods">{"Semi-Annually";"Monthly"}</definedName>
    <definedName name="CP">INDEX({2,12},MATCH(#REF!,compound_periods,0))</definedName>
    <definedName name="fpdate">#REF!</definedName>
    <definedName name="frequency">{"Monthly";"Semi-Monthly";"Bi-Weekly";"Weekly";"Acc Bi-Weekly";"Acc Weekly"}</definedName>
    <definedName name="int">#REF!</definedName>
    <definedName name="loan_amount">#REF!</definedName>
    <definedName name="nper">term*periods_per_year</definedName>
    <definedName name="periods_per_year">INDEX({12,24,26,52,26,52},MATCH([1]Tables!$D$280,frequency,0))</definedName>
    <definedName name="start_rate">#REF!</definedName>
    <definedName name="term">#REF!</definedName>
    <definedName name="variable">IF([1]Tables!$L$275="Variable Rate",TRUE,FALSE)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4" i="24" l="1"/>
  <c r="C259" i="24"/>
  <c r="C266" i="24"/>
  <c r="I289" i="24"/>
  <c r="J289" i="24" s="1"/>
  <c r="K289" i="24" s="1"/>
  <c r="L289" i="24" s="1"/>
  <c r="G289" i="24"/>
  <c r="F289" i="24" s="1"/>
  <c r="E289" i="24" s="1"/>
  <c r="D289" i="24" s="1"/>
  <c r="I272" i="24"/>
  <c r="J272" i="24" s="1"/>
  <c r="K272" i="24" s="1"/>
  <c r="L272" i="24" s="1"/>
  <c r="G272" i="24"/>
  <c r="F272" i="24" s="1"/>
  <c r="E272" i="24" s="1"/>
  <c r="D272" i="24" s="1"/>
  <c r="I265" i="24"/>
  <c r="J265" i="24" s="1"/>
  <c r="K265" i="24" s="1"/>
  <c r="L265" i="24" s="1"/>
  <c r="G265" i="24"/>
  <c r="F265" i="24" s="1"/>
  <c r="E265" i="24" s="1"/>
  <c r="D265" i="24" s="1"/>
  <c r="I258" i="24"/>
  <c r="J258" i="24" s="1"/>
  <c r="K258" i="24" s="1"/>
  <c r="L258" i="24" s="1"/>
  <c r="G258" i="24"/>
  <c r="F258" i="24" s="1"/>
  <c r="E258" i="24" s="1"/>
  <c r="D258" i="24" s="1"/>
  <c r="I241" i="24"/>
  <c r="J241" i="24" s="1"/>
  <c r="K241" i="24" s="1"/>
  <c r="L241" i="24" s="1"/>
  <c r="G241" i="24"/>
  <c r="F241" i="24" s="1"/>
  <c r="E241" i="24" s="1"/>
  <c r="D241" i="24" s="1"/>
  <c r="I223" i="24"/>
  <c r="J223" i="24" s="1"/>
  <c r="K223" i="24" s="1"/>
  <c r="L223" i="24" s="1"/>
  <c r="G223" i="24"/>
  <c r="F223" i="24" s="1"/>
  <c r="E223" i="24" s="1"/>
  <c r="D223" i="24" s="1"/>
  <c r="I203" i="24"/>
  <c r="J203" i="24" s="1"/>
  <c r="K203" i="24" s="1"/>
  <c r="L203" i="24" s="1"/>
  <c r="G203" i="24"/>
  <c r="F203" i="24" s="1"/>
  <c r="E203" i="24" s="1"/>
  <c r="D203" i="24" s="1"/>
  <c r="I184" i="24"/>
  <c r="J184" i="24" s="1"/>
  <c r="K184" i="24" s="1"/>
  <c r="L184" i="24" s="1"/>
  <c r="G184" i="24"/>
  <c r="F184" i="24" s="1"/>
  <c r="E184" i="24" s="1"/>
  <c r="D184" i="24" s="1"/>
  <c r="I166" i="24"/>
  <c r="J166" i="24" s="1"/>
  <c r="K166" i="24" s="1"/>
  <c r="L166" i="24" s="1"/>
  <c r="G166" i="24"/>
  <c r="F166" i="24" s="1"/>
  <c r="E166" i="24" s="1"/>
  <c r="D166" i="24" s="1"/>
  <c r="C296" i="24"/>
  <c r="C297" i="24" s="1"/>
  <c r="C298" i="24" s="1"/>
  <c r="C299" i="24" s="1"/>
  <c r="C300" i="24" s="1"/>
  <c r="C294" i="24"/>
  <c r="C293" i="24" s="1"/>
  <c r="C292" i="24" s="1"/>
  <c r="C291" i="24" s="1"/>
  <c r="C290" i="24" s="1"/>
  <c r="C279" i="24"/>
  <c r="C280" i="24" s="1"/>
  <c r="C281" i="24" s="1"/>
  <c r="C282" i="24" s="1"/>
  <c r="C283" i="24" s="1"/>
  <c r="C277" i="24"/>
  <c r="C276" i="24" s="1"/>
  <c r="C275" i="24" s="1"/>
  <c r="C274" i="24" s="1"/>
  <c r="C273" i="24" s="1"/>
  <c r="C248" i="24"/>
  <c r="C249" i="24" s="1"/>
  <c r="C250" i="24" s="1"/>
  <c r="C251" i="24" s="1"/>
  <c r="C252" i="24" s="1"/>
  <c r="C246" i="24"/>
  <c r="C245" i="24" s="1"/>
  <c r="C244" i="24" s="1"/>
  <c r="C243" i="24" s="1"/>
  <c r="C242" i="24" s="1"/>
  <c r="C230" i="24"/>
  <c r="C231" i="24" s="1"/>
  <c r="C232" i="24" s="1"/>
  <c r="C233" i="24" s="1"/>
  <c r="C234" i="24" s="1"/>
  <c r="C228" i="24"/>
  <c r="C227" i="24" s="1"/>
  <c r="C226" i="24" s="1"/>
  <c r="C225" i="24" s="1"/>
  <c r="C224" i="24" s="1"/>
  <c r="C210" i="24"/>
  <c r="C211" i="24" s="1"/>
  <c r="C212" i="24" s="1"/>
  <c r="C213" i="24" s="1"/>
  <c r="C214" i="24" s="1"/>
  <c r="C208" i="24"/>
  <c r="C207" i="24" s="1"/>
  <c r="C206" i="24" s="1"/>
  <c r="C205" i="24" s="1"/>
  <c r="C204" i="24" s="1"/>
  <c r="C191" i="24"/>
  <c r="C192" i="24" s="1"/>
  <c r="C193" i="24" s="1"/>
  <c r="C194" i="24" s="1"/>
  <c r="C195" i="24" s="1"/>
  <c r="C189" i="24"/>
  <c r="C188" i="24" s="1"/>
  <c r="C187" i="24" s="1"/>
  <c r="C186" i="24" s="1"/>
  <c r="C185" i="24" s="1"/>
  <c r="C173" i="24"/>
  <c r="C174" i="24" s="1"/>
  <c r="C175" i="24" s="1"/>
  <c r="C176" i="24" s="1"/>
  <c r="C177" i="24" s="1"/>
  <c r="C171" i="24"/>
  <c r="C170" i="24" s="1"/>
  <c r="C169" i="24" s="1"/>
  <c r="C168" i="24" s="1"/>
  <c r="C167" i="24" s="1"/>
  <c r="I148" i="24"/>
  <c r="J148" i="24" s="1"/>
  <c r="K148" i="24" s="1"/>
  <c r="L148" i="24" s="1"/>
  <c r="G148" i="24"/>
  <c r="F148" i="24" s="1"/>
  <c r="E148" i="24" s="1"/>
  <c r="D148" i="24" s="1"/>
  <c r="C155" i="24"/>
  <c r="C156" i="24" s="1"/>
  <c r="C157" i="24" s="1"/>
  <c r="C158" i="24" s="1"/>
  <c r="C159" i="24" s="1"/>
  <c r="C153" i="24"/>
  <c r="C152" i="24" s="1"/>
  <c r="C151" i="24" s="1"/>
  <c r="C150" i="24" s="1"/>
  <c r="C149" i="24" s="1"/>
  <c r="C66" i="24"/>
  <c r="C67" i="24" s="1"/>
  <c r="C68" i="24" s="1"/>
  <c r="C69" i="24" s="1"/>
  <c r="C70" i="24" s="1"/>
  <c r="C64" i="24"/>
  <c r="C63" i="24" s="1"/>
  <c r="C62" i="24" s="1"/>
  <c r="C61" i="24" s="1"/>
  <c r="C60" i="24" s="1"/>
  <c r="I59" i="24"/>
  <c r="J59" i="24" s="1"/>
  <c r="K59" i="24" s="1"/>
  <c r="L59" i="24" s="1"/>
  <c r="G59" i="24"/>
  <c r="F59" i="24" s="1"/>
  <c r="E59" i="24" s="1"/>
  <c r="D59" i="24" s="1"/>
  <c r="I114" i="24"/>
  <c r="J114" i="24" s="1"/>
  <c r="K114" i="24" s="1"/>
  <c r="L114" i="24" s="1"/>
  <c r="G114" i="24"/>
  <c r="F114" i="24" s="1"/>
  <c r="E114" i="24" s="1"/>
  <c r="D114" i="24" s="1"/>
  <c r="C121" i="24"/>
  <c r="C122" i="24" s="1"/>
  <c r="C123" i="24" s="1"/>
  <c r="C124" i="24" s="1"/>
  <c r="C125" i="24" s="1"/>
  <c r="C119" i="24"/>
  <c r="C118" i="24" s="1"/>
  <c r="C117" i="24" s="1"/>
  <c r="C116" i="24" s="1"/>
  <c r="C115" i="24" s="1"/>
  <c r="C114" i="24"/>
  <c r="C112" i="24"/>
  <c r="C113" i="24" s="1"/>
  <c r="Q61" i="24"/>
  <c r="Q64" i="24"/>
  <c r="Q65" i="24" s="1"/>
  <c r="Q70" i="24"/>
  <c r="Q76" i="24" s="1"/>
  <c r="Q71" i="24"/>
  <c r="Q77" i="24" s="1"/>
  <c r="Q66" i="24"/>
  <c r="H112" i="24"/>
  <c r="H113" i="24"/>
  <c r="C59" i="24"/>
  <c r="C148" i="24"/>
  <c r="C166" i="24"/>
  <c r="C203" i="24"/>
  <c r="C223" i="24"/>
  <c r="C241" i="24"/>
  <c r="C258" i="24"/>
  <c r="C265" i="24"/>
  <c r="C272" i="24"/>
  <c r="C289" i="24"/>
  <c r="C131" i="24"/>
  <c r="I131" i="24"/>
  <c r="J131" i="24" s="1"/>
  <c r="K131" i="24" s="1"/>
  <c r="L131" i="24" s="1"/>
  <c r="G131" i="24"/>
  <c r="F131" i="24" s="1"/>
  <c r="E131" i="24" s="1"/>
  <c r="D131" i="24" s="1"/>
  <c r="C138" i="24"/>
  <c r="C139" i="24" s="1"/>
  <c r="C140" i="24" s="1"/>
  <c r="C141" i="24" s="1"/>
  <c r="C142" i="24" s="1"/>
  <c r="C136" i="24"/>
  <c r="C135" i="24" s="1"/>
  <c r="C134" i="24" s="1"/>
  <c r="C133" i="24" s="1"/>
  <c r="C132" i="24" s="1"/>
  <c r="C100" i="24"/>
  <c r="C101" i="24" s="1"/>
  <c r="C102" i="24" s="1"/>
  <c r="C103" i="24" s="1"/>
  <c r="C104" i="24" s="1"/>
  <c r="C98" i="24"/>
  <c r="C97" i="24" s="1"/>
  <c r="C96" i="24" s="1"/>
  <c r="C95" i="24" s="1"/>
  <c r="C94" i="24" s="1"/>
  <c r="I93" i="24"/>
  <c r="J93" i="24" s="1"/>
  <c r="K93" i="24" s="1"/>
  <c r="L93" i="24" s="1"/>
  <c r="G93" i="24"/>
  <c r="F93" i="24" s="1"/>
  <c r="E93" i="24" s="1"/>
  <c r="D93" i="24" s="1"/>
  <c r="C83" i="24"/>
  <c r="C84" i="24" s="1"/>
  <c r="C85" i="24" s="1"/>
  <c r="C86" i="24" s="1"/>
  <c r="C87" i="24" s="1"/>
  <c r="C81" i="24"/>
  <c r="C80" i="24" s="1"/>
  <c r="C79" i="24" s="1"/>
  <c r="C78" i="24" s="1"/>
  <c r="C77" i="24" s="1"/>
  <c r="I76" i="24"/>
  <c r="J76" i="24" s="1"/>
  <c r="K76" i="24" s="1"/>
  <c r="L76" i="24" s="1"/>
  <c r="G76" i="24"/>
  <c r="F76" i="24" s="1"/>
  <c r="E76" i="24" s="1"/>
  <c r="D76" i="24" s="1"/>
  <c r="C48" i="24"/>
  <c r="C49" i="24" s="1"/>
  <c r="C50" i="24" s="1"/>
  <c r="C51" i="24" s="1"/>
  <c r="C52" i="24" s="1"/>
  <c r="C46" i="24"/>
  <c r="C45" i="24" s="1"/>
  <c r="C44" i="24" s="1"/>
  <c r="C43" i="24" s="1"/>
  <c r="C42" i="24" s="1"/>
  <c r="C31" i="24"/>
  <c r="C32" i="24" s="1"/>
  <c r="C33" i="24" s="1"/>
  <c r="C34" i="24" s="1"/>
  <c r="C35" i="24" s="1"/>
  <c r="C29" i="24"/>
  <c r="C28" i="24" s="1"/>
  <c r="C27" i="24" s="1"/>
  <c r="C26" i="24" s="1"/>
  <c r="C25" i="24" s="1"/>
  <c r="C13" i="24"/>
  <c r="C14" i="24" s="1"/>
  <c r="C15" i="24" s="1"/>
  <c r="C16" i="24" s="1"/>
  <c r="C17" i="24" s="1"/>
  <c r="C11" i="24"/>
  <c r="C10" i="24" s="1"/>
  <c r="C9" i="24" s="1"/>
  <c r="C8" i="24" s="1"/>
  <c r="C7" i="24" s="1"/>
  <c r="V6" i="24"/>
  <c r="W6" i="24" s="1"/>
  <c r="X6" i="24" s="1"/>
  <c r="Y6" i="24" s="1"/>
  <c r="T6" i="24"/>
  <c r="S6" i="24" s="1"/>
  <c r="R6" i="24" s="1"/>
  <c r="Q6" i="24" s="1"/>
  <c r="I6" i="24"/>
  <c r="J6" i="24" s="1"/>
  <c r="K6" i="24" s="1"/>
  <c r="L6" i="24" s="1"/>
  <c r="G6" i="24"/>
  <c r="F6" i="24" s="1"/>
  <c r="E6" i="24" s="1"/>
  <c r="D6" i="24" s="1"/>
  <c r="I24" i="24"/>
  <c r="J24" i="24" s="1"/>
  <c r="K24" i="24" s="1"/>
  <c r="L24" i="24" s="1"/>
  <c r="G24" i="24"/>
  <c r="F24" i="24" s="1"/>
  <c r="E24" i="24" s="1"/>
  <c r="D24" i="24" s="1"/>
  <c r="I41" i="24"/>
  <c r="J41" i="24" s="1"/>
  <c r="K41" i="24" s="1"/>
  <c r="L41" i="24" s="1"/>
  <c r="G41" i="24"/>
  <c r="F41" i="24" s="1"/>
  <c r="E41" i="24" s="1"/>
  <c r="D41" i="24" s="1"/>
  <c r="C41" i="24"/>
  <c r="Q67" i="24" l="1"/>
  <c r="Q73" i="24" s="1"/>
  <c r="Q79" i="24" s="1"/>
  <c r="R79" i="24" s="1"/>
  <c r="R77" i="24"/>
  <c r="S77" i="24"/>
  <c r="R76" i="24"/>
  <c r="S76" i="24"/>
  <c r="Q72" i="24"/>
  <c r="Q78" i="24" s="1"/>
  <c r="C93" i="24"/>
  <c r="C6" i="24"/>
  <c r="S79" i="24" l="1"/>
  <c r="R78" i="24"/>
  <c r="S78" i="24"/>
  <c r="P6" i="24"/>
  <c r="C76" i="24" l="1"/>
  <c r="C24" i="24"/>
  <c r="P13" i="24"/>
  <c r="P14" i="24" s="1"/>
  <c r="P15" i="24" s="1"/>
  <c r="P16" i="24" s="1"/>
  <c r="P17" i="24" s="1"/>
  <c r="P11" i="24"/>
  <c r="P10" i="24" s="1"/>
  <c r="P9" i="24" s="1"/>
  <c r="P8" i="24" s="1"/>
  <c r="P7" i="24" s="1"/>
</calcChain>
</file>

<file path=xl/sharedStrings.xml><?xml version="1.0" encoding="utf-8"?>
<sst xmlns="http://schemas.openxmlformats.org/spreadsheetml/2006/main" count="136" uniqueCount="83">
  <si>
    <t>Annual insert = 1 / Qtrly = 4 / Monthly = 12 : -</t>
  </si>
  <si>
    <t>Amount =</t>
  </si>
  <si>
    <t>Disc Rate =</t>
  </si>
  <si>
    <t>YP single rate of the PV of £1 pa  receivable at the end of each year after accounting for a SF to accumulate at the same rate of interest as that which is required on the invested capital and ignoring the effect of income tax on that part of the income used to provide the annual SF instalment</t>
  </si>
  <si>
    <t>Years =</t>
  </si>
  <si>
    <t>Amount of £1</t>
  </si>
  <si>
    <t>This is the amount to which £1 invested now will accumulate at compound interest</t>
  </si>
  <si>
    <t>Amount $1 pa</t>
  </si>
  <si>
    <t>This is the amount to which £1 per annum invested at the end of each year will accumulate at compound interest</t>
  </si>
  <si>
    <t>Annual sinking fund is a calculation of the annual sum required to be invested to amount to £1 in a specified number of years. Calculate the sum which if invested at the end of each year will accumulate at a specified compound interest to £1.</t>
  </si>
  <si>
    <t>Annuity £1 will Purchase</t>
  </si>
  <si>
    <t>Annuity £1 will purchase, single rate. Allowing for a sinking fund to accumulate at the same rate as that which is required on the invested capital and ignoring the effect of income tax on that part of the income used to provide the annual sinking fund instalment.</t>
  </si>
  <si>
    <t>PV of £1</t>
  </si>
  <si>
    <t>The amount which must be invested now in order to accumulate to £1 at compound interest.</t>
  </si>
  <si>
    <t>Mortgage Calculator</t>
  </si>
  <si>
    <t>Cost =</t>
  </si>
  <si>
    <t>Given factors</t>
  </si>
  <si>
    <t xml:space="preserve">Purchase Price (Gross) - </t>
  </si>
  <si>
    <t xml:space="preserve">Annual Income (Gross) - </t>
  </si>
  <si>
    <t xml:space="preserve">Remunerative / Gross yield - </t>
  </si>
  <si>
    <t xml:space="preserve">Term - </t>
  </si>
  <si>
    <t xml:space="preserve">Sinking fund rate - </t>
  </si>
  <si>
    <t xml:space="preserve">Rate of tax - </t>
  </si>
  <si>
    <t>Intermediate factors</t>
  </si>
  <si>
    <t xml:space="preserve">Unexpired term - </t>
  </si>
  <si>
    <t>Price Paid</t>
  </si>
  <si>
    <t>Annual Sum to Sinking Fund</t>
  </si>
  <si>
    <t>For Sinking Fund</t>
  </si>
  <si>
    <t>For Tax Man</t>
  </si>
  <si>
    <t xml:space="preserve">Sinking fund addition - </t>
  </si>
  <si>
    <t xml:space="preserve">Disregarding the accumulative rate and tax - </t>
  </si>
  <si>
    <t xml:space="preserve">Compound interest rate without tax - </t>
  </si>
  <si>
    <t xml:space="preserve">Disregarding the accumulative rate only - </t>
  </si>
  <si>
    <t xml:space="preserve">Tax effect - </t>
  </si>
  <si>
    <t xml:space="preserve">Dual rate without tax - </t>
  </si>
  <si>
    <t xml:space="preserve">Compound interest rate with tax - </t>
  </si>
  <si>
    <t xml:space="preserve">Dual rate with tax - </t>
  </si>
  <si>
    <t>Yield=</t>
  </si>
  <si>
    <t xml:space="preserve">Present Value of Loan = </t>
  </si>
  <si>
    <t xml:space="preserve">Interest Rate = </t>
  </si>
  <si>
    <t>Repayment mortgage: A repayment mortgage includes both interest and payments towards the initial capital loan amount. This reduces the amount owed on the capital, month by month.</t>
  </si>
  <si>
    <t>Term=</t>
  </si>
  <si>
    <t xml:space="preserve">Annual insert = 1 / Qtrly = 4 / Monthly = 12 </t>
  </si>
  <si>
    <t>Payment at beginning of period = 1; end=0</t>
  </si>
  <si>
    <t xml:space="preserve">Interest Paid Over Term = </t>
  </si>
  <si>
    <t xml:space="preserve">CUMIPMT = </t>
  </si>
  <si>
    <t>Get cumulative interest paid on a loan</t>
  </si>
  <si>
    <t xml:space="preserve">Total Paid Over Term = </t>
  </si>
  <si>
    <t xml:space="preserve">CUMPRINC = </t>
  </si>
  <si>
    <t>Get cumulative principal paid on a loan</t>
  </si>
  <si>
    <t xml:space="preserve">Repayment Per Period = </t>
  </si>
  <si>
    <t>Annual Sinking Fund (Annual sinking fund rates are quoted on a net of tax basis) - In Advance</t>
  </si>
  <si>
    <t>Interest Rate =</t>
  </si>
  <si>
    <t>Years Purchase  s Purchase (YP), single rate or the Present Value (PV) of £1 per annum receivable at the end of each year after accounting for a sinking fund to accumulate at the same rate of interest as that which is required on the invested capital and ignoring the effect of income tax on that part of the income used to provide the annual sinking fund instalment.</t>
  </si>
  <si>
    <t>Term (Yrs) =</t>
  </si>
  <si>
    <t>Annuity £1 Will Purchase (Single Rate)</t>
  </si>
  <si>
    <t>Annuity £1 will purchase, single rate. Allowing for a sinking fund to accumulate at the same rate as that which is required on the invested capital and ignoring the effect of income tax on that part of the income used to provide the annual sinking fund instalment. The annuity is receivable at the end of each year.</t>
  </si>
  <si>
    <t xml:space="preserve">Term = </t>
  </si>
  <si>
    <t xml:space="preserve">Cost = </t>
  </si>
  <si>
    <t>Market Rental=</t>
  </si>
  <si>
    <t>Years Purchase, Dual Rate, No Income Tax -Annually In Arrears</t>
  </si>
  <si>
    <t>Calculate the years purchase, dual rate percentage principle or the present value of £1 per annum receivable at the end of each year after allowing for a sinking fund at a specified rate of interest to replace the invested capital and ignoring the effect of income tax on that portion of the income used to provide the annual sinking fund. This is calculated annually in arrear.</t>
  </si>
  <si>
    <t>Sinking Fund=</t>
  </si>
  <si>
    <t>CV=</t>
  </si>
  <si>
    <t>Years Purchase Dual Rate Including (optional) Tax - Annually in Arrears</t>
  </si>
  <si>
    <t>Years purchase dual rate percentage principle or the present value of £1 per annum accounting for income tax annually in arrear: Calculate the years purchase, dual rate percentage principle or the present value of £1 per annum receivable at the end of each year after allowing for a sinking fund at a specified rate of interest to replace the invested capital and allowing for the effect of income tax. Calculated annually in arrears.</t>
  </si>
  <si>
    <t>Tax (optional) =</t>
  </si>
  <si>
    <t>Years Purchase, Dual Rate, Tax, 'n' Periods in Advance</t>
  </si>
  <si>
    <t>Years purchase dual rate percentage principle or the present value of £1 per annum accounting for income tax quarterly in advance: Calculate the years purchase, dual rate percentage principle or the present value of £1 per annum receivable at the end of each year after allowing for a sinking fund at a specified rate of interest to replace the invested capital and allowing for the effect of income tax. This is calculated for 'n' Periods in advance.</t>
  </si>
  <si>
    <t>Tax=</t>
  </si>
  <si>
    <t>Years Purchase, Dual Rate, No Tax - Quarterly in Advance</t>
  </si>
  <si>
    <t>Years purchase dual rate percentage principle or the present value of £1 per annum not accounting for income tax quarterly in advance. Calculate the years purchase, dual rate percentage principle or the present value of £1 per annum receivable at the end of each year after allowing for a sinking fund at a specified rate of interest to replace the invested capital whilst excluding the effect of income tax. This is calculated quarterly in advance.</t>
  </si>
  <si>
    <t>Years Purchase in Perpetuity - Annually in Arrears</t>
  </si>
  <si>
    <t>Calculate the Years Purchase (YP) in perpetuity annually in arrear or the Present Value (PV) of £1 per annum in perpetuity. This YP calculation is based on the assumption that income is received annually in arrear.</t>
  </si>
  <si>
    <t>Years Purchase in Perpetuity, No Tax - Quarterly in Advance</t>
  </si>
  <si>
    <t>Calculate the Years Purchase (YP) in perpetuity with no tax quarterly in advance. This YP calculation does not account for income tax and is based on the assumption that income is received quarterly in advance.</t>
  </si>
  <si>
    <t>Years Purchase of a Reversion to a Perpetuity</t>
  </si>
  <si>
    <t>This is a calculation of the Present Value (PV) of the right to receive £1 at the end of each year in perpetuity at a specified compounded interest, but receivable after the expiration of a specified term in years.</t>
  </si>
  <si>
    <t>Years Purchase Single Rate, No Tax - Quarterly in Advance</t>
  </si>
  <si>
    <t>Calculate the Years Purchase (YP), single rate or the Present Value (PV) of £1 per annum receivable quarterly in advance after accounting for a sinking fund to accumulate at the same rate of interest as that which is required on the invested capital and ignoring the effect of income tax on that part of the income used to provide the annual sinking fund instalment.</t>
  </si>
  <si>
    <r>
      <t xml:space="preserve">Years Purchase </t>
    </r>
    <r>
      <rPr>
        <b/>
        <sz val="11"/>
        <color rgb="FFFF0000"/>
        <rFont val="Calibri"/>
        <family val="2"/>
      </rPr>
      <t>(YP</t>
    </r>
    <r>
      <rPr>
        <b/>
        <sz val="11"/>
        <color rgb="FF7030A0"/>
        <rFont val="Calibri"/>
        <family val="2"/>
      </rPr>
      <t>), single rate or the Present Value (</t>
    </r>
    <r>
      <rPr>
        <b/>
        <sz val="11"/>
        <color rgb="FFFF0000"/>
        <rFont val="Calibri"/>
        <family val="2"/>
      </rPr>
      <t>PV of £1pa</t>
    </r>
    <r>
      <rPr>
        <b/>
        <sz val="11"/>
        <color rgb="FF7030A0"/>
        <rFont val="Calibri"/>
        <family val="2"/>
      </rPr>
      <t>) - Annual in Arrears</t>
    </r>
  </si>
  <si>
    <r>
      <t xml:space="preserve">PV of £1 pa (YP single rate) - </t>
    </r>
    <r>
      <rPr>
        <b/>
        <sz val="11"/>
        <color rgb="FFFF0000"/>
        <rFont val="Calibri"/>
        <family val="2"/>
      </rPr>
      <t>In Advance</t>
    </r>
  </si>
  <si>
    <r>
      <t xml:space="preserve">PV of £1 pa (YP single rate) - </t>
    </r>
    <r>
      <rPr>
        <b/>
        <sz val="11"/>
        <color rgb="FFFF0000"/>
        <rFont val="Calibri"/>
        <family val="2"/>
      </rPr>
      <t>In Arrears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</si>
</sst>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44" formatCode="_-&quot;£&quot;* #,##0.00_-;\-&quot;£&quot;* #,##0.00_-;_-&quot;£&quot;* &quot;-&quot;??_-;_-@_-"/>
    <numFmt numFmtId="43" formatCode="_-* #,##0.00_-;\-* #,##0.00_-;_-* &quot;-&quot;??_-;_-@_-"/>
    <numFmt numFmtId="164" formatCode="_-&quot;£&quot;* #,##0_-;\-&quot;£&quot;* #,##0_-;_-&quot;£&quot;* &quot;-&quot;??_-;_-@_-"/>
    <numFmt numFmtId="165" formatCode="_(* #,##0_);_(* \(#,##0\);_(* &quot;-&quot;??_);_(@_)"/>
    <numFmt numFmtId="166" formatCode="_-[$£-809]* #,##0_-;\-[$£-809]* #,##0_-;_-[$£-809]* &quot;-&quot;??_-;_-@_-"/>
    <numFmt numFmtId="167" formatCode="#,##0.00\ &quot;years&quot;"/>
    <numFmt numFmtId="168" formatCode="#,##0\ &quot;years&quot;"/>
    <numFmt numFmtId="169" formatCode="0.000000%"/>
    <numFmt numFmtId="170" formatCode="#,##0.00\ &quot;year&quot;"/>
    <numFmt numFmtId="171" formatCode="0.000%"/>
    <numFmt numFmtId="172" formatCode="_-* #,##0.0000_-;\-* #,##0.0000_-;_-* &quot;-&quot;??_-;_-@_-"/>
    <numFmt numFmtId="173" formatCode="#,##0_ ;\-#,##0\ "/>
    <numFmt numFmtId="176" formatCode="&quot;£&quot;#,##0\ &quot; pa&quot;"/>
    <numFmt numFmtId="177" formatCode="_-* #,##0_-;\-* #,##0_-;_-* &quot;-&quot;??_-;_-@_-"/>
  </numFmts>
  <fonts count="19" x14ac:knownFonts="1">
    <font>
      <sz val="10"/>
      <name val="Arial"/>
    </font>
    <font>
      <sz val="10"/>
      <name val="Arial"/>
      <family val="2"/>
    </font>
    <font>
      <b/>
      <u/>
      <sz val="11"/>
      <color rgb="FF0070C0"/>
      <name val="Calibri"/>
      <family val="2"/>
    </font>
    <font>
      <b/>
      <sz val="11"/>
      <name val="Calibri"/>
      <family val="2"/>
    </font>
    <font>
      <sz val="11"/>
      <name val="Calibri"/>
      <family val="2"/>
    </font>
    <font>
      <b/>
      <sz val="11"/>
      <color rgb="FFFF0000"/>
      <name val="Calibri"/>
      <family val="2"/>
    </font>
    <font>
      <b/>
      <sz val="11"/>
      <color indexed="8"/>
      <name val="Calibri"/>
      <family val="2"/>
    </font>
    <font>
      <b/>
      <sz val="11"/>
      <color indexed="10"/>
      <name val="Calibri"/>
      <family val="2"/>
    </font>
    <font>
      <b/>
      <sz val="11"/>
      <color indexed="12"/>
      <name val="Calibri"/>
      <family val="2"/>
    </font>
    <font>
      <sz val="14"/>
      <name val="Calibri"/>
      <family val="2"/>
    </font>
    <font>
      <b/>
      <sz val="11"/>
      <color indexed="16"/>
      <name val="Calibri"/>
      <family val="2"/>
    </font>
    <font>
      <b/>
      <sz val="11"/>
      <color rgb="FF7030A0"/>
      <name val="Calibri"/>
      <family val="2"/>
    </font>
    <font>
      <b/>
      <sz val="11"/>
      <color rgb="FF0070C0"/>
      <name val="Calibri"/>
      <family val="2"/>
    </font>
    <font>
      <sz val="11"/>
      <color rgb="FF0070C0"/>
      <name val="Calibri"/>
      <family val="2"/>
    </font>
    <font>
      <b/>
      <sz val="11"/>
      <color rgb="FFFFFF99"/>
      <name val="Calibri"/>
      <family val="2"/>
    </font>
    <font>
      <b/>
      <sz val="11"/>
      <color rgb="FF000000"/>
      <name val="Calibri"/>
      <family val="2"/>
    </font>
    <font>
      <b/>
      <sz val="11"/>
      <color indexed="13"/>
      <name val="Calibri"/>
      <family val="2"/>
    </font>
    <font>
      <sz val="11"/>
      <color rgb="FFFF0000"/>
      <name val="Calibri"/>
      <family val="2"/>
    </font>
    <font>
      <sz val="11"/>
      <color theme="1"/>
      <name val="Calibri"/>
      <family val="2"/>
    </font>
  </fonts>
  <fills count="1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indexed="42"/>
        <bgColor indexed="64"/>
      </patternFill>
    </fill>
    <fill>
      <patternFill patternType="solid">
        <fgColor rgb="FFCCFFCC"/>
        <bgColor indexed="64"/>
      </patternFill>
    </fill>
    <fill>
      <patternFill patternType="solid">
        <fgColor indexed="22"/>
        <bgColor indexed="64"/>
      </patternFill>
    </fill>
    <fill>
      <patternFill patternType="solid">
        <fgColor theme="3" tint="0.59999389629810485"/>
        <bgColor indexed="64"/>
      </patternFill>
    </fill>
    <fill>
      <patternFill patternType="solid">
        <fgColor indexed="43"/>
        <bgColor indexed="64"/>
      </patternFill>
    </fill>
    <fill>
      <patternFill patternType="solid">
        <fgColor theme="8" tint="0.39997558519241921"/>
        <bgColor indexed="64"/>
      </patternFill>
    </fill>
    <fill>
      <patternFill patternType="solid">
        <fgColor rgb="FFFFFF99"/>
        <bgColor indexed="64"/>
      </patternFill>
    </fill>
    <fill>
      <patternFill patternType="solid">
        <fgColor theme="0" tint="-0.249977111117893"/>
        <bgColor indexed="64"/>
      </patternFill>
    </fill>
    <fill>
      <patternFill patternType="solid">
        <fgColor theme="8" tint="0.59999389629810485"/>
        <bgColor indexed="64"/>
      </patternFill>
    </fill>
  </fills>
  <borders count="3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53">
    <xf numFmtId="0" fontId="0" fillId="0" borderId="0" xfId="0"/>
    <xf numFmtId="0" fontId="2" fillId="0" borderId="0" xfId="0" applyFont="1" applyAlignment="1">
      <alignment horizontal="right"/>
    </xf>
    <xf numFmtId="0" fontId="4" fillId="0" borderId="0" xfId="0" applyFont="1" applyAlignment="1">
      <alignment horizontal="right"/>
    </xf>
    <xf numFmtId="164" fontId="5" fillId="10" borderId="24" xfId="2" applyNumberFormat="1" applyFont="1" applyFill="1" applyBorder="1" applyAlignment="1">
      <alignment horizontal="right"/>
    </xf>
    <xf numFmtId="10" fontId="5" fillId="10" borderId="24" xfId="3" applyNumberFormat="1" applyFont="1" applyFill="1" applyBorder="1" applyAlignment="1">
      <alignment horizontal="right"/>
    </xf>
    <xf numFmtId="168" fontId="5" fillId="10" borderId="24" xfId="0" applyNumberFormat="1" applyFont="1" applyFill="1" applyBorder="1" applyAlignment="1">
      <alignment horizontal="right"/>
    </xf>
    <xf numFmtId="9" fontId="5" fillId="10" borderId="24" xfId="3" applyFont="1" applyFill="1" applyBorder="1" applyAlignment="1">
      <alignment horizontal="right"/>
    </xf>
    <xf numFmtId="164" fontId="3" fillId="10" borderId="24" xfId="2" applyNumberFormat="1" applyFont="1" applyFill="1" applyBorder="1" applyAlignment="1">
      <alignment horizontal="right"/>
    </xf>
    <xf numFmtId="171" fontId="3" fillId="10" borderId="24" xfId="3" applyNumberFormat="1" applyFont="1" applyFill="1" applyBorder="1" applyAlignment="1">
      <alignment horizontal="right"/>
    </xf>
    <xf numFmtId="10" fontId="3" fillId="10" borderId="24" xfId="3" applyNumberFormat="1" applyFont="1" applyFill="1" applyBorder="1" applyAlignment="1">
      <alignment horizontal="right"/>
    </xf>
    <xf numFmtId="172" fontId="3" fillId="10" borderId="24" xfId="1" applyNumberFormat="1" applyFont="1" applyFill="1" applyBorder="1" applyAlignment="1">
      <alignment horizontal="right"/>
    </xf>
    <xf numFmtId="0" fontId="4" fillId="6" borderId="9" xfId="0" applyFont="1" applyFill="1" applyBorder="1"/>
    <xf numFmtId="0" fontId="4" fillId="6" borderId="10" xfId="0" applyFont="1" applyFill="1" applyBorder="1"/>
    <xf numFmtId="0" fontId="4" fillId="6" borderId="11" xfId="0" applyFont="1" applyFill="1" applyBorder="1"/>
    <xf numFmtId="0" fontId="3" fillId="5" borderId="3" xfId="0" applyFont="1" applyFill="1" applyBorder="1"/>
    <xf numFmtId="164" fontId="3" fillId="5" borderId="7" xfId="2" applyNumberFormat="1" applyFont="1" applyFill="1" applyBorder="1" applyAlignment="1">
      <alignment horizontal="left"/>
    </xf>
    <xf numFmtId="9" fontId="3" fillId="4" borderId="5" xfId="3" applyFont="1" applyFill="1" applyBorder="1" applyAlignment="1">
      <alignment horizontal="center"/>
    </xf>
    <xf numFmtId="164" fontId="6" fillId="8" borderId="15" xfId="2" applyNumberFormat="1" applyFont="1" applyFill="1" applyBorder="1" applyAlignment="1">
      <alignment horizontal="right" vertical="center"/>
    </xf>
    <xf numFmtId="164" fontId="6" fillId="8" borderId="16" xfId="2" applyNumberFormat="1" applyFont="1" applyFill="1" applyBorder="1" applyAlignment="1">
      <alignment horizontal="right" vertical="center"/>
    </xf>
    <xf numFmtId="164" fontId="6" fillId="8" borderId="17" xfId="2" applyNumberFormat="1" applyFont="1" applyFill="1" applyBorder="1" applyAlignment="1">
      <alignment horizontal="right" vertical="center"/>
    </xf>
    <xf numFmtId="164" fontId="6" fillId="8" borderId="18" xfId="2" applyNumberFormat="1" applyFont="1" applyFill="1" applyBorder="1" applyAlignment="1">
      <alignment horizontal="right" vertical="center"/>
    </xf>
    <xf numFmtId="164" fontId="6" fillId="8" borderId="19" xfId="2" applyNumberFormat="1" applyFont="1" applyFill="1" applyBorder="1" applyAlignment="1">
      <alignment horizontal="right" vertical="center"/>
    </xf>
    <xf numFmtId="164" fontId="6" fillId="8" borderId="20" xfId="2" applyNumberFormat="1" applyFont="1" applyFill="1" applyBorder="1" applyAlignment="1">
      <alignment horizontal="right" vertical="center"/>
    </xf>
    <xf numFmtId="9" fontId="7" fillId="4" borderId="5" xfId="3" applyFont="1" applyFill="1" applyBorder="1" applyAlignment="1">
      <alignment horizontal="center"/>
    </xf>
    <xf numFmtId="164" fontId="6" fillId="8" borderId="21" xfId="2" applyNumberFormat="1" applyFont="1" applyFill="1" applyBorder="1" applyAlignment="1">
      <alignment horizontal="right" vertical="center"/>
    </xf>
    <xf numFmtId="164" fontId="6" fillId="8" borderId="22" xfId="2" applyNumberFormat="1" applyFont="1" applyFill="1" applyBorder="1" applyAlignment="1">
      <alignment horizontal="right" vertical="center"/>
    </xf>
    <xf numFmtId="164" fontId="6" fillId="8" borderId="23" xfId="2" applyNumberFormat="1" applyFont="1" applyFill="1" applyBorder="1" applyAlignment="1">
      <alignment horizontal="right" vertical="center"/>
    </xf>
    <xf numFmtId="0" fontId="4" fillId="6" borderId="7" xfId="0" applyFont="1" applyFill="1" applyBorder="1"/>
    <xf numFmtId="0" fontId="8" fillId="3" borderId="14" xfId="0" applyFont="1" applyFill="1" applyBorder="1" applyAlignment="1">
      <alignment horizontal="center"/>
    </xf>
    <xf numFmtId="44" fontId="3" fillId="4" borderId="5" xfId="2" applyFont="1" applyFill="1" applyBorder="1" applyAlignment="1">
      <alignment horizontal="center"/>
    </xf>
    <xf numFmtId="0" fontId="9" fillId="0" borderId="0" xfId="0" applyFont="1"/>
    <xf numFmtId="0" fontId="4" fillId="0" borderId="0" xfId="0" applyFont="1"/>
    <xf numFmtId="0" fontId="2" fillId="10" borderId="25" xfId="0" applyFont="1" applyFill="1" applyBorder="1" applyAlignment="1">
      <alignment horizontal="left"/>
    </xf>
    <xf numFmtId="0" fontId="2" fillId="10" borderId="26" xfId="0" applyFont="1" applyFill="1" applyBorder="1"/>
    <xf numFmtId="164" fontId="3" fillId="10" borderId="28" xfId="2" applyNumberFormat="1" applyFont="1" applyFill="1" applyBorder="1"/>
    <xf numFmtId="44" fontId="3" fillId="10" borderId="29" xfId="2" applyFont="1" applyFill="1" applyBorder="1"/>
    <xf numFmtId="164" fontId="3" fillId="10" borderId="30" xfId="2" applyNumberFormat="1" applyFont="1" applyFill="1" applyBorder="1"/>
    <xf numFmtId="44" fontId="3" fillId="10" borderId="31" xfId="2" applyFont="1" applyFill="1" applyBorder="1"/>
    <xf numFmtId="0" fontId="2" fillId="10" borderId="25" xfId="0" applyFont="1" applyFill="1" applyBorder="1"/>
    <xf numFmtId="0" fontId="2" fillId="10" borderId="27" xfId="0" applyFont="1" applyFill="1" applyBorder="1" applyAlignment="1">
      <alignment horizontal="right"/>
    </xf>
    <xf numFmtId="0" fontId="2" fillId="10" borderId="26" xfId="0" applyFont="1" applyFill="1" applyBorder="1" applyAlignment="1">
      <alignment horizontal="right"/>
    </xf>
    <xf numFmtId="164" fontId="3" fillId="10" borderId="0" xfId="2" applyNumberFormat="1" applyFont="1" applyFill="1" applyBorder="1"/>
    <xf numFmtId="164" fontId="3" fillId="10" borderId="29" xfId="2" applyNumberFormat="1" applyFont="1" applyFill="1" applyBorder="1"/>
    <xf numFmtId="164" fontId="3" fillId="10" borderId="32" xfId="2" applyNumberFormat="1" applyFont="1" applyFill="1" applyBorder="1"/>
    <xf numFmtId="164" fontId="3" fillId="10" borderId="31" xfId="2" applyNumberFormat="1" applyFont="1" applyFill="1" applyBorder="1"/>
    <xf numFmtId="164" fontId="3" fillId="0" borderId="8" xfId="2" applyNumberFormat="1" applyFont="1" applyFill="1" applyBorder="1" applyAlignment="1">
      <alignment horizontal="center"/>
    </xf>
    <xf numFmtId="168" fontId="3" fillId="9" borderId="13" xfId="0" applyNumberFormat="1" applyFont="1" applyFill="1" applyBorder="1" applyAlignment="1">
      <alignment horizontal="center"/>
    </xf>
    <xf numFmtId="168" fontId="5" fillId="2" borderId="1" xfId="0" applyNumberFormat="1" applyFont="1" applyFill="1" applyBorder="1" applyAlignment="1">
      <alignment horizontal="center"/>
    </xf>
    <xf numFmtId="168" fontId="3" fillId="9" borderId="14" xfId="0" applyNumberFormat="1" applyFont="1" applyFill="1" applyBorder="1" applyAlignment="1">
      <alignment horizontal="center"/>
    </xf>
    <xf numFmtId="0" fontId="10" fillId="10" borderId="2" xfId="0" applyFont="1" applyFill="1" applyBorder="1" applyAlignment="1">
      <alignment horizontal="left"/>
    </xf>
    <xf numFmtId="0" fontId="5" fillId="2" borderId="1" xfId="0" applyFont="1" applyFill="1" applyBorder="1" applyAlignment="1">
      <alignment horizontal="center"/>
    </xf>
    <xf numFmtId="44" fontId="3" fillId="3" borderId="2" xfId="2" applyFont="1" applyFill="1" applyBorder="1" applyAlignment="1">
      <alignment horizontal="right"/>
    </xf>
    <xf numFmtId="164" fontId="5" fillId="10" borderId="12" xfId="2" applyNumberFormat="1" applyFont="1" applyFill="1" applyBorder="1"/>
    <xf numFmtId="0" fontId="11" fillId="6" borderId="10" xfId="0" applyFont="1" applyFill="1" applyBorder="1"/>
    <xf numFmtId="44" fontId="3" fillId="3" borderId="5" xfId="2" applyFont="1" applyFill="1" applyBorder="1" applyAlignment="1">
      <alignment horizontal="right"/>
    </xf>
    <xf numFmtId="10" fontId="5" fillId="10" borderId="13" xfId="3" applyNumberFormat="1" applyFont="1" applyFill="1" applyBorder="1" applyAlignment="1">
      <alignment horizontal="center"/>
    </xf>
    <xf numFmtId="165" fontId="12" fillId="4" borderId="3" xfId="1" applyNumberFormat="1" applyFont="1" applyFill="1" applyBorder="1" applyAlignment="1">
      <alignment horizontal="center" wrapText="1"/>
    </xf>
    <xf numFmtId="165" fontId="12" fillId="4" borderId="4" xfId="1" applyNumberFormat="1" applyFont="1" applyFill="1" applyBorder="1" applyAlignment="1">
      <alignment horizontal="center" wrapText="1"/>
    </xf>
    <xf numFmtId="168" fontId="5" fillId="10" borderId="14" xfId="0" applyNumberFormat="1" applyFont="1" applyFill="1" applyBorder="1" applyAlignment="1">
      <alignment horizontal="center"/>
    </xf>
    <xf numFmtId="0" fontId="13" fillId="0" borderId="7" xfId="0" applyFont="1" applyBorder="1" applyAlignment="1">
      <alignment horizontal="center" wrapText="1"/>
    </xf>
    <xf numFmtId="0" fontId="13" fillId="0" borderId="8" xfId="0" applyFont="1" applyBorder="1" applyAlignment="1">
      <alignment horizontal="center" wrapText="1"/>
    </xf>
    <xf numFmtId="167" fontId="5" fillId="10" borderId="14" xfId="0" applyNumberFormat="1" applyFont="1" applyFill="1" applyBorder="1" applyAlignment="1">
      <alignment horizontal="center"/>
    </xf>
    <xf numFmtId="164" fontId="3" fillId="0" borderId="1" xfId="2" applyNumberFormat="1" applyFont="1" applyFill="1" applyBorder="1" applyAlignment="1">
      <alignment horizontal="center"/>
    </xf>
    <xf numFmtId="176" fontId="5" fillId="10" borderId="12" xfId="2" applyNumberFormat="1" applyFont="1" applyFill="1" applyBorder="1"/>
    <xf numFmtId="10" fontId="5" fillId="10" borderId="13" xfId="3" applyNumberFormat="1" applyFont="1" applyFill="1" applyBorder="1" applyAlignment="1">
      <alignment horizontal="right"/>
    </xf>
    <xf numFmtId="168" fontId="5" fillId="10" borderId="14" xfId="0" applyNumberFormat="1" applyFont="1" applyFill="1" applyBorder="1" applyAlignment="1">
      <alignment horizontal="right"/>
    </xf>
    <xf numFmtId="0" fontId="11" fillId="6" borderId="9" xfId="0" applyFont="1" applyFill="1" applyBorder="1"/>
    <xf numFmtId="10" fontId="5" fillId="10" borderId="12" xfId="3" applyNumberFormat="1" applyFont="1" applyFill="1" applyBorder="1"/>
    <xf numFmtId="0" fontId="12" fillId="5" borderId="2" xfId="0" applyFont="1" applyFill="1" applyBorder="1" applyAlignment="1">
      <alignment horizontal="center" wrapText="1"/>
    </xf>
    <xf numFmtId="0" fontId="12" fillId="5" borderId="3" xfId="0" applyFont="1" applyFill="1" applyBorder="1" applyAlignment="1">
      <alignment horizontal="center" wrapText="1"/>
    </xf>
    <xf numFmtId="0" fontId="12" fillId="5" borderId="4" xfId="0" applyFont="1" applyFill="1" applyBorder="1" applyAlignment="1">
      <alignment horizontal="center" wrapText="1"/>
    </xf>
    <xf numFmtId="167" fontId="5" fillId="10" borderId="13" xfId="0" applyNumberFormat="1" applyFont="1" applyFill="1" applyBorder="1" applyAlignment="1">
      <alignment horizontal="right"/>
    </xf>
    <xf numFmtId="0" fontId="12" fillId="5" borderId="5" xfId="0" applyFont="1" applyFill="1" applyBorder="1" applyAlignment="1">
      <alignment horizontal="center" wrapText="1"/>
    </xf>
    <xf numFmtId="0" fontId="12" fillId="5" borderId="0" xfId="0" applyFont="1" applyFill="1" applyAlignment="1">
      <alignment horizontal="center" wrapText="1"/>
    </xf>
    <xf numFmtId="0" fontId="12" fillId="5" borderId="6" xfId="0" applyFont="1" applyFill="1" applyBorder="1" applyAlignment="1">
      <alignment horizontal="center" wrapText="1"/>
    </xf>
    <xf numFmtId="164" fontId="5" fillId="10" borderId="14" xfId="2" applyNumberFormat="1" applyFont="1" applyFill="1" applyBorder="1"/>
    <xf numFmtId="0" fontId="12" fillId="5" borderId="33" xfId="0" applyFont="1" applyFill="1" applyBorder="1" applyAlignment="1">
      <alignment horizontal="center" wrapText="1"/>
    </xf>
    <xf numFmtId="0" fontId="12" fillId="5" borderId="7" xfId="0" applyFont="1" applyFill="1" applyBorder="1" applyAlignment="1">
      <alignment horizontal="center" wrapText="1"/>
    </xf>
    <xf numFmtId="0" fontId="12" fillId="5" borderId="8" xfId="0" applyFont="1" applyFill="1" applyBorder="1" applyAlignment="1">
      <alignment horizontal="center" wrapText="1"/>
    </xf>
    <xf numFmtId="44" fontId="3" fillId="11" borderId="12" xfId="2" applyFont="1" applyFill="1" applyBorder="1" applyAlignment="1">
      <alignment horizontal="right"/>
    </xf>
    <xf numFmtId="164" fontId="5" fillId="10" borderId="12" xfId="2" applyNumberFormat="1" applyFont="1" applyFill="1" applyBorder="1" applyAlignment="1">
      <alignment horizontal="right"/>
    </xf>
    <xf numFmtId="44" fontId="3" fillId="11" borderId="13" xfId="2" applyFont="1" applyFill="1" applyBorder="1" applyAlignment="1">
      <alignment horizontal="right"/>
    </xf>
    <xf numFmtId="0" fontId="4" fillId="0" borderId="0" xfId="0" applyFont="1" applyAlignment="1">
      <alignment horizontal="center" wrapText="1"/>
    </xf>
    <xf numFmtId="0" fontId="4" fillId="0" borderId="6" xfId="0" applyFont="1" applyBorder="1" applyAlignment="1">
      <alignment horizontal="center" wrapText="1"/>
    </xf>
    <xf numFmtId="168" fontId="5" fillId="10" borderId="13" xfId="0" applyNumberFormat="1" applyFont="1" applyFill="1" applyBorder="1" applyAlignment="1">
      <alignment horizontal="right"/>
    </xf>
    <xf numFmtId="44" fontId="3" fillId="11" borderId="14" xfId="2" applyFont="1" applyFill="1" applyBorder="1" applyAlignment="1">
      <alignment horizontal="right"/>
    </xf>
    <xf numFmtId="164" fontId="3" fillId="0" borderId="11" xfId="2" applyNumberFormat="1" applyFont="1" applyFill="1" applyBorder="1"/>
    <xf numFmtId="44" fontId="4" fillId="0" borderId="0" xfId="2" applyFont="1"/>
    <xf numFmtId="10" fontId="5" fillId="10" borderId="14" xfId="3" applyNumberFormat="1" applyFont="1" applyFill="1" applyBorder="1" applyAlignment="1">
      <alignment horizontal="right"/>
    </xf>
    <xf numFmtId="0" fontId="4" fillId="0" borderId="7" xfId="0" applyFont="1" applyBorder="1" applyAlignment="1">
      <alignment horizontal="center" wrapText="1"/>
    </xf>
    <xf numFmtId="0" fontId="4" fillId="0" borderId="8" xfId="0" applyFont="1" applyBorder="1" applyAlignment="1">
      <alignment horizontal="center" wrapText="1"/>
    </xf>
    <xf numFmtId="4" fontId="4" fillId="0" borderId="0" xfId="0" applyNumberFormat="1" applyFont="1"/>
    <xf numFmtId="44" fontId="3" fillId="11" borderId="2" xfId="2" applyFont="1" applyFill="1" applyBorder="1" applyAlignment="1">
      <alignment horizontal="right"/>
    </xf>
    <xf numFmtId="164" fontId="5" fillId="0" borderId="0" xfId="2" applyNumberFormat="1" applyFont="1" applyFill="1" applyBorder="1"/>
    <xf numFmtId="44" fontId="3" fillId="11" borderId="5" xfId="2" applyFont="1" applyFill="1" applyBorder="1" applyAlignment="1">
      <alignment horizontal="right"/>
    </xf>
    <xf numFmtId="172" fontId="5" fillId="0" borderId="0" xfId="1" applyNumberFormat="1" applyFont="1" applyFill="1" applyBorder="1"/>
    <xf numFmtId="44" fontId="3" fillId="11" borderId="5" xfId="2" applyFont="1" applyFill="1" applyBorder="1" applyAlignment="1">
      <alignment horizontal="right" wrapText="1"/>
    </xf>
    <xf numFmtId="177" fontId="5" fillId="10" borderId="13" xfId="1" applyNumberFormat="1" applyFont="1" applyFill="1" applyBorder="1" applyAlignment="1">
      <alignment horizontal="right"/>
    </xf>
    <xf numFmtId="164" fontId="3" fillId="0" borderId="1" xfId="2" applyNumberFormat="1" applyFont="1" applyFill="1" applyBorder="1"/>
    <xf numFmtId="168" fontId="5" fillId="10" borderId="13" xfId="0" applyNumberFormat="1" applyFont="1" applyFill="1" applyBorder="1" applyAlignment="1">
      <alignment horizontal="center"/>
    </xf>
    <xf numFmtId="44" fontId="3" fillId="3" borderId="13" xfId="2" applyFont="1" applyFill="1" applyBorder="1" applyAlignment="1">
      <alignment horizontal="right"/>
    </xf>
    <xf numFmtId="10" fontId="5" fillId="10" borderId="6" xfId="3" applyNumberFormat="1" applyFont="1" applyFill="1" applyBorder="1" applyAlignment="1">
      <alignment horizontal="right"/>
    </xf>
    <xf numFmtId="168" fontId="14" fillId="10" borderId="14" xfId="0" applyNumberFormat="1" applyFont="1" applyFill="1" applyBorder="1" applyAlignment="1">
      <alignment horizontal="right"/>
    </xf>
    <xf numFmtId="164" fontId="3" fillId="0" borderId="14" xfId="2" applyNumberFormat="1" applyFont="1" applyFill="1" applyBorder="1" applyAlignment="1">
      <alignment horizontal="center"/>
    </xf>
    <xf numFmtId="166" fontId="8" fillId="3" borderId="14" xfId="0" applyNumberFormat="1" applyFont="1" applyFill="1" applyBorder="1" applyAlignment="1">
      <alignment horizontal="center"/>
    </xf>
    <xf numFmtId="10" fontId="3" fillId="7" borderId="9" xfId="3" applyNumberFormat="1" applyFont="1" applyFill="1" applyBorder="1" applyAlignment="1">
      <alignment horizontal="center"/>
    </xf>
    <xf numFmtId="10" fontId="3" fillId="7" borderId="10" xfId="3" applyNumberFormat="1" applyFont="1" applyFill="1" applyBorder="1" applyAlignment="1">
      <alignment horizontal="center"/>
    </xf>
    <xf numFmtId="10" fontId="5" fillId="2" borderId="1" xfId="3" applyNumberFormat="1" applyFont="1" applyFill="1" applyBorder="1" applyAlignment="1">
      <alignment horizontal="center"/>
    </xf>
    <xf numFmtId="10" fontId="3" fillId="7" borderId="11" xfId="3" applyNumberFormat="1" applyFont="1" applyFill="1" applyBorder="1" applyAlignment="1">
      <alignment horizontal="center"/>
    </xf>
    <xf numFmtId="0" fontId="15" fillId="0" borderId="0" xfId="0" applyFont="1"/>
    <xf numFmtId="167" fontId="3" fillId="9" borderId="13" xfId="0" applyNumberFormat="1" applyFont="1" applyFill="1" applyBorder="1" applyAlignment="1">
      <alignment horizontal="center"/>
    </xf>
    <xf numFmtId="167" fontId="5" fillId="2" borderId="1" xfId="0" applyNumberFormat="1" applyFont="1" applyFill="1" applyBorder="1" applyAlignment="1">
      <alignment horizontal="center"/>
    </xf>
    <xf numFmtId="167" fontId="3" fillId="9" borderId="14" xfId="0" applyNumberFormat="1" applyFont="1" applyFill="1" applyBorder="1" applyAlignment="1">
      <alignment horizontal="center"/>
    </xf>
    <xf numFmtId="0" fontId="16" fillId="10" borderId="3" xfId="0" applyFont="1" applyFill="1" applyBorder="1"/>
    <xf numFmtId="170" fontId="5" fillId="2" borderId="1" xfId="0" applyNumberFormat="1" applyFont="1" applyFill="1" applyBorder="1" applyAlignment="1">
      <alignment horizontal="center"/>
    </xf>
    <xf numFmtId="164" fontId="17" fillId="0" borderId="0" xfId="2" applyNumberFormat="1" applyFont="1"/>
    <xf numFmtId="164" fontId="18" fillId="0" borderId="0" xfId="2" applyNumberFormat="1" applyFont="1"/>
    <xf numFmtId="10" fontId="4" fillId="0" borderId="0" xfId="0" applyNumberFormat="1" applyFont="1"/>
    <xf numFmtId="10" fontId="4" fillId="0" borderId="0" xfId="3" applyNumberFormat="1" applyFont="1"/>
    <xf numFmtId="169" fontId="4" fillId="0" borderId="0" xfId="3" applyNumberFormat="1" applyFont="1"/>
    <xf numFmtId="44" fontId="3" fillId="3" borderId="5" xfId="2" applyFont="1" applyFill="1" applyBorder="1" applyAlignment="1">
      <alignment horizontal="right" wrapText="1"/>
    </xf>
    <xf numFmtId="173" fontId="5" fillId="10" borderId="14" xfId="1" applyNumberFormat="1" applyFont="1" applyFill="1" applyBorder="1" applyAlignment="1">
      <alignment horizontal="right"/>
    </xf>
    <xf numFmtId="43" fontId="4" fillId="0" borderId="0" xfId="1" applyFont="1"/>
    <xf numFmtId="44" fontId="3" fillId="3" borderId="12" xfId="2" applyFont="1" applyFill="1" applyBorder="1" applyAlignment="1">
      <alignment horizontal="right"/>
    </xf>
    <xf numFmtId="164" fontId="5" fillId="10" borderId="4" xfId="2" applyNumberFormat="1" applyFont="1" applyFill="1" applyBorder="1"/>
    <xf numFmtId="167" fontId="5" fillId="10" borderId="6" xfId="0" applyNumberFormat="1" applyFont="1" applyFill="1" applyBorder="1" applyAlignment="1">
      <alignment horizontal="right"/>
    </xf>
    <xf numFmtId="10" fontId="5" fillId="10" borderId="8" xfId="3" applyNumberFormat="1" applyFont="1" applyFill="1" applyBorder="1"/>
    <xf numFmtId="164" fontId="3" fillId="0" borderId="11" xfId="2" applyNumberFormat="1" applyFont="1" applyFill="1" applyBorder="1" applyAlignment="1">
      <alignment horizontal="center"/>
    </xf>
    <xf numFmtId="44" fontId="3" fillId="11" borderId="34" xfId="2" applyFont="1" applyFill="1" applyBorder="1" applyAlignment="1">
      <alignment horizontal="right" wrapText="1"/>
    </xf>
    <xf numFmtId="164" fontId="5" fillId="10" borderId="4" xfId="2" applyNumberFormat="1" applyFont="1" applyFill="1" applyBorder="1" applyAlignment="1">
      <alignment horizontal="right"/>
    </xf>
    <xf numFmtId="44" fontId="3" fillId="11" borderId="35" xfId="2" applyFont="1" applyFill="1" applyBorder="1" applyAlignment="1">
      <alignment horizontal="right"/>
    </xf>
    <xf numFmtId="6" fontId="4" fillId="0" borderId="0" xfId="0" applyNumberFormat="1" applyFont="1"/>
    <xf numFmtId="168" fontId="5" fillId="10" borderId="6" xfId="0" applyNumberFormat="1" applyFont="1" applyFill="1" applyBorder="1" applyAlignment="1">
      <alignment horizontal="right"/>
    </xf>
    <xf numFmtId="44" fontId="3" fillId="0" borderId="0" xfId="0" applyNumberFormat="1" applyFont="1"/>
    <xf numFmtId="44" fontId="3" fillId="11" borderId="35" xfId="2" applyFont="1" applyFill="1" applyBorder="1" applyAlignment="1">
      <alignment horizontal="right" wrapText="1"/>
    </xf>
    <xf numFmtId="173" fontId="5" fillId="10" borderId="6" xfId="1" applyNumberFormat="1" applyFont="1" applyFill="1" applyBorder="1" applyAlignment="1">
      <alignment horizontal="right"/>
    </xf>
    <xf numFmtId="164" fontId="3" fillId="0" borderId="3" xfId="2" applyNumberFormat="1" applyFont="1" applyFill="1" applyBorder="1"/>
    <xf numFmtId="0" fontId="3" fillId="5" borderId="2" xfId="0" applyFont="1" applyFill="1" applyBorder="1" applyAlignment="1">
      <alignment horizontal="right"/>
    </xf>
    <xf numFmtId="0" fontId="4" fillId="5" borderId="3" xfId="0" applyFont="1" applyFill="1" applyBorder="1"/>
    <xf numFmtId="0" fontId="12" fillId="5" borderId="3" xfId="0" applyFont="1" applyFill="1" applyBorder="1" applyAlignment="1">
      <alignment horizontal="center"/>
    </xf>
    <xf numFmtId="164" fontId="12" fillId="5" borderId="3" xfId="2" applyNumberFormat="1" applyFont="1" applyFill="1" applyBorder="1" applyAlignment="1">
      <alignment horizontal="center"/>
    </xf>
    <xf numFmtId="0" fontId="3" fillId="5" borderId="3" xfId="0" applyFont="1" applyFill="1" applyBorder="1" applyAlignment="1">
      <alignment horizontal="right"/>
    </xf>
    <xf numFmtId="0" fontId="4" fillId="5" borderId="4" xfId="0" applyFont="1" applyFill="1" applyBorder="1"/>
    <xf numFmtId="164" fontId="3" fillId="0" borderId="0" xfId="2" applyNumberFormat="1" applyFont="1" applyFill="1" applyBorder="1"/>
    <xf numFmtId="0" fontId="3" fillId="5" borderId="33" xfId="0" applyFont="1" applyFill="1" applyBorder="1" applyAlignment="1">
      <alignment horizontal="right"/>
    </xf>
    <xf numFmtId="0" fontId="3" fillId="5" borderId="7" xfId="0" applyFont="1" applyFill="1" applyBorder="1"/>
    <xf numFmtId="0" fontId="4" fillId="5" borderId="7" xfId="0" applyFont="1" applyFill="1" applyBorder="1"/>
    <xf numFmtId="164" fontId="12" fillId="5" borderId="7" xfId="2" applyNumberFormat="1" applyFont="1" applyFill="1" applyBorder="1" applyAlignment="1">
      <alignment horizontal="center"/>
    </xf>
    <xf numFmtId="0" fontId="3" fillId="5" borderId="7" xfId="0" applyFont="1" applyFill="1" applyBorder="1" applyAlignment="1">
      <alignment horizontal="right"/>
    </xf>
    <xf numFmtId="164" fontId="12" fillId="5" borderId="8" xfId="2" applyNumberFormat="1" applyFont="1" applyFill="1" applyBorder="1" applyAlignment="1">
      <alignment horizontal="center"/>
    </xf>
    <xf numFmtId="44" fontId="3" fillId="11" borderId="36" xfId="2" applyFont="1" applyFill="1" applyBorder="1" applyAlignment="1">
      <alignment horizontal="right" wrapText="1"/>
    </xf>
    <xf numFmtId="164" fontId="3" fillId="0" borderId="8" xfId="2" applyNumberFormat="1" applyFont="1" applyFill="1" applyBorder="1"/>
    <xf numFmtId="164" fontId="3" fillId="12" borderId="1" xfId="2" applyNumberFormat="1" applyFont="1" applyFill="1" applyBorder="1" applyAlignment="1">
      <alignment horizontal="center"/>
    </xf>
  </cellXfs>
  <cellStyles count="4">
    <cellStyle name="Comma" xfId="1" builtinId="3"/>
    <cellStyle name="Currency" xfId="2" builtinId="4"/>
    <cellStyle name="Normal" xfId="0" builtinId="0"/>
    <cellStyle name="Percent" xfId="3" builtinId="5"/>
  </cellStyles>
  <dxfs count="19">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s>
  <tableStyles count="0" defaultTableStyle="TableStyleMedium2" defaultPivotStyle="PivotStyleLight16"/>
  <colors>
    <mruColors>
      <color rgb="FFFF00FF"/>
      <color rgb="FF1ACEE6"/>
      <color rgb="FF99FF99"/>
      <color rgb="FFFFFFCC"/>
      <color rgb="FFFFCCFF"/>
      <color rgb="FFFF5050"/>
      <color rgb="FFFFCC99"/>
      <color rgb="FF3E0DF1"/>
      <color rgb="FFFFFF99"/>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2aa166e6fbb7ae5e/EasyValuations/Tablesss.xlsx" TargetMode="External"/><Relationship Id="rId1" Type="http://schemas.openxmlformats.org/officeDocument/2006/relationships/externalLinkPath" Target="Tables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s"/>
    </sheetNames>
    <sheetDataSet>
      <sheetData sheetId="0">
        <row r="275">
          <cell r="L275" t="str">
            <v>Variable Rate</v>
          </cell>
        </row>
        <row r="280">
          <cell r="D280" t="str">
            <v>Monthly</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B1:Z380"/>
  <sheetViews>
    <sheetView tabSelected="1" zoomScale="75" zoomScaleNormal="75" workbookViewId="0">
      <selection activeCell="B128" sqref="B128"/>
    </sheetView>
  </sheetViews>
  <sheetFormatPr defaultRowHeight="13.2" x14ac:dyDescent="0.25"/>
  <cols>
    <col min="1" max="1" width="1.77734375" customWidth="1"/>
    <col min="2" max="2" width="30.77734375" bestFit="1" customWidth="1"/>
    <col min="3" max="3" width="20.33203125" bestFit="1" customWidth="1"/>
    <col min="4" max="12" width="16.6640625" bestFit="1" customWidth="1"/>
    <col min="14" max="14" width="2.21875" customWidth="1"/>
    <col min="15" max="15" width="15.77734375" customWidth="1"/>
    <col min="16" max="16" width="12.33203125" bestFit="1" customWidth="1"/>
    <col min="17" max="17" width="13.109375" bestFit="1" customWidth="1"/>
    <col min="18" max="18" width="15.44140625" bestFit="1" customWidth="1"/>
    <col min="19" max="19" width="18.44140625" customWidth="1"/>
  </cols>
  <sheetData>
    <row r="1" spans="2:26" s="31" customFormat="1" ht="14.4" customHeight="1" thickBot="1" x14ac:dyDescent="0.35"/>
    <row r="2" spans="2:26" s="31" customFormat="1" ht="14.4" customHeight="1" thickBot="1" x14ac:dyDescent="0.35">
      <c r="B2" s="49" t="s">
        <v>0</v>
      </c>
      <c r="C2" s="113"/>
      <c r="D2" s="113"/>
      <c r="E2" s="113"/>
      <c r="F2" s="50">
        <v>1</v>
      </c>
    </row>
    <row r="3" spans="2:26" s="31" customFormat="1" ht="14.4" customHeight="1" thickBot="1" x14ac:dyDescent="0.35">
      <c r="B3" s="51" t="s">
        <v>1</v>
      </c>
      <c r="C3" s="52">
        <v>27000</v>
      </c>
      <c r="D3" s="12"/>
      <c r="E3" s="53" t="s">
        <v>81</v>
      </c>
      <c r="F3" s="53"/>
      <c r="G3" s="12"/>
      <c r="H3" s="12"/>
      <c r="I3" s="12"/>
      <c r="J3" s="12"/>
      <c r="K3" s="12"/>
      <c r="L3" s="13"/>
      <c r="O3" s="51" t="s">
        <v>1</v>
      </c>
      <c r="P3" s="52">
        <v>27000</v>
      </c>
      <c r="Q3" s="12"/>
      <c r="R3" s="53" t="s">
        <v>82</v>
      </c>
      <c r="S3" s="53"/>
      <c r="T3" s="12"/>
      <c r="U3" s="12"/>
      <c r="V3" s="12"/>
      <c r="W3" s="12"/>
      <c r="X3" s="12"/>
      <c r="Y3" s="13"/>
    </row>
    <row r="4" spans="2:26" s="31" customFormat="1" ht="14.4" customHeight="1" x14ac:dyDescent="0.3">
      <c r="B4" s="54" t="s">
        <v>2</v>
      </c>
      <c r="C4" s="55">
        <v>0.05</v>
      </c>
      <c r="D4" s="73" t="s">
        <v>3</v>
      </c>
      <c r="E4" s="82"/>
      <c r="F4" s="82"/>
      <c r="G4" s="82"/>
      <c r="H4" s="82"/>
      <c r="I4" s="82"/>
      <c r="J4" s="82"/>
      <c r="K4" s="82"/>
      <c r="L4" s="83"/>
      <c r="O4" s="54" t="s">
        <v>2</v>
      </c>
      <c r="P4" s="55">
        <v>0.05</v>
      </c>
      <c r="Q4" s="73" t="s">
        <v>3</v>
      </c>
      <c r="R4" s="82"/>
      <c r="S4" s="82"/>
      <c r="T4" s="82"/>
      <c r="U4" s="82"/>
      <c r="V4" s="82"/>
      <c r="W4" s="82"/>
      <c r="X4" s="82"/>
      <c r="Y4" s="83"/>
    </row>
    <row r="5" spans="2:26" s="31" customFormat="1" ht="14.4" customHeight="1" thickBot="1" x14ac:dyDescent="0.35">
      <c r="B5" s="54" t="s">
        <v>4</v>
      </c>
      <c r="C5" s="58">
        <v>7</v>
      </c>
      <c r="D5" s="89"/>
      <c r="E5" s="89"/>
      <c r="F5" s="89"/>
      <c r="G5" s="89"/>
      <c r="H5" s="89"/>
      <c r="I5" s="89"/>
      <c r="J5" s="89"/>
      <c r="K5" s="89"/>
      <c r="L5" s="90"/>
      <c r="O5" s="54" t="s">
        <v>4</v>
      </c>
      <c r="P5" s="58">
        <v>7</v>
      </c>
      <c r="Q5" s="89"/>
      <c r="R5" s="89"/>
      <c r="S5" s="89"/>
      <c r="T5" s="89"/>
      <c r="U5" s="89"/>
      <c r="V5" s="89"/>
      <c r="W5" s="89"/>
      <c r="X5" s="89"/>
      <c r="Y5" s="90"/>
    </row>
    <row r="6" spans="2:26" s="31" customFormat="1" ht="14.4" customHeight="1" thickBot="1" x14ac:dyDescent="0.35">
      <c r="B6" s="104"/>
      <c r="C6" s="62">
        <f>C3/((1-(1/((1+C4)^$C5)))/(F2*(1-(1/((1+C4)^(1/F2))))))</f>
        <v>4443.9381886158226</v>
      </c>
      <c r="D6" s="105">
        <f>ROUND((E6-M6),4)</f>
        <v>0.04</v>
      </c>
      <c r="E6" s="106">
        <f>ROUND((F6-M6),4)</f>
        <v>4.2500000000000003E-2</v>
      </c>
      <c r="F6" s="106">
        <f>ROUND((G6-M6),4)</f>
        <v>4.4999999999999998E-2</v>
      </c>
      <c r="G6" s="106">
        <f>ROUND((H6-M6),4)</f>
        <v>4.7500000000000001E-2</v>
      </c>
      <c r="H6" s="107">
        <v>0.05</v>
      </c>
      <c r="I6" s="106">
        <f>ROUND((H6+M6),4)</f>
        <v>5.2499999999999998E-2</v>
      </c>
      <c r="J6" s="106">
        <f>ROUND((I6+M6),4)</f>
        <v>5.5E-2</v>
      </c>
      <c r="K6" s="106">
        <f>ROUND((J6+M6),4)</f>
        <v>5.7500000000000002E-2</v>
      </c>
      <c r="L6" s="108">
        <f>ROUND((K6+M6),4)</f>
        <v>0.06</v>
      </c>
      <c r="M6" s="107">
        <v>2.5000000000000001E-3</v>
      </c>
      <c r="O6" s="104"/>
      <c r="P6" s="62">
        <f>P3/(1/(P4+(P4/(((1+(P4))^P5)-1))))</f>
        <v>4666.1350980466077</v>
      </c>
      <c r="Q6" s="105">
        <f>ROUND((R6-Z6),4)</f>
        <v>0.04</v>
      </c>
      <c r="R6" s="106">
        <f>ROUND((S6-Z6),4)</f>
        <v>4.2500000000000003E-2</v>
      </c>
      <c r="S6" s="106">
        <f>ROUND((T6-Z6),4)</f>
        <v>4.4999999999999998E-2</v>
      </c>
      <c r="T6" s="106">
        <f>ROUND((U6-Z6),4)</f>
        <v>4.7500000000000001E-2</v>
      </c>
      <c r="U6" s="107">
        <v>0.05</v>
      </c>
      <c r="V6" s="106">
        <f>ROUND((U6+Z6),4)</f>
        <v>5.2499999999999998E-2</v>
      </c>
      <c r="W6" s="106">
        <f>ROUND((V6+Z6),4)</f>
        <v>5.5E-2</v>
      </c>
      <c r="X6" s="106">
        <f>ROUND((W6+Z6),4)</f>
        <v>5.7500000000000002E-2</v>
      </c>
      <c r="Y6" s="108">
        <f>ROUND((X6+Z6),4)</f>
        <v>0.06</v>
      </c>
      <c r="Z6" s="107">
        <v>2.5000000000000001E-3</v>
      </c>
    </row>
    <row r="7" spans="2:26" s="31" customFormat="1" ht="14.4" customHeight="1" x14ac:dyDescent="0.3">
      <c r="B7" s="16"/>
      <c r="C7" s="110">
        <f>C8-C18</f>
        <v>5</v>
      </c>
      <c r="D7" s="17">
        <f t="dataTable" ref="D7:L17" dt2D="1" dtr="1" r1="C4" r2="C5"/>
        <v>5831.6654464537696</v>
      </c>
      <c r="E7" s="18">
        <v>5858.5995415021753</v>
      </c>
      <c r="F7" s="18">
        <v>5885.5256139908834</v>
      </c>
      <c r="G7" s="18">
        <v>5912.4432280732572</v>
      </c>
      <c r="H7" s="18">
        <v>5939.3519518697576</v>
      </c>
      <c r="I7" s="18">
        <v>5966.2513574590157</v>
      </c>
      <c r="J7" s="18">
        <v>5993.1410208686402</v>
      </c>
      <c r="K7" s="18">
        <v>6020.0205220654198</v>
      </c>
      <c r="L7" s="19">
        <v>6046.8894449454001</v>
      </c>
      <c r="O7" s="16"/>
      <c r="P7" s="46">
        <f>P8-1</f>
        <v>5</v>
      </c>
      <c r="Q7" s="17">
        <f t="dataTable" ref="Q7:Y17" dt2D="1" dtr="1" r1="P4" r2="P5"/>
        <v>6064.9320643119081</v>
      </c>
      <c r="R7" s="18">
        <v>6107.5900220160238</v>
      </c>
      <c r="S7" s="18">
        <v>6150.374266620488</v>
      </c>
      <c r="T7" s="18">
        <v>6193.2842814067299</v>
      </c>
      <c r="U7" s="18">
        <v>6236.3195494632382</v>
      </c>
      <c r="V7" s="18">
        <v>6279.4795537256205</v>
      </c>
      <c r="W7" s="18">
        <v>6322.7637770164165</v>
      </c>
      <c r="X7" s="18">
        <v>6366.1717020841716</v>
      </c>
      <c r="Y7" s="19">
        <v>6409.7028116421134</v>
      </c>
    </row>
    <row r="8" spans="2:26" s="31" customFormat="1" ht="14.4" customHeight="1" x14ac:dyDescent="0.3">
      <c r="B8" s="16"/>
      <c r="C8" s="110">
        <f>C9-C18</f>
        <v>6</v>
      </c>
      <c r="D8" s="20">
        <v>4952.4724689565037</v>
      </c>
      <c r="E8" s="21">
        <v>4980.8799276774107</v>
      </c>
      <c r="F8" s="21">
        <v>5009.2980508506917</v>
      </c>
      <c r="G8" s="21">
        <v>5037.7261309948035</v>
      </c>
      <c r="H8" s="21">
        <v>5066.1634656905608</v>
      </c>
      <c r="I8" s="21">
        <v>5094.6093576037001</v>
      </c>
      <c r="J8" s="21">
        <v>5123.0631145064117</v>
      </c>
      <c r="K8" s="21">
        <v>5151.5240492973953</v>
      </c>
      <c r="L8" s="22">
        <v>5179.9914800209262</v>
      </c>
      <c r="O8" s="16"/>
      <c r="P8" s="46">
        <f>P9-1</f>
        <v>6</v>
      </c>
      <c r="Q8" s="20">
        <v>5150.5713677147533</v>
      </c>
      <c r="R8" s="21">
        <v>5192.5673246037059</v>
      </c>
      <c r="S8" s="21">
        <v>5234.7164631389842</v>
      </c>
      <c r="T8" s="21">
        <v>5277.0181222170522</v>
      </c>
      <c r="U8" s="21">
        <v>5319.4716389750856</v>
      </c>
      <c r="V8" s="21">
        <v>5362.0763488779003</v>
      </c>
      <c r="W8" s="21">
        <v>5404.831585804267</v>
      </c>
      <c r="X8" s="21">
        <v>5447.7366821319874</v>
      </c>
      <c r="Y8" s="22">
        <v>5490.7909688221716</v>
      </c>
    </row>
    <row r="9" spans="2:26" s="31" customFormat="1" ht="14.4" customHeight="1" x14ac:dyDescent="0.3">
      <c r="B9" s="16"/>
      <c r="C9" s="110">
        <f>C10-C18</f>
        <v>7</v>
      </c>
      <c r="D9" s="20">
        <v>4325.4418510255982</v>
      </c>
      <c r="E9" s="21">
        <v>4355.0213423689947</v>
      </c>
      <c r="F9" s="21">
        <v>4384.6312303188442</v>
      </c>
      <c r="G9" s="21">
        <v>4414.2705116179386</v>
      </c>
      <c r="H9" s="21">
        <v>4443.9381886158226</v>
      </c>
      <c r="I9" s="21">
        <v>4473.6332693536524</v>
      </c>
      <c r="J9" s="21">
        <v>4503.3547676465505</v>
      </c>
      <c r="K9" s="21">
        <v>4533.1017031632091</v>
      </c>
      <c r="L9" s="22">
        <v>4562.8731015031099</v>
      </c>
      <c r="O9" s="16"/>
      <c r="P9" s="46">
        <f>P10-1</f>
        <v>7</v>
      </c>
      <c r="Q9" s="20">
        <v>4498.4595250666116</v>
      </c>
      <c r="R9" s="21">
        <v>4540.109749419682</v>
      </c>
      <c r="S9" s="21">
        <v>4581.939635683204</v>
      </c>
      <c r="T9" s="21">
        <v>4623.948360919785</v>
      </c>
      <c r="U9" s="21">
        <v>4666.1350980466077</v>
      </c>
      <c r="V9" s="21">
        <v>4708.4990159947238</v>
      </c>
      <c r="W9" s="21">
        <v>4751.0392798671128</v>
      </c>
      <c r="X9" s="21">
        <v>4793.7550510950869</v>
      </c>
      <c r="Y9" s="22">
        <v>4836.6454875932886</v>
      </c>
    </row>
    <row r="10" spans="2:26" s="31" customFormat="1" ht="14.4" customHeight="1" x14ac:dyDescent="0.3">
      <c r="B10" s="16"/>
      <c r="C10" s="110">
        <f>C11-C18</f>
        <v>8</v>
      </c>
      <c r="D10" s="20">
        <v>3856.0110242896671</v>
      </c>
      <c r="E10" s="21">
        <v>3886.5737693441843</v>
      </c>
      <c r="F10" s="21">
        <v>3917.1872149254727</v>
      </c>
      <c r="G10" s="21">
        <v>3947.8500382045004</v>
      </c>
      <c r="H10" s="21">
        <v>3978.5609218546624</v>
      </c>
      <c r="I10" s="21">
        <v>4009.3185542377605</v>
      </c>
      <c r="J10" s="21">
        <v>4040.1216295855652</v>
      </c>
      <c r="K10" s="21">
        <v>4070.968848176662</v>
      </c>
      <c r="L10" s="22">
        <v>4101.8589165089525</v>
      </c>
      <c r="O10" s="16"/>
      <c r="P10" s="46">
        <f>P11-1</f>
        <v>8</v>
      </c>
      <c r="Q10" s="20">
        <v>4010.2514652612444</v>
      </c>
      <c r="R10" s="21">
        <v>4051.7531545413167</v>
      </c>
      <c r="S10" s="21">
        <v>4093.4606395971291</v>
      </c>
      <c r="T10" s="21">
        <v>4135.3729150192094</v>
      </c>
      <c r="U10" s="21">
        <v>4177.4889679473918</v>
      </c>
      <c r="V10" s="21">
        <v>4219.8077783352473</v>
      </c>
      <c r="W10" s="21">
        <v>4262.3283192127719</v>
      </c>
      <c r="X10" s="21">
        <v>4305.0495569468139</v>
      </c>
      <c r="Y10" s="22">
        <v>4347.9704514994819</v>
      </c>
    </row>
    <row r="11" spans="2:26" s="31" customFormat="1" ht="14.4" customHeight="1" thickBot="1" x14ac:dyDescent="0.35">
      <c r="B11" s="16"/>
      <c r="C11" s="110">
        <f>C12-C18</f>
        <v>9</v>
      </c>
      <c r="D11" s="20">
        <v>3491.6450027291526</v>
      </c>
      <c r="E11" s="21">
        <v>3523.0646922947117</v>
      </c>
      <c r="F11" s="21">
        <v>3554.555684559989</v>
      </c>
      <c r="G11" s="21">
        <v>3586.116312474232</v>
      </c>
      <c r="H11" s="21">
        <v>3617.7449136631185</v>
      </c>
      <c r="I11" s="21">
        <v>3649.4398307639726</v>
      </c>
      <c r="J11" s="21">
        <v>3681.1994117539471</v>
      </c>
      <c r="K11" s="21">
        <v>3713.0220102708781</v>
      </c>
      <c r="L11" s="22">
        <v>3744.9059859270978</v>
      </c>
      <c r="O11" s="16"/>
      <c r="P11" s="46">
        <f>P12-1</f>
        <v>9</v>
      </c>
      <c r="Q11" s="20">
        <v>3631.3108028383108</v>
      </c>
      <c r="R11" s="21">
        <v>3672.7949417172399</v>
      </c>
      <c r="S11" s="21">
        <v>3714.5106903651972</v>
      </c>
      <c r="T11" s="21">
        <v>3756.4568373167535</v>
      </c>
      <c r="U11" s="21">
        <v>3798.6321593462708</v>
      </c>
      <c r="V11" s="21">
        <v>3841.0354218790853</v>
      </c>
      <c r="W11" s="21">
        <v>3883.6653794004155</v>
      </c>
      <c r="X11" s="21">
        <v>3926.5207758614483</v>
      </c>
      <c r="Y11" s="22">
        <v>3969.600345082717</v>
      </c>
    </row>
    <row r="12" spans="2:26" s="31" customFormat="1" ht="14.4" customHeight="1" thickBot="1" x14ac:dyDescent="0.35">
      <c r="B12" s="23"/>
      <c r="C12" s="111">
        <v>10</v>
      </c>
      <c r="D12" s="20">
        <v>3200.8225931862403</v>
      </c>
      <c r="E12" s="21">
        <v>3233.0103472733467</v>
      </c>
      <c r="F12" s="21">
        <v>3265.2901311340288</v>
      </c>
      <c r="G12" s="21">
        <v>3297.6599074472879</v>
      </c>
      <c r="H12" s="21">
        <v>3330.11764196889</v>
      </c>
      <c r="I12" s="21">
        <v>3362.6613040742222</v>
      </c>
      <c r="J12" s="21">
        <v>3395.2888672907566</v>
      </c>
      <c r="K12" s="21">
        <v>3427.9983098197754</v>
      </c>
      <c r="L12" s="22">
        <v>3460.7876150475158</v>
      </c>
      <c r="O12" s="23"/>
      <c r="P12" s="47">
        <v>10</v>
      </c>
      <c r="Q12" s="20">
        <v>3328.8554969136831</v>
      </c>
      <c r="R12" s="21">
        <v>3370.413287032467</v>
      </c>
      <c r="S12" s="21">
        <v>3412.2281870350685</v>
      </c>
      <c r="T12" s="21">
        <v>3454.2987530510295</v>
      </c>
      <c r="U12" s="21">
        <v>3496.6235240673309</v>
      </c>
      <c r="V12" s="21">
        <v>3539.2010225381227</v>
      </c>
      <c r="W12" s="21">
        <v>3582.0297549917491</v>
      </c>
      <c r="X12" s="21">
        <v>3625.1082126344081</v>
      </c>
      <c r="Y12" s="22">
        <v>3668.4348719503605</v>
      </c>
    </row>
    <row r="13" spans="2:26" s="31" customFormat="1" ht="14.4" customHeight="1" x14ac:dyDescent="0.3">
      <c r="B13" s="16"/>
      <c r="C13" s="110">
        <f>C12+C18</f>
        <v>11</v>
      </c>
      <c r="D13" s="20">
        <v>2963.4846730637728</v>
      </c>
      <c r="E13" s="21">
        <v>2996.3753831671465</v>
      </c>
      <c r="F13" s="21">
        <v>3029.3788565358168</v>
      </c>
      <c r="G13" s="21">
        <v>3062.4926578890318</v>
      </c>
      <c r="H13" s="21">
        <v>3095.7143526171817</v>
      </c>
      <c r="I13" s="21">
        <v>3129.0415076021955</v>
      </c>
      <c r="J13" s="21">
        <v>3162.47169202335</v>
      </c>
      <c r="K13" s="21">
        <v>3196.0024781479642</v>
      </c>
      <c r="L13" s="22">
        <v>3229.6314421069424</v>
      </c>
      <c r="O13" s="16"/>
      <c r="P13" s="46">
        <f>P12+1</f>
        <v>11</v>
      </c>
      <c r="Q13" s="20">
        <v>3082.0240599863164</v>
      </c>
      <c r="R13" s="21">
        <v>3123.7213369517526</v>
      </c>
      <c r="S13" s="21">
        <v>3165.7009050799361</v>
      </c>
      <c r="T13" s="21">
        <v>3207.9610591387568</v>
      </c>
      <c r="U13" s="21">
        <v>3250.5000702480374</v>
      </c>
      <c r="V13" s="21">
        <v>3293.3161867513154</v>
      </c>
      <c r="W13" s="21">
        <v>3336.4076350846362</v>
      </c>
      <c r="X13" s="21">
        <v>3379.7726206414673</v>
      </c>
      <c r="Y13" s="22">
        <v>3423.4093286333537</v>
      </c>
    </row>
    <row r="14" spans="2:26" s="31" customFormat="1" ht="14.4" customHeight="1" x14ac:dyDescent="0.3">
      <c r="B14" s="16"/>
      <c r="C14" s="110">
        <f>C13+C18</f>
        <v>12</v>
      </c>
      <c r="D14" s="20">
        <v>2766.2583293495495</v>
      </c>
      <c r="E14" s="21">
        <v>2799.8026921806522</v>
      </c>
      <c r="F14" s="21">
        <v>2833.4804719476674</v>
      </c>
      <c r="G14" s="21">
        <v>2867.2888059931829</v>
      </c>
      <c r="H14" s="21">
        <v>2901.2248291066849</v>
      </c>
      <c r="I14" s="21">
        <v>2935.2856747051705</v>
      </c>
      <c r="J14" s="21">
        <v>2969.4684759939223</v>
      </c>
      <c r="K14" s="21">
        <v>3003.770367106616</v>
      </c>
      <c r="L14" s="22">
        <v>3038.1884842244549</v>
      </c>
      <c r="O14" s="16"/>
      <c r="P14" s="46">
        <f>P13+1</f>
        <v>12</v>
      </c>
      <c r="Q14" s="20">
        <v>2876.9086625235254</v>
      </c>
      <c r="R14" s="21">
        <v>2918.7943065983327</v>
      </c>
      <c r="S14" s="21">
        <v>2960.9870931853202</v>
      </c>
      <c r="T14" s="21">
        <v>3003.4850242778552</v>
      </c>
      <c r="U14" s="21">
        <v>3046.286070562016</v>
      </c>
      <c r="V14" s="21">
        <v>3089.3881726271952</v>
      </c>
      <c r="W14" s="21">
        <v>3132.7892421735883</v>
      </c>
      <c r="X14" s="21">
        <v>3176.4871632152417</v>
      </c>
      <c r="Y14" s="22">
        <v>3220.4797932779161</v>
      </c>
    </row>
    <row r="15" spans="2:26" s="31" customFormat="1" ht="14.4" customHeight="1" x14ac:dyDescent="0.3">
      <c r="B15" s="16"/>
      <c r="C15" s="110">
        <f>C14+C18</f>
        <v>13</v>
      </c>
      <c r="D15" s="20">
        <v>2599.8852413258496</v>
      </c>
      <c r="E15" s="21">
        <v>2634.0448572412765</v>
      </c>
      <c r="F15" s="21">
        <v>2668.3583977841454</v>
      </c>
      <c r="G15" s="21">
        <v>2702.822541777512</v>
      </c>
      <c r="H15" s="21">
        <v>2737.4339614558562</v>
      </c>
      <c r="I15" s="21">
        <v>2772.189324102535</v>
      </c>
      <c r="J15" s="21">
        <v>2807.0852936608339</v>
      </c>
      <c r="K15" s="21">
        <v>2842.1185323173831</v>
      </c>
      <c r="L15" s="22">
        <v>2877.2857020570941</v>
      </c>
      <c r="O15" s="16"/>
      <c r="P15" s="46">
        <f>P14+1</f>
        <v>13</v>
      </c>
      <c r="Q15" s="20">
        <v>2703.8806509788778</v>
      </c>
      <c r="R15" s="21">
        <v>2745.9917636740329</v>
      </c>
      <c r="S15" s="21">
        <v>2788.434525684439</v>
      </c>
      <c r="T15" s="21">
        <v>2831.2066125119409</v>
      </c>
      <c r="U15" s="21">
        <v>2874.3056595286466</v>
      </c>
      <c r="V15" s="21">
        <v>2917.7292636179213</v>
      </c>
      <c r="W15" s="21">
        <v>2961.4749848121805</v>
      </c>
      <c r="X15" s="21">
        <v>3005.5403479256283</v>
      </c>
      <c r="Y15" s="22">
        <v>3049.9228441805144</v>
      </c>
    </row>
    <row r="16" spans="2:26" s="31" customFormat="1" ht="14.4" customHeight="1" x14ac:dyDescent="0.3">
      <c r="B16" s="16"/>
      <c r="C16" s="110">
        <f>C15+C18</f>
        <v>14</v>
      </c>
      <c r="D16" s="20">
        <v>2457.7521851180754</v>
      </c>
      <c r="E16" s="21">
        <v>2492.4964078602748</v>
      </c>
      <c r="F16" s="21">
        <v>2527.4148639319887</v>
      </c>
      <c r="G16" s="21">
        <v>2562.5037408228927</v>
      </c>
      <c r="H16" s="21">
        <v>2597.7592146152665</v>
      </c>
      <c r="I16" s="21">
        <v>2633.1774521900043</v>
      </c>
      <c r="J16" s="21">
        <v>2668.7546133980859</v>
      </c>
      <c r="K16" s="21">
        <v>2704.4868531955026</v>
      </c>
      <c r="L16" s="22">
        <v>2740.3703237401683</v>
      </c>
      <c r="O16" s="16"/>
      <c r="P16" s="46">
        <f>P15+1</f>
        <v>14</v>
      </c>
      <c r="Q16" s="20">
        <v>2556.0622725227927</v>
      </c>
      <c r="R16" s="21">
        <v>2598.4275051943382</v>
      </c>
      <c r="S16" s="21">
        <v>2641.1485328089352</v>
      </c>
      <c r="T16" s="21">
        <v>2684.2226685119772</v>
      </c>
      <c r="U16" s="21">
        <v>2727.6471753460269</v>
      </c>
      <c r="V16" s="21">
        <v>2771.4192684299828</v>
      </c>
      <c r="W16" s="21">
        <v>2815.5361171349814</v>
      </c>
      <c r="X16" s="21">
        <v>2859.9948472542396</v>
      </c>
      <c r="Y16" s="22">
        <v>2904.7925431645731</v>
      </c>
    </row>
    <row r="17" spans="2:25" s="31" customFormat="1" ht="14.4" customHeight="1" thickBot="1" x14ac:dyDescent="0.35">
      <c r="B17" s="16"/>
      <c r="C17" s="112">
        <f>C16+C18</f>
        <v>15</v>
      </c>
      <c r="D17" s="24">
        <v>2335.0093365541152</v>
      </c>
      <c r="E17" s="25">
        <v>2370.3131738311049</v>
      </c>
      <c r="F17" s="25">
        <v>2405.8113101423496</v>
      </c>
      <c r="G17" s="25">
        <v>2441.4994072491399</v>
      </c>
      <c r="H17" s="25">
        <v>2477.373109952001</v>
      </c>
      <c r="I17" s="25">
        <v>2513.4280489932307</v>
      </c>
      <c r="J17" s="25">
        <v>2549.6598439146001</v>
      </c>
      <c r="K17" s="25">
        <v>2586.0641058672281</v>
      </c>
      <c r="L17" s="26">
        <v>2622.636440371175</v>
      </c>
      <c r="O17" s="16"/>
      <c r="P17" s="48">
        <f>P16+1</f>
        <v>15</v>
      </c>
      <c r="Q17" s="24">
        <v>2428.4097100162749</v>
      </c>
      <c r="R17" s="25">
        <v>2471.0514837189294</v>
      </c>
      <c r="S17" s="25">
        <v>2514.0728190987616</v>
      </c>
      <c r="T17" s="25">
        <v>2557.470629093471</v>
      </c>
      <c r="U17" s="25">
        <v>2601.2417654495971</v>
      </c>
      <c r="V17" s="25">
        <v>2645.3830215653784</v>
      </c>
      <c r="W17" s="25">
        <v>2689.8911353299036</v>
      </c>
      <c r="X17" s="25">
        <v>2734.7627919545907</v>
      </c>
      <c r="Y17" s="26">
        <v>2779.9946267934406</v>
      </c>
    </row>
    <row r="18" spans="2:25" s="31" customFormat="1" ht="14.4" customHeight="1" thickBot="1" x14ac:dyDescent="0.35">
      <c r="B18" s="11"/>
      <c r="C18" s="114">
        <v>1</v>
      </c>
      <c r="D18" s="12"/>
      <c r="E18" s="12"/>
      <c r="F18" s="12"/>
      <c r="G18" s="12"/>
      <c r="H18" s="12"/>
      <c r="I18" s="12"/>
      <c r="J18" s="12"/>
      <c r="K18" s="12"/>
      <c r="L18" s="13"/>
      <c r="O18" s="11"/>
      <c r="P18" s="27"/>
      <c r="Q18" s="12"/>
      <c r="R18" s="12"/>
      <c r="S18" s="12"/>
      <c r="T18" s="12"/>
      <c r="U18" s="12"/>
      <c r="V18" s="12"/>
      <c r="W18" s="12"/>
      <c r="X18" s="12"/>
      <c r="Y18" s="13"/>
    </row>
    <row r="19" spans="2:25" s="31" customFormat="1" ht="14.4" customHeight="1" thickBot="1" x14ac:dyDescent="0.35">
      <c r="B19" s="109"/>
    </row>
    <row r="20" spans="2:25" s="31" customFormat="1" ht="14.4" customHeight="1" thickBot="1" x14ac:dyDescent="0.35">
      <c r="B20" s="49" t="s">
        <v>0</v>
      </c>
      <c r="C20" s="113"/>
      <c r="D20" s="113"/>
      <c r="E20" s="113"/>
      <c r="F20" s="50">
        <v>12</v>
      </c>
    </row>
    <row r="21" spans="2:25" s="31" customFormat="1" ht="14.4" customHeight="1" thickBot="1" x14ac:dyDescent="0.35">
      <c r="B21" s="51" t="s">
        <v>1</v>
      </c>
      <c r="C21" s="52">
        <v>175000</v>
      </c>
      <c r="D21" s="12"/>
      <c r="E21" s="53" t="s">
        <v>5</v>
      </c>
      <c r="F21" s="53"/>
      <c r="G21" s="12"/>
      <c r="H21" s="12"/>
      <c r="I21" s="12"/>
      <c r="J21" s="12"/>
      <c r="K21" s="12"/>
      <c r="L21" s="13"/>
    </row>
    <row r="22" spans="2:25" s="31" customFormat="1" ht="14.4" customHeight="1" x14ac:dyDescent="0.3">
      <c r="B22" s="54" t="s">
        <v>2</v>
      </c>
      <c r="C22" s="55">
        <v>0.04</v>
      </c>
      <c r="D22" s="56" t="s">
        <v>6</v>
      </c>
      <c r="E22" s="56"/>
      <c r="F22" s="56"/>
      <c r="G22" s="56"/>
      <c r="H22" s="56"/>
      <c r="I22" s="56"/>
      <c r="J22" s="56"/>
      <c r="K22" s="56"/>
      <c r="L22" s="57"/>
    </row>
    <row r="23" spans="2:25" s="31" customFormat="1" ht="14.4" customHeight="1" thickBot="1" x14ac:dyDescent="0.35">
      <c r="B23" s="54" t="s">
        <v>4</v>
      </c>
      <c r="C23" s="58">
        <v>7</v>
      </c>
      <c r="D23" s="59"/>
      <c r="E23" s="59"/>
      <c r="F23" s="59"/>
      <c r="G23" s="59"/>
      <c r="H23" s="59"/>
      <c r="I23" s="59"/>
      <c r="J23" s="59"/>
      <c r="K23" s="59"/>
      <c r="L23" s="60"/>
    </row>
    <row r="24" spans="2:25" s="31" customFormat="1" ht="14.4" customHeight="1" thickBot="1" x14ac:dyDescent="0.35">
      <c r="B24" s="104"/>
      <c r="C24" s="62">
        <f>((1+(C22/F20))^(C23*F20))*C21</f>
        <v>231439.92617998211</v>
      </c>
      <c r="D24" s="105">
        <f>ROUND((E24-M24),4)</f>
        <v>0.03</v>
      </c>
      <c r="E24" s="106">
        <f>ROUND((F24-M24),4)</f>
        <v>3.2500000000000001E-2</v>
      </c>
      <c r="F24" s="106">
        <f>ROUND((G24-M24),4)</f>
        <v>3.5000000000000003E-2</v>
      </c>
      <c r="G24" s="106">
        <f>ROUND((H24-M24),4)</f>
        <v>3.7499999999999999E-2</v>
      </c>
      <c r="H24" s="107">
        <v>0.04</v>
      </c>
      <c r="I24" s="106">
        <f>ROUND((H24+M24),4)</f>
        <v>4.2500000000000003E-2</v>
      </c>
      <c r="J24" s="106">
        <f>ROUND((I24+M24),4)</f>
        <v>4.4999999999999998E-2</v>
      </c>
      <c r="K24" s="106">
        <f>ROUND((J24+M24),4)</f>
        <v>4.7500000000000001E-2</v>
      </c>
      <c r="L24" s="108">
        <f>ROUND((K24+M24),4)</f>
        <v>0.05</v>
      </c>
      <c r="M24" s="107">
        <v>2.5000000000000001E-3</v>
      </c>
    </row>
    <row r="25" spans="2:25" s="31" customFormat="1" ht="14.4" customHeight="1" x14ac:dyDescent="0.3">
      <c r="B25" s="16"/>
      <c r="C25" s="110">
        <f>C26-C36</f>
        <v>2</v>
      </c>
      <c r="D25" s="17">
        <f t="dataTable" ref="D25:L35" dt2D="1" dtr="1" r1="C22" r2="C23"/>
        <v>185807.48274584609</v>
      </c>
      <c r="E25" s="18">
        <v>186736.42146821503</v>
      </c>
      <c r="F25" s="18">
        <v>187669.80995591529</v>
      </c>
      <c r="G25" s="18">
        <v>188607.66859305004</v>
      </c>
      <c r="H25" s="18">
        <v>189550.01785283667</v>
      </c>
      <c r="I25" s="18">
        <v>190496.87829797919</v>
      </c>
      <c r="J25" s="18">
        <v>191448.27058103934</v>
      </c>
      <c r="K25" s="18">
        <v>192404.21544481433</v>
      </c>
      <c r="L25" s="19">
        <v>193364.73372270734</v>
      </c>
      <c r="Q25" s="115"/>
    </row>
    <row r="26" spans="2:25" s="31" customFormat="1" ht="14.4" customHeight="1" x14ac:dyDescent="0.3">
      <c r="B26" s="16"/>
      <c r="C26" s="110">
        <f>C27-C36</f>
        <v>3</v>
      </c>
      <c r="D26" s="20">
        <v>191458.99513525094</v>
      </c>
      <c r="E26" s="21">
        <v>192896.57811328658</v>
      </c>
      <c r="F26" s="21">
        <v>194344.65325599656</v>
      </c>
      <c r="G26" s="21">
        <v>195803.29493678483</v>
      </c>
      <c r="H26" s="21">
        <v>197272.5780406351</v>
      </c>
      <c r="I26" s="21">
        <v>198752.57796752462</v>
      </c>
      <c r="J26" s="21">
        <v>200243.37063585574</v>
      </c>
      <c r="K26" s="21">
        <v>201745.03248591765</v>
      </c>
      <c r="L26" s="22">
        <v>203257.64048335704</v>
      </c>
      <c r="Q26" s="115"/>
    </row>
    <row r="27" spans="2:25" s="31" customFormat="1" ht="14.4" customHeight="1" x14ac:dyDescent="0.3">
      <c r="B27" s="16"/>
      <c r="C27" s="110">
        <f>C28-C36</f>
        <v>4</v>
      </c>
      <c r="D27" s="20">
        <v>197282.40368198804</v>
      </c>
      <c r="E27" s="21">
        <v>199259.94915859911</v>
      </c>
      <c r="F27" s="21">
        <v>201256.90039365352</v>
      </c>
      <c r="G27" s="21">
        <v>203273.4437263188</v>
      </c>
      <c r="H27" s="21">
        <v>205309.76724577544</v>
      </c>
      <c r="I27" s="21">
        <v>207366.06080728624</v>
      </c>
      <c r="J27" s="21">
        <v>209442.51604840488</v>
      </c>
      <c r="K27" s="21">
        <v>211539.32640534014</v>
      </c>
      <c r="L27" s="22">
        <v>213656.68712944866</v>
      </c>
      <c r="Q27" s="116"/>
    </row>
    <row r="28" spans="2:25" s="31" customFormat="1" ht="14.4" customHeight="1" x14ac:dyDescent="0.3">
      <c r="B28" s="16"/>
      <c r="C28" s="110">
        <f>C29-C36</f>
        <v>5</v>
      </c>
      <c r="D28" s="20">
        <v>203282.93677217243</v>
      </c>
      <c r="E28" s="21">
        <v>205833.23834479507</v>
      </c>
      <c r="F28" s="21">
        <v>208414.99510000646</v>
      </c>
      <c r="G28" s="21">
        <v>211028.58834779623</v>
      </c>
      <c r="H28" s="21">
        <v>213674.40393987144</v>
      </c>
      <c r="I28" s="21">
        <v>216352.83232279518</v>
      </c>
      <c r="J28" s="21">
        <v>219064.26859172952</v>
      </c>
      <c r="K28" s="21">
        <v>221809.11254480892</v>
      </c>
      <c r="L28" s="22">
        <v>224587.76873811494</v>
      </c>
      <c r="Q28" s="116"/>
    </row>
    <row r="29" spans="2:25" s="31" customFormat="1" ht="14.4" customHeight="1" thickBot="1" x14ac:dyDescent="0.35">
      <c r="B29" s="16"/>
      <c r="C29" s="110">
        <f>C30-C36</f>
        <v>6</v>
      </c>
      <c r="D29" s="20">
        <v>209465.98181828592</v>
      </c>
      <c r="E29" s="21">
        <v>212623.37055894433</v>
      </c>
      <c r="F29" s="21">
        <v>215827.68142396302</v>
      </c>
      <c r="G29" s="21">
        <v>219079.6017605802</v>
      </c>
      <c r="H29" s="21">
        <v>222379.82883884842</v>
      </c>
      <c r="I29" s="21">
        <v>225729.06999278266</v>
      </c>
      <c r="J29" s="21">
        <v>229128.04276347827</v>
      </c>
      <c r="K29" s="21">
        <v>232577.47504425116</v>
      </c>
      <c r="L29" s="22">
        <v>236078.10522778076</v>
      </c>
      <c r="Q29" s="116"/>
    </row>
    <row r="30" spans="2:25" s="31" customFormat="1" ht="14.4" customHeight="1" thickBot="1" x14ac:dyDescent="0.35">
      <c r="B30" s="23"/>
      <c r="C30" s="111">
        <v>7</v>
      </c>
      <c r="D30" s="20">
        <v>215837.0900961163</v>
      </c>
      <c r="E30" s="21">
        <v>219637.49912983552</v>
      </c>
      <c r="F30" s="21">
        <v>223504.01441360702</v>
      </c>
      <c r="G30" s="21">
        <v>227437.77174148761</v>
      </c>
      <c r="H30" s="21">
        <v>231439.92617998211</v>
      </c>
      <c r="I30" s="21">
        <v>235511.65239096349</v>
      </c>
      <c r="J30" s="21">
        <v>239654.14495992515</v>
      </c>
      <c r="K30" s="21">
        <v>243868.61872968267</v>
      </c>
      <c r="L30" s="22">
        <v>248156.30913955759</v>
      </c>
    </row>
    <row r="31" spans="2:25" s="31" customFormat="1" ht="14.4" customHeight="1" x14ac:dyDescent="0.3">
      <c r="B31" s="16"/>
      <c r="C31" s="110">
        <f>C30+C36</f>
        <v>8</v>
      </c>
      <c r="D31" s="20">
        <v>222401.98172881649</v>
      </c>
      <c r="E31" s="21">
        <v>226883.01336392853</v>
      </c>
      <c r="F31" s="21">
        <v>231453.37117749127</v>
      </c>
      <c r="G31" s="21">
        <v>236114.81671061082</v>
      </c>
      <c r="H31" s="21">
        <v>240869.14586579704</v>
      </c>
      <c r="I31" s="21">
        <v>245718.18956989225</v>
      </c>
      <c r="J31" s="21">
        <v>250663.81444963624</v>
      </c>
      <c r="K31" s="21">
        <v>255707.923520143</v>
      </c>
      <c r="L31" s="22">
        <v>260852.45688646348</v>
      </c>
    </row>
    <row r="32" spans="2:25" s="31" customFormat="1" ht="14.4" customHeight="1" x14ac:dyDescent="0.3">
      <c r="B32" s="16"/>
      <c r="C32" s="110">
        <f>C31+C36</f>
        <v>9</v>
      </c>
      <c r="D32" s="20">
        <v>229166.55082255864</v>
      </c>
      <c r="E32" s="21">
        <v>234367.54632990671</v>
      </c>
      <c r="F32" s="21">
        <v>239685.46233934734</v>
      </c>
      <c r="G32" s="21">
        <v>245122.90216091572</v>
      </c>
      <c r="H32" s="21">
        <v>250682.5265101417</v>
      </c>
      <c r="I32" s="21">
        <v>256367.05476158491</v>
      </c>
      <c r="J32" s="21">
        <v>262179.26622945932</v>
      </c>
      <c r="K32" s="21">
        <v>268122.0014759723</v>
      </c>
      <c r="L32" s="22">
        <v>274198.163647888</v>
      </c>
    </row>
    <row r="33" spans="2:22" s="31" customFormat="1" ht="14.4" customHeight="1" x14ac:dyDescent="0.3">
      <c r="B33" s="16"/>
      <c r="C33" s="110">
        <f>C32+C36</f>
        <v>10</v>
      </c>
      <c r="D33" s="20">
        <v>236136.87075839451</v>
      </c>
      <c r="E33" s="21">
        <v>242098.98290002986</v>
      </c>
      <c r="F33" s="21">
        <v>248210.34390020402</v>
      </c>
      <c r="G33" s="21">
        <v>254474.65771464937</v>
      </c>
      <c r="H33" s="21">
        <v>260895.71942319625</v>
      </c>
      <c r="I33" s="21">
        <v>267477.41745197447</v>
      </c>
      <c r="J33" s="21">
        <v>274223.73584931082</v>
      </c>
      <c r="K33" s="21">
        <v>281138.75661666109</v>
      </c>
      <c r="L33" s="22">
        <v>288226.66209580004</v>
      </c>
    </row>
    <row r="34" spans="2:22" s="31" customFormat="1" ht="14.4" customHeight="1" x14ac:dyDescent="0.3">
      <c r="B34" s="16"/>
      <c r="C34" s="110">
        <f>C33+C36</f>
        <v>11</v>
      </c>
      <c r="D34" s="20">
        <v>243319.19964507219</v>
      </c>
      <c r="E34" s="21">
        <v>250085.46805675927</v>
      </c>
      <c r="F34" s="21">
        <v>257038.42952240576</v>
      </c>
      <c r="G34" s="21">
        <v>264183.19483047212</v>
      </c>
      <c r="H34" s="21">
        <v>271525.0135736661</v>
      </c>
      <c r="I34" s="21">
        <v>279069.27788873715</v>
      </c>
      <c r="J34" s="21">
        <v>286821.526296205</v>
      </c>
      <c r="K34" s="21">
        <v>294787.4476427302</v>
      </c>
      <c r="L34" s="22">
        <v>302972.88514873822</v>
      </c>
    </row>
    <row r="35" spans="2:22" s="31" customFormat="1" ht="14.4" customHeight="1" thickBot="1" x14ac:dyDescent="0.35">
      <c r="B35" s="16"/>
      <c r="C35" s="112">
        <f>C34+C36</f>
        <v>12</v>
      </c>
      <c r="D35" s="24">
        <v>250719.98593770567</v>
      </c>
      <c r="E35" s="25">
        <v>258335.41547340661</v>
      </c>
      <c r="F35" s="25">
        <v>266180.50325053534</v>
      </c>
      <c r="G35" s="25">
        <v>274262.12518613954</v>
      </c>
      <c r="H35" s="25">
        <v>282587.36156797438</v>
      </c>
      <c r="I35" s="25">
        <v>291163.50308460894</v>
      </c>
      <c r="J35" s="25">
        <v>299998.05703212757</v>
      </c>
      <c r="K35" s="25">
        <v>309098.75370262447</v>
      </c>
      <c r="L35" s="26">
        <v>318473.55295965215</v>
      </c>
    </row>
    <row r="36" spans="2:22" s="31" customFormat="1" ht="14.4" customHeight="1" thickBot="1" x14ac:dyDescent="0.35">
      <c r="B36" s="11"/>
      <c r="C36" s="114">
        <v>1</v>
      </c>
      <c r="D36" s="12"/>
      <c r="E36" s="12"/>
      <c r="F36" s="12"/>
      <c r="G36" s="12"/>
      <c r="H36" s="12"/>
      <c r="I36" s="12"/>
      <c r="J36" s="12"/>
      <c r="K36" s="12"/>
      <c r="L36" s="13"/>
    </row>
    <row r="37" spans="2:22" s="31" customFormat="1" ht="14.4" customHeight="1" thickBot="1" x14ac:dyDescent="0.35">
      <c r="B37" s="109"/>
    </row>
    <row r="38" spans="2:22" s="31" customFormat="1" ht="14.4" customHeight="1" thickBot="1" x14ac:dyDescent="0.35">
      <c r="B38" s="51" t="s">
        <v>1</v>
      </c>
      <c r="C38" s="52">
        <v>445000</v>
      </c>
      <c r="D38" s="12"/>
      <c r="E38" s="53" t="s">
        <v>7</v>
      </c>
      <c r="F38" s="53"/>
      <c r="G38" s="12"/>
      <c r="H38" s="12"/>
      <c r="I38" s="12"/>
      <c r="J38" s="12"/>
      <c r="K38" s="12"/>
      <c r="L38" s="13"/>
    </row>
    <row r="39" spans="2:22" s="31" customFormat="1" ht="14.4" customHeight="1" x14ac:dyDescent="0.3">
      <c r="B39" s="54" t="s">
        <v>2</v>
      </c>
      <c r="C39" s="55">
        <v>0.04</v>
      </c>
      <c r="D39" s="56" t="s">
        <v>8</v>
      </c>
      <c r="E39" s="56"/>
      <c r="F39" s="56"/>
      <c r="G39" s="56"/>
      <c r="H39" s="56"/>
      <c r="I39" s="56"/>
      <c r="J39" s="56"/>
      <c r="K39" s="56"/>
      <c r="L39" s="57"/>
    </row>
    <row r="40" spans="2:22" s="31" customFormat="1" ht="14.4" customHeight="1" thickBot="1" x14ac:dyDescent="0.35">
      <c r="B40" s="54" t="s">
        <v>4</v>
      </c>
      <c r="C40" s="61">
        <v>7</v>
      </c>
      <c r="D40" s="59"/>
      <c r="E40" s="59"/>
      <c r="F40" s="59"/>
      <c r="G40" s="59"/>
      <c r="H40" s="59"/>
      <c r="I40" s="59"/>
      <c r="J40" s="59"/>
      <c r="K40" s="59"/>
      <c r="L40" s="60"/>
    </row>
    <row r="41" spans="2:22" s="31" customFormat="1" ht="14.4" customHeight="1" thickBot="1" x14ac:dyDescent="0.35">
      <c r="B41" s="104"/>
      <c r="C41" s="62">
        <f>((((1+(C39))^C40)-1)/C39)*C38</f>
        <v>3514741.0439987229</v>
      </c>
      <c r="D41" s="105">
        <f>ROUND((E41-M41),4)</f>
        <v>0.03</v>
      </c>
      <c r="E41" s="106">
        <f>ROUND((F41-M41),4)</f>
        <v>3.2500000000000001E-2</v>
      </c>
      <c r="F41" s="106">
        <f>ROUND((G41-M41),4)</f>
        <v>3.5000000000000003E-2</v>
      </c>
      <c r="G41" s="106">
        <f>ROUND((H41-M41),4)</f>
        <v>3.7499999999999999E-2</v>
      </c>
      <c r="H41" s="107">
        <v>0.04</v>
      </c>
      <c r="I41" s="106">
        <f>ROUND((H41+M41),4)</f>
        <v>4.2500000000000003E-2</v>
      </c>
      <c r="J41" s="106">
        <f>ROUND((I41+M41),4)</f>
        <v>4.4999999999999998E-2</v>
      </c>
      <c r="K41" s="106">
        <f>ROUND((J41+M41),4)</f>
        <v>4.7500000000000001E-2</v>
      </c>
      <c r="L41" s="108">
        <f>ROUND((K41+M41),4)</f>
        <v>0.05</v>
      </c>
      <c r="M41" s="107">
        <v>2.5000000000000001E-3</v>
      </c>
    </row>
    <row r="42" spans="2:22" s="31" customFormat="1" ht="14.4" customHeight="1" x14ac:dyDescent="0.3">
      <c r="B42" s="16"/>
      <c r="C42" s="110">
        <f>C43-C53</f>
        <v>2</v>
      </c>
      <c r="D42" s="17">
        <f t="dataTable" ref="D42:L52" dt2D="1" dtr="1" r1="C39" r2="C40"/>
        <v>903349.9999999993</v>
      </c>
      <c r="E42" s="18">
        <v>904462.49999999895</v>
      </c>
      <c r="F42" s="18">
        <v>905574.99999999825</v>
      </c>
      <c r="G42" s="18">
        <v>906687.50000000279</v>
      </c>
      <c r="H42" s="18">
        <v>907800.00000000116</v>
      </c>
      <c r="I42" s="18">
        <v>908912.49999999965</v>
      </c>
      <c r="J42" s="18">
        <v>910024.99999999802</v>
      </c>
      <c r="K42" s="18">
        <v>911137.50000000256</v>
      </c>
      <c r="L42" s="19">
        <v>912250.00000000035</v>
      </c>
      <c r="O42" s="117"/>
    </row>
    <row r="43" spans="2:22" s="31" customFormat="1" ht="14.4" customHeight="1" x14ac:dyDescent="0.3">
      <c r="B43" s="16"/>
      <c r="C43" s="110">
        <f>C44-C53</f>
        <v>3</v>
      </c>
      <c r="D43" s="20">
        <v>1375450.5000000002</v>
      </c>
      <c r="E43" s="21">
        <v>1378857.5312499972</v>
      </c>
      <c r="F43" s="21">
        <v>1382270.1249999965</v>
      </c>
      <c r="G43" s="21">
        <v>1385688.2812500035</v>
      </c>
      <c r="H43" s="21">
        <v>1389112.0000000009</v>
      </c>
      <c r="I43" s="21">
        <v>1392541.28125</v>
      </c>
      <c r="J43" s="21">
        <v>1395976.1249999981</v>
      </c>
      <c r="K43" s="21">
        <v>1399416.5312500035</v>
      </c>
      <c r="L43" s="22">
        <v>1402862.5000000012</v>
      </c>
      <c r="V43" s="118"/>
    </row>
    <row r="44" spans="2:22" s="31" customFormat="1" ht="14.4" customHeight="1" x14ac:dyDescent="0.3">
      <c r="B44" s="16"/>
      <c r="C44" s="110">
        <f>C45-C53</f>
        <v>4</v>
      </c>
      <c r="D44" s="20">
        <v>1861714.014999999</v>
      </c>
      <c r="E44" s="21">
        <v>1868670.4010156237</v>
      </c>
      <c r="F44" s="21">
        <v>1875649.5793749958</v>
      </c>
      <c r="G44" s="21">
        <v>1882651.591796882</v>
      </c>
      <c r="H44" s="21">
        <v>1889676.4800000021</v>
      </c>
      <c r="I44" s="21">
        <v>1896724.2857031233</v>
      </c>
      <c r="J44" s="21">
        <v>1903795.050624995</v>
      </c>
      <c r="K44" s="21">
        <v>1910888.8164843796</v>
      </c>
      <c r="L44" s="22">
        <v>1918005.625</v>
      </c>
      <c r="V44" s="118"/>
    </row>
    <row r="45" spans="2:22" s="31" customFormat="1" ht="14.4" customHeight="1" x14ac:dyDescent="0.3">
      <c r="B45" s="16"/>
      <c r="C45" s="110">
        <f>C46-C53</f>
        <v>5</v>
      </c>
      <c r="D45" s="20">
        <v>2362565.4354499979</v>
      </c>
      <c r="E45" s="21">
        <v>2374402.1890486307</v>
      </c>
      <c r="F45" s="21">
        <v>2386297.3146531186</v>
      </c>
      <c r="G45" s="21">
        <v>2398251.0264892667</v>
      </c>
      <c r="H45" s="21">
        <v>2410263.5392000037</v>
      </c>
      <c r="I45" s="21">
        <v>2422335.0678455057</v>
      </c>
      <c r="J45" s="21">
        <v>2434465.8279031198</v>
      </c>
      <c r="K45" s="21">
        <v>2446656.0352673889</v>
      </c>
      <c r="L45" s="22">
        <v>2458905.9062500014</v>
      </c>
      <c r="V45" s="119"/>
    </row>
    <row r="46" spans="2:22" s="31" customFormat="1" ht="14.4" customHeight="1" thickBot="1" x14ac:dyDescent="0.35">
      <c r="B46" s="16"/>
      <c r="C46" s="110">
        <f>C47-C53</f>
        <v>6</v>
      </c>
      <c r="D46" s="20">
        <v>2878442.3985134987</v>
      </c>
      <c r="E46" s="21">
        <v>2896570.260192709</v>
      </c>
      <c r="F46" s="21">
        <v>2914817.7206659783</v>
      </c>
      <c r="G46" s="21">
        <v>2933185.4399826149</v>
      </c>
      <c r="H46" s="21">
        <v>2951674.0807680041</v>
      </c>
      <c r="I46" s="21">
        <v>2970284.3082289388</v>
      </c>
      <c r="J46" s="21">
        <v>2989016.790158757</v>
      </c>
      <c r="K46" s="21">
        <v>3007872.1969425925</v>
      </c>
      <c r="L46" s="22">
        <v>3026851.2015624996</v>
      </c>
    </row>
    <row r="47" spans="2:22" s="31" customFormat="1" ht="14.4" customHeight="1" thickBot="1" x14ac:dyDescent="0.35">
      <c r="B47" s="23"/>
      <c r="C47" s="111">
        <v>7</v>
      </c>
      <c r="D47" s="20">
        <v>3409795.6704689045</v>
      </c>
      <c r="E47" s="21">
        <v>3435708.7936489726</v>
      </c>
      <c r="F47" s="21">
        <v>3461836.3408892862</v>
      </c>
      <c r="G47" s="21">
        <v>3488179.8939819634</v>
      </c>
      <c r="H47" s="21">
        <v>3514741.0439987229</v>
      </c>
      <c r="I47" s="21">
        <v>3541521.3913286696</v>
      </c>
      <c r="J47" s="21">
        <v>3568522.545715902</v>
      </c>
      <c r="K47" s="21">
        <v>3595746.1262973659</v>
      </c>
      <c r="L47" s="22">
        <v>3623193.7616406269</v>
      </c>
    </row>
    <row r="48" spans="2:22" s="31" customFormat="1" ht="14.4" customHeight="1" x14ac:dyDescent="0.3">
      <c r="B48" s="16"/>
      <c r="C48" s="110">
        <f>C47+C53</f>
        <v>8</v>
      </c>
      <c r="D48" s="20">
        <v>3957089.5405829698</v>
      </c>
      <c r="E48" s="21">
        <v>3992369.3294425658</v>
      </c>
      <c r="F48" s="21">
        <v>4028000.6128204083</v>
      </c>
      <c r="G48" s="21">
        <v>4063986.6400062917</v>
      </c>
      <c r="H48" s="21">
        <v>4100330.6857586741</v>
      </c>
      <c r="I48" s="21">
        <v>4137036.0504601379</v>
      </c>
      <c r="J48" s="21">
        <v>4174106.0602731132</v>
      </c>
      <c r="K48" s="21">
        <v>4211544.0672964919</v>
      </c>
      <c r="L48" s="22">
        <v>4249353.449722656</v>
      </c>
    </row>
    <row r="49" spans="2:17" s="31" customFormat="1" ht="14.4" customHeight="1" x14ac:dyDescent="0.3">
      <c r="B49" s="16"/>
      <c r="C49" s="110">
        <f>C48+C53</f>
        <v>9</v>
      </c>
      <c r="D49" s="20">
        <v>4520802.2268004594</v>
      </c>
      <c r="E49" s="21">
        <v>4567121.3326494507</v>
      </c>
      <c r="F49" s="21">
        <v>4613980.6342691202</v>
      </c>
      <c r="G49" s="21">
        <v>4661386.1390065299</v>
      </c>
      <c r="H49" s="21">
        <v>4709343.9131890228</v>
      </c>
      <c r="I49" s="21">
        <v>4757860.0826046932</v>
      </c>
      <c r="J49" s="21">
        <v>4806940.8329854021</v>
      </c>
      <c r="K49" s="21">
        <v>4856592.4104930768</v>
      </c>
      <c r="L49" s="22">
        <v>4906821.1222087909</v>
      </c>
    </row>
    <row r="50" spans="2:17" s="31" customFormat="1" ht="14.4" customHeight="1" x14ac:dyDescent="0.3">
      <c r="B50" s="16"/>
      <c r="C50" s="110">
        <f>C49+C53</f>
        <v>10</v>
      </c>
      <c r="D50" s="20">
        <v>5101426.2936044736</v>
      </c>
      <c r="E50" s="21">
        <v>5160552.7759605562</v>
      </c>
      <c r="F50" s="21">
        <v>5220469.9564685384</v>
      </c>
      <c r="G50" s="21">
        <v>5281188.1192192771</v>
      </c>
      <c r="H50" s="21">
        <v>5342717.6697165836</v>
      </c>
      <c r="I50" s="21">
        <v>5405069.1361153917</v>
      </c>
      <c r="J50" s="21">
        <v>5468253.1704697423</v>
      </c>
      <c r="K50" s="21">
        <v>5532280.5499914987</v>
      </c>
      <c r="L50" s="22">
        <v>5597162.1783192297</v>
      </c>
    </row>
    <row r="51" spans="2:17" s="31" customFormat="1" ht="14.4" customHeight="1" x14ac:dyDescent="0.3">
      <c r="B51" s="16"/>
      <c r="C51" s="110">
        <f>C50+C53</f>
        <v>11</v>
      </c>
      <c r="D51" s="20">
        <v>5699469.082412608</v>
      </c>
      <c r="E51" s="21">
        <v>5773270.7411792725</v>
      </c>
      <c r="F51" s="21">
        <v>5848186.4049449377</v>
      </c>
      <c r="G51" s="21">
        <v>5924232.6736900005</v>
      </c>
      <c r="H51" s="21">
        <v>6001426.3765052455</v>
      </c>
      <c r="I51" s="21">
        <v>6079784.5744002974</v>
      </c>
      <c r="J51" s="21">
        <v>6159324.5631408812</v>
      </c>
      <c r="K51" s="21">
        <v>6240063.876116097</v>
      </c>
      <c r="L51" s="22">
        <v>6322020.287235193</v>
      </c>
    </row>
    <row r="52" spans="2:17" s="31" customFormat="1" ht="14.4" customHeight="1" thickBot="1" x14ac:dyDescent="0.35">
      <c r="B52" s="16"/>
      <c r="C52" s="112">
        <f>C51+C53</f>
        <v>12</v>
      </c>
      <c r="D52" s="24">
        <v>6315453.1548849829</v>
      </c>
      <c r="E52" s="25">
        <v>6405902.0402675997</v>
      </c>
      <c r="F52" s="25">
        <v>6497872.9291180093</v>
      </c>
      <c r="G52" s="25">
        <v>6591391.3989533791</v>
      </c>
      <c r="H52" s="25">
        <v>6686483.4315654589</v>
      </c>
      <c r="I52" s="25">
        <v>6783175.4188123075</v>
      </c>
      <c r="J52" s="25">
        <v>6881494.1684822179</v>
      </c>
      <c r="K52" s="25">
        <v>6981466.9102316145</v>
      </c>
      <c r="L52" s="26">
        <v>7083121.3015969498</v>
      </c>
    </row>
    <row r="53" spans="2:17" s="31" customFormat="1" ht="14.4" customHeight="1" thickBot="1" x14ac:dyDescent="0.35">
      <c r="B53" s="11"/>
      <c r="C53" s="114">
        <v>1</v>
      </c>
      <c r="D53" s="12"/>
      <c r="E53" s="12"/>
      <c r="F53" s="12"/>
      <c r="G53" s="12"/>
      <c r="H53" s="12"/>
      <c r="I53" s="12"/>
      <c r="J53" s="12"/>
      <c r="K53" s="12"/>
      <c r="L53" s="13"/>
    </row>
    <row r="54" spans="2:17" s="31" customFormat="1" ht="14.4" customHeight="1" thickBot="1" x14ac:dyDescent="0.35">
      <c r="B54" s="109"/>
    </row>
    <row r="55" spans="2:17" s="31" customFormat="1" ht="14.4" customHeight="1" thickBot="1" x14ac:dyDescent="0.35">
      <c r="B55" s="51" t="s">
        <v>1</v>
      </c>
      <c r="C55" s="80">
        <v>325000</v>
      </c>
      <c r="D55" s="12"/>
      <c r="E55" s="53" t="s">
        <v>51</v>
      </c>
      <c r="F55" s="53"/>
      <c r="G55" s="12"/>
      <c r="H55" s="12"/>
      <c r="I55" s="12"/>
      <c r="J55" s="12"/>
      <c r="K55" s="12"/>
      <c r="L55" s="13"/>
      <c r="P55" s="1" t="s">
        <v>16</v>
      </c>
    </row>
    <row r="56" spans="2:17" s="31" customFormat="1" ht="14.4" customHeight="1" x14ac:dyDescent="0.3">
      <c r="B56" s="54" t="s">
        <v>2</v>
      </c>
      <c r="C56" s="64">
        <v>0.05</v>
      </c>
      <c r="D56" s="73" t="s">
        <v>9</v>
      </c>
      <c r="E56" s="82"/>
      <c r="F56" s="82"/>
      <c r="G56" s="82"/>
      <c r="H56" s="82"/>
      <c r="I56" s="82"/>
      <c r="J56" s="82"/>
      <c r="K56" s="82"/>
      <c r="L56" s="83"/>
      <c r="P56" s="2" t="s">
        <v>18</v>
      </c>
      <c r="Q56" s="3">
        <v>325000</v>
      </c>
    </row>
    <row r="57" spans="2:17" s="31" customFormat="1" ht="14.4" customHeight="1" x14ac:dyDescent="0.3">
      <c r="B57" s="54" t="s">
        <v>4</v>
      </c>
      <c r="C57" s="84">
        <v>25</v>
      </c>
      <c r="D57" s="73"/>
      <c r="E57" s="82"/>
      <c r="F57" s="82"/>
      <c r="G57" s="82"/>
      <c r="H57" s="82"/>
      <c r="I57" s="82"/>
      <c r="J57" s="82"/>
      <c r="K57" s="82"/>
      <c r="L57" s="83"/>
      <c r="P57" s="2" t="s">
        <v>19</v>
      </c>
      <c r="Q57" s="4">
        <v>0.05</v>
      </c>
    </row>
    <row r="58" spans="2:17" s="31" customFormat="1" ht="14.4" customHeight="1" thickBot="1" x14ac:dyDescent="0.35">
      <c r="B58" s="120" t="s">
        <v>42</v>
      </c>
      <c r="C58" s="121">
        <v>1</v>
      </c>
      <c r="D58" s="89"/>
      <c r="E58" s="89"/>
      <c r="F58" s="89"/>
      <c r="G58" s="89"/>
      <c r="H58" s="89"/>
      <c r="I58" s="89"/>
      <c r="J58" s="89"/>
      <c r="K58" s="89"/>
      <c r="L58" s="90"/>
      <c r="P58" s="2" t="s">
        <v>20</v>
      </c>
      <c r="Q58" s="5">
        <v>99</v>
      </c>
    </row>
    <row r="59" spans="2:17" s="31" customFormat="1" ht="14.4" customHeight="1" thickBot="1" x14ac:dyDescent="0.35">
      <c r="B59" s="28"/>
      <c r="C59" s="45">
        <f>(C55)*(((C56/C58))/(((1+(C56/C58))^(C58*C57))-1))</f>
        <v>6809.5486222496256</v>
      </c>
      <c r="D59" s="105">
        <f>ROUND((E59-M59),4)</f>
        <v>0.04</v>
      </c>
      <c r="E59" s="106">
        <f>ROUND((F59-M59),4)</f>
        <v>4.2500000000000003E-2</v>
      </c>
      <c r="F59" s="106">
        <f>ROUND((G59-M59),4)</f>
        <v>4.4999999999999998E-2</v>
      </c>
      <c r="G59" s="106">
        <f>ROUND((H59-M59),4)</f>
        <v>4.7500000000000001E-2</v>
      </c>
      <c r="H59" s="107">
        <v>0.05</v>
      </c>
      <c r="I59" s="106">
        <f>ROUND((H59+M59),4)</f>
        <v>5.2499999999999998E-2</v>
      </c>
      <c r="J59" s="106">
        <f>ROUND((I59+M59),4)</f>
        <v>5.5E-2</v>
      </c>
      <c r="K59" s="106">
        <f>ROUND((J59+M59),4)</f>
        <v>5.7500000000000002E-2</v>
      </c>
      <c r="L59" s="108">
        <f>ROUND((K59+M59),4)</f>
        <v>0.06</v>
      </c>
      <c r="M59" s="107">
        <v>2.5000000000000001E-3</v>
      </c>
      <c r="P59" s="2" t="s">
        <v>21</v>
      </c>
      <c r="Q59" s="4">
        <v>2.2499999999999999E-2</v>
      </c>
    </row>
    <row r="60" spans="2:17" s="31" customFormat="1" ht="14.4" customHeight="1" x14ac:dyDescent="0.3">
      <c r="B60" s="16"/>
      <c r="C60" s="110">
        <f>C61-C71</f>
        <v>20</v>
      </c>
      <c r="D60" s="17">
        <f t="dataTable" ref="D60:L70" dt2D="1" dtr="1" r1="C56" r2="C57"/>
        <v>10914.068856804372</v>
      </c>
      <c r="E60" s="18">
        <v>10633.946313330083</v>
      </c>
      <c r="F60" s="18">
        <v>10359.746905315658</v>
      </c>
      <c r="G60" s="18">
        <v>10091.401860686748</v>
      </c>
      <c r="H60" s="18">
        <v>9828.8408369746758</v>
      </c>
      <c r="I60" s="18">
        <v>9571.992026529826</v>
      </c>
      <c r="J60" s="18">
        <v>9320.7822613532935</v>
      </c>
      <c r="K60" s="18">
        <v>9075.1371173070311</v>
      </c>
      <c r="L60" s="19">
        <v>8834.9810174767063</v>
      </c>
      <c r="P60" s="2" t="s">
        <v>22</v>
      </c>
      <c r="Q60" s="6">
        <v>0.4</v>
      </c>
    </row>
    <row r="61" spans="2:17" s="31" customFormat="1" ht="14.4" customHeight="1" x14ac:dyDescent="0.3">
      <c r="B61" s="16"/>
      <c r="C61" s="110">
        <f>C62-C71</f>
        <v>21</v>
      </c>
      <c r="D61" s="20">
        <v>10166.034261912064</v>
      </c>
      <c r="E61" s="21">
        <v>9890.0205977010755</v>
      </c>
      <c r="F61" s="21">
        <v>9620.1842337388189</v>
      </c>
      <c r="G61" s="21">
        <v>9356.4484620633957</v>
      </c>
      <c r="H61" s="21">
        <v>9098.7348152379654</v>
      </c>
      <c r="I61" s="21">
        <v>8846.9631937798786</v>
      </c>
      <c r="J61" s="21">
        <v>8601.0519929847069</v>
      </c>
      <c r="K61" s="21">
        <v>8360.9182288315606</v>
      </c>
      <c r="L61" s="22">
        <v>8126.4776626741768</v>
      </c>
      <c r="P61" s="2" t="s">
        <v>17</v>
      </c>
      <c r="Q61" s="7">
        <f>Q56/Q57</f>
        <v>6500000</v>
      </c>
    </row>
    <row r="62" spans="2:17" s="31" customFormat="1" ht="14.4" customHeight="1" x14ac:dyDescent="0.3">
      <c r="B62" s="16"/>
      <c r="C62" s="110">
        <f>C63-C71</f>
        <v>22</v>
      </c>
      <c r="D62" s="20">
        <v>9489.6136038243676</v>
      </c>
      <c r="E62" s="21">
        <v>9217.7615715062329</v>
      </c>
      <c r="F62" s="21">
        <v>8952.3349701297793</v>
      </c>
      <c r="G62" s="21">
        <v>8693.2485926079262</v>
      </c>
      <c r="H62" s="21">
        <v>8440.415280825282</v>
      </c>
      <c r="I62" s="21">
        <v>8193.7460785737712</v>
      </c>
      <c r="J62" s="21">
        <v>7953.1503835596277</v>
      </c>
      <c r="K62" s="21">
        <v>7718.5360980773166</v>
      </c>
      <c r="L62" s="22">
        <v>7489.8097779702566</v>
      </c>
      <c r="P62" s="1" t="s">
        <v>23</v>
      </c>
    </row>
    <row r="63" spans="2:17" s="31" customFormat="1" ht="14.4" customHeight="1" x14ac:dyDescent="0.3">
      <c r="B63" s="16"/>
      <c r="C63" s="110">
        <f>C64-C71</f>
        <v>23</v>
      </c>
      <c r="D63" s="20">
        <v>8875.4434679568712</v>
      </c>
      <c r="E63" s="21">
        <v>8607.793176410365</v>
      </c>
      <c r="F63" s="21">
        <v>8346.8102294760483</v>
      </c>
      <c r="G63" s="21">
        <v>8092.4003514063315</v>
      </c>
      <c r="H63" s="21">
        <v>7844.467124056835</v>
      </c>
      <c r="I63" s="21">
        <v>7602.9121688784562</v>
      </c>
      <c r="J63" s="21">
        <v>7367.6353275270285</v>
      </c>
      <c r="K63" s="21">
        <v>7138.53484057684</v>
      </c>
      <c r="L63" s="22">
        <v>6915.5075238563904</v>
      </c>
      <c r="P63" s="2" t="s">
        <v>24</v>
      </c>
      <c r="Q63" s="5">
        <v>25</v>
      </c>
    </row>
    <row r="64" spans="2:17" s="31" customFormat="1" ht="14.4" customHeight="1" thickBot="1" x14ac:dyDescent="0.35">
      <c r="B64" s="16"/>
      <c r="C64" s="110">
        <f>C65-C71</f>
        <v>24</v>
      </c>
      <c r="D64" s="20">
        <v>8315.7201854574178</v>
      </c>
      <c r="E64" s="21">
        <v>8052.3010235123465</v>
      </c>
      <c r="F64" s="21">
        <v>7795.784729776733</v>
      </c>
      <c r="G64" s="21">
        <v>7546.067386342811</v>
      </c>
      <c r="H64" s="21">
        <v>7303.0427446232752</v>
      </c>
      <c r="I64" s="21">
        <v>7066.6024401981776</v>
      </c>
      <c r="J64" s="21">
        <v>6836.6362056609732</v>
      </c>
      <c r="K64" s="21">
        <v>6613.0320808196093</v>
      </c>
      <c r="L64" s="22">
        <v>6395.6766196515946</v>
      </c>
      <c r="P64" s="2" t="s">
        <v>29</v>
      </c>
      <c r="Q64" s="8">
        <f>Q59/(((1+Q59)^Q63)-1)</f>
        <v>3.0235988908240367E-2</v>
      </c>
    </row>
    <row r="65" spans="2:19" s="31" customFormat="1" ht="14.4" customHeight="1" thickBot="1" x14ac:dyDescent="0.35">
      <c r="B65" s="23"/>
      <c r="C65" s="111">
        <v>25</v>
      </c>
      <c r="D65" s="20">
        <v>7803.8879055977341</v>
      </c>
      <c r="E65" s="21">
        <v>7544.7200895547721</v>
      </c>
      <c r="F65" s="21">
        <v>7292.6841125757383</v>
      </c>
      <c r="G65" s="21">
        <v>7047.6658394578681</v>
      </c>
      <c r="H65" s="21">
        <v>6809.5486222496256</v>
      </c>
      <c r="I65" s="21">
        <v>6578.213551984818</v>
      </c>
      <c r="J65" s="21">
        <v>6353.5397075925184</v>
      </c>
      <c r="K65" s="21">
        <v>6135.4044011857541</v>
      </c>
      <c r="L65" s="22">
        <v>5923.6834189890342</v>
      </c>
      <c r="P65" s="2" t="s">
        <v>31</v>
      </c>
      <c r="Q65" s="9">
        <f>Q57+Q64</f>
        <v>8.0235988908240366E-2</v>
      </c>
    </row>
    <row r="66" spans="2:19" s="31" customFormat="1" ht="14.4" customHeight="1" x14ac:dyDescent="0.3">
      <c r="B66" s="16"/>
      <c r="C66" s="110">
        <f>C65+C71</f>
        <v>26</v>
      </c>
      <c r="D66" s="20">
        <v>7334.3986520233912</v>
      </c>
      <c r="E66" s="21">
        <v>7079.4944839645568</v>
      </c>
      <c r="F66" s="21">
        <v>6831.944421195908</v>
      </c>
      <c r="G66" s="21">
        <v>6591.6235367642721</v>
      </c>
      <c r="H66" s="21">
        <v>6358.404218448889</v>
      </c>
      <c r="I66" s="21">
        <v>6132.1564616299092</v>
      </c>
      <c r="J66" s="21">
        <v>5912.748158259059</v>
      </c>
      <c r="K66" s="21">
        <v>5700.0453809582268</v>
      </c>
      <c r="L66" s="22">
        <v>5493.912661346998</v>
      </c>
      <c r="P66" s="2" t="s">
        <v>33</v>
      </c>
      <c r="Q66" s="10">
        <f>1/(1-Q60)</f>
        <v>1.6666666666666667</v>
      </c>
    </row>
    <row r="67" spans="2:19" s="31" customFormat="1" ht="14.4" customHeight="1" x14ac:dyDescent="0.3">
      <c r="B67" s="16"/>
      <c r="C67" s="110">
        <f>C66+C71</f>
        <v>27</v>
      </c>
      <c r="D67" s="20">
        <v>6902.5257003415973</v>
      </c>
      <c r="E67" s="21">
        <v>6651.8906016344563</v>
      </c>
      <c r="F67" s="21">
        <v>6408.825029032464</v>
      </c>
      <c r="G67" s="21">
        <v>6173.1926923459932</v>
      </c>
      <c r="H67" s="21">
        <v>5944.8544566754545</v>
      </c>
      <c r="I67" s="21">
        <v>5723.6686808527702</v>
      </c>
      <c r="J67" s="21">
        <v>5509.491550609936</v>
      </c>
      <c r="K67" s="21">
        <v>5302.1774052979326</v>
      </c>
      <c r="L67" s="22">
        <v>5101.579057077598</v>
      </c>
      <c r="P67" s="2" t="s">
        <v>35</v>
      </c>
      <c r="Q67" s="9">
        <f>Q57+(Q64*Q66)</f>
        <v>0.10039331484706729</v>
      </c>
    </row>
    <row r="68" spans="2:19" s="31" customFormat="1" ht="14.4" customHeight="1" x14ac:dyDescent="0.3">
      <c r="B68" s="16"/>
      <c r="C68" s="110">
        <f>C67+C71</f>
        <v>28</v>
      </c>
      <c r="D68" s="20">
        <v>6504.2169466745554</v>
      </c>
      <c r="E68" s="21">
        <v>6257.8503149521739</v>
      </c>
      <c r="F68" s="21">
        <v>6019.2616553043554</v>
      </c>
      <c r="G68" s="21">
        <v>5788.3027480437304</v>
      </c>
      <c r="H68" s="21">
        <v>5564.8223861008191</v>
      </c>
      <c r="I68" s="21">
        <v>5348.6667636405127</v>
      </c>
      <c r="J68" s="21">
        <v>5139.6798576727415</v>
      </c>
      <c r="K68" s="21">
        <v>4937.7038012519406</v>
      </c>
      <c r="L68" s="22">
        <v>4742.5792469876815</v>
      </c>
    </row>
    <row r="69" spans="2:19" s="31" customFormat="1" ht="14.4" customHeight="1" x14ac:dyDescent="0.3">
      <c r="B69" s="16"/>
      <c r="C69" s="110">
        <f>C68+C71</f>
        <v>29</v>
      </c>
      <c r="D69" s="20">
        <v>6135.9786141498362</v>
      </c>
      <c r="E69" s="21">
        <v>5893.8745403746434</v>
      </c>
      <c r="F69" s="21">
        <v>5659.749791896751</v>
      </c>
      <c r="G69" s="21">
        <v>5433.4436607060243</v>
      </c>
      <c r="H69" s="21">
        <v>5214.7923293466683</v>
      </c>
      <c r="I69" s="21">
        <v>5003.6293144423371</v>
      </c>
      <c r="J69" s="21">
        <v>4799.7859010625116</v>
      </c>
      <c r="K69" s="21">
        <v>4603.0915662705102</v>
      </c>
      <c r="L69" s="22">
        <v>4413.3743903573313</v>
      </c>
      <c r="Q69" s="32" t="s">
        <v>25</v>
      </c>
      <c r="R69" s="33"/>
    </row>
    <row r="70" spans="2:19" s="31" customFormat="1" ht="14.4" customHeight="1" thickBot="1" x14ac:dyDescent="0.35">
      <c r="B70" s="16"/>
      <c r="C70" s="112">
        <f>C69+C71</f>
        <v>30</v>
      </c>
      <c r="D70" s="24">
        <v>5794.782218439922</v>
      </c>
      <c r="E70" s="25">
        <v>5556.930092099009</v>
      </c>
      <c r="F70" s="25">
        <v>5327.2514452928008</v>
      </c>
      <c r="G70" s="25">
        <v>5105.5725324580808</v>
      </c>
      <c r="H70" s="25">
        <v>4891.7164010898905</v>
      </c>
      <c r="I70" s="25">
        <v>4685.5033950041216</v>
      </c>
      <c r="J70" s="25">
        <v>4486.7516458016144</v>
      </c>
      <c r="K70" s="25">
        <v>4295.2775505946029</v>
      </c>
      <c r="L70" s="26">
        <v>4110.8962342653394</v>
      </c>
      <c r="P70" s="2" t="s">
        <v>30</v>
      </c>
      <c r="Q70" s="34">
        <f>Q56*(1/(Q57+1/Q58))</f>
        <v>5407563.0252100835</v>
      </c>
      <c r="R70" s="35"/>
    </row>
    <row r="71" spans="2:19" s="31" customFormat="1" ht="14.4" customHeight="1" thickBot="1" x14ac:dyDescent="0.35">
      <c r="B71" s="11"/>
      <c r="C71" s="114">
        <v>1</v>
      </c>
      <c r="D71" s="12"/>
      <c r="E71" s="12"/>
      <c r="F71" s="12"/>
      <c r="G71" s="12"/>
      <c r="H71" s="12"/>
      <c r="I71" s="12"/>
      <c r="J71" s="12"/>
      <c r="K71" s="12"/>
      <c r="L71" s="13"/>
      <c r="P71" s="2" t="s">
        <v>32</v>
      </c>
      <c r="Q71" s="34">
        <f>Q56*(1/(Q57+(1/Q58)/(1-Q60)))</f>
        <v>4862720.4030226693</v>
      </c>
      <c r="R71" s="35"/>
    </row>
    <row r="72" spans="2:19" s="31" customFormat="1" ht="14.4" customHeight="1" thickBot="1" x14ac:dyDescent="0.35">
      <c r="B72" s="109"/>
      <c r="P72" s="2" t="s">
        <v>34</v>
      </c>
      <c r="Q72" s="34">
        <f>Q56*(1/Q65)</f>
        <v>4050551.434863938</v>
      </c>
      <c r="R72" s="35"/>
    </row>
    <row r="73" spans="2:19" s="31" customFormat="1" ht="14.4" customHeight="1" thickBot="1" x14ac:dyDescent="0.35">
      <c r="B73" s="51" t="s">
        <v>1</v>
      </c>
      <c r="C73" s="52">
        <v>27000</v>
      </c>
      <c r="D73" s="12"/>
      <c r="E73" s="53" t="s">
        <v>10</v>
      </c>
      <c r="F73" s="53"/>
      <c r="G73" s="12"/>
      <c r="H73" s="12"/>
      <c r="I73" s="12"/>
      <c r="J73" s="12"/>
      <c r="K73" s="12"/>
      <c r="L73" s="13"/>
      <c r="P73" s="2" t="s">
        <v>36</v>
      </c>
      <c r="Q73" s="36">
        <f>Q56*(1/Q67)</f>
        <v>3237267.3468854385</v>
      </c>
      <c r="R73" s="37"/>
    </row>
    <row r="74" spans="2:19" s="31" customFormat="1" ht="14.4" customHeight="1" x14ac:dyDescent="0.3">
      <c r="B74" s="54" t="s">
        <v>2</v>
      </c>
      <c r="C74" s="55">
        <v>0.05</v>
      </c>
      <c r="D74" s="73" t="s">
        <v>11</v>
      </c>
      <c r="E74" s="82"/>
      <c r="F74" s="82"/>
      <c r="G74" s="82"/>
      <c r="H74" s="82"/>
      <c r="I74" s="82"/>
      <c r="J74" s="82"/>
      <c r="K74" s="82"/>
      <c r="L74" s="83"/>
    </row>
    <row r="75" spans="2:19" s="31" customFormat="1" ht="14.4" customHeight="1" thickBot="1" x14ac:dyDescent="0.35">
      <c r="B75" s="54" t="s">
        <v>4</v>
      </c>
      <c r="C75" s="58">
        <v>7</v>
      </c>
      <c r="D75" s="89"/>
      <c r="E75" s="89"/>
      <c r="F75" s="89"/>
      <c r="G75" s="89"/>
      <c r="H75" s="89"/>
      <c r="I75" s="89"/>
      <c r="J75" s="89"/>
      <c r="K75" s="89"/>
      <c r="L75" s="90"/>
      <c r="Q75" s="38" t="s">
        <v>26</v>
      </c>
      <c r="R75" s="39" t="s">
        <v>27</v>
      </c>
      <c r="S75" s="40" t="s">
        <v>28</v>
      </c>
    </row>
    <row r="76" spans="2:19" s="31" customFormat="1" ht="14.4" customHeight="1" thickBot="1" x14ac:dyDescent="0.35">
      <c r="B76" s="104"/>
      <c r="C76" s="62">
        <f>(C74+(C74/(((1+(C74))^C$75)-1)))*C73</f>
        <v>4666.1350980466077</v>
      </c>
      <c r="D76" s="105">
        <f>ROUND((E76-M76),4)</f>
        <v>0.04</v>
      </c>
      <c r="E76" s="106">
        <f>ROUND((F76-M76),4)</f>
        <v>4.2500000000000003E-2</v>
      </c>
      <c r="F76" s="106">
        <f>ROUND((G76-M76),4)</f>
        <v>4.4999999999999998E-2</v>
      </c>
      <c r="G76" s="106">
        <f>ROUND((H76-M76),4)</f>
        <v>4.7500000000000001E-2</v>
      </c>
      <c r="H76" s="107">
        <v>0.05</v>
      </c>
      <c r="I76" s="106">
        <f>ROUND((H76+M76),4)</f>
        <v>5.2499999999999998E-2</v>
      </c>
      <c r="J76" s="106">
        <f>ROUND((I76+M76),4)</f>
        <v>5.5E-2</v>
      </c>
      <c r="K76" s="106">
        <f>ROUND((J76+M76),4)</f>
        <v>5.7500000000000002E-2</v>
      </c>
      <c r="L76" s="108">
        <f>ROUND((K76+M76),4)</f>
        <v>0.06</v>
      </c>
      <c r="M76" s="107">
        <v>2.5000000000000001E-3</v>
      </c>
      <c r="Q76" s="34">
        <f>Q56-(Q57*Q70)</f>
        <v>54621.848739495792</v>
      </c>
      <c r="R76" s="41">
        <f>Q76*(1-Q60)</f>
        <v>32773.109243697472</v>
      </c>
      <c r="S76" s="42">
        <f>Q76*Q60</f>
        <v>21848.73949579832</v>
      </c>
    </row>
    <row r="77" spans="2:19" s="31" customFormat="1" ht="14.4" customHeight="1" x14ac:dyDescent="0.3">
      <c r="B77" s="16"/>
      <c r="C77" s="110">
        <f>C78-C88</f>
        <v>2</v>
      </c>
      <c r="D77" s="17">
        <f t="dataTable" ref="D77:L87" dt2D="1" dtr="1" r1="C74" r2="C75"/>
        <v>14315.294117647039</v>
      </c>
      <c r="E77" s="18">
        <v>14366.594247246028</v>
      </c>
      <c r="F77" s="18">
        <v>14417.933985330103</v>
      </c>
      <c r="G77" s="18">
        <v>14469.313186813151</v>
      </c>
      <c r="H77" s="18">
        <v>14520.731707317071</v>
      </c>
      <c r="I77" s="18">
        <v>14572.189403166869</v>
      </c>
      <c r="J77" s="18">
        <v>14623.68613138687</v>
      </c>
      <c r="K77" s="18">
        <v>14675.221749696204</v>
      </c>
      <c r="L77" s="19">
        <v>14726.796116504838</v>
      </c>
      <c r="Q77" s="34">
        <f>Q56-(Q57*Q71)</f>
        <v>81863.979848866526</v>
      </c>
      <c r="R77" s="41">
        <f>Q77*(1-Q60)</f>
        <v>49118.387909319914</v>
      </c>
      <c r="S77" s="42">
        <f>Q77*Q60</f>
        <v>32745.591939546612</v>
      </c>
    </row>
    <row r="78" spans="2:19" s="31" customFormat="1" ht="14.4" customHeight="1" x14ac:dyDescent="0.3">
      <c r="B78" s="16"/>
      <c r="C78" s="110">
        <f>C79-C88</f>
        <v>3</v>
      </c>
      <c r="D78" s="20">
        <v>9729.410558687845</v>
      </c>
      <c r="E78" s="21">
        <v>9775.6104637809112</v>
      </c>
      <c r="F78" s="21">
        <v>9821.8807229779923</v>
      </c>
      <c r="G78" s="21">
        <v>9868.2210713866716</v>
      </c>
      <c r="H78" s="21">
        <v>9914.6312450436089</v>
      </c>
      <c r="I78" s="21">
        <v>9961.1109809133377</v>
      </c>
      <c r="J78" s="21">
        <v>10007.660016887501</v>
      </c>
      <c r="K78" s="21">
        <v>10054.278091783761</v>
      </c>
      <c r="L78" s="22">
        <v>10100.964945344878</v>
      </c>
      <c r="Q78" s="34">
        <f>Q56-(Q57*Q72)</f>
        <v>122472.42825680308</v>
      </c>
      <c r="R78" s="41">
        <f>Q78*(1-Q60)</f>
        <v>73483.456954081848</v>
      </c>
      <c r="S78" s="42">
        <f>Q78*Q60</f>
        <v>48988.971302721235</v>
      </c>
    </row>
    <row r="79" spans="2:19" s="31" customFormat="1" ht="14.4" customHeight="1" x14ac:dyDescent="0.3">
      <c r="B79" s="16"/>
      <c r="C79" s="110">
        <f>C80-C88</f>
        <v>4</v>
      </c>
      <c r="D79" s="20">
        <v>7438.2312248496546</v>
      </c>
      <c r="E79" s="21">
        <v>7482.1054513906283</v>
      </c>
      <c r="F79" s="21">
        <v>7526.0784934836374</v>
      </c>
      <c r="G79" s="21">
        <v>7570.1499649545231</v>
      </c>
      <c r="H79" s="21">
        <v>7614.3194802934959</v>
      </c>
      <c r="I79" s="21">
        <v>7658.5866546674324</v>
      </c>
      <c r="J79" s="21">
        <v>7702.9511039324543</v>
      </c>
      <c r="K79" s="21">
        <v>7747.4124446459073</v>
      </c>
      <c r="L79" s="22">
        <v>7791.9702940783764</v>
      </c>
      <c r="Q79" s="36">
        <f>Q56-(Q57*Q73)</f>
        <v>163136.63265572806</v>
      </c>
      <c r="R79" s="43">
        <f>Q79*(1-Q60)</f>
        <v>97881.97959343683</v>
      </c>
      <c r="S79" s="44">
        <f>Q79*Q60</f>
        <v>65254.653062291225</v>
      </c>
    </row>
    <row r="80" spans="2:19" s="31" customFormat="1" ht="14.4" customHeight="1" x14ac:dyDescent="0.3">
      <c r="B80" s="16"/>
      <c r="C80" s="110">
        <f>C81-C88</f>
        <v>5</v>
      </c>
      <c r="D80" s="20">
        <v>6064.9320643119081</v>
      </c>
      <c r="E80" s="21">
        <v>6107.5900220160238</v>
      </c>
      <c r="F80" s="21">
        <v>6150.374266620488</v>
      </c>
      <c r="G80" s="21">
        <v>6193.2842814067299</v>
      </c>
      <c r="H80" s="21">
        <v>6236.3195494632391</v>
      </c>
      <c r="I80" s="21">
        <v>6279.4795537256205</v>
      </c>
      <c r="J80" s="21">
        <v>6322.7637770164165</v>
      </c>
      <c r="K80" s="21">
        <v>6366.1717020841716</v>
      </c>
      <c r="L80" s="22">
        <v>6409.7028116421134</v>
      </c>
    </row>
    <row r="81" spans="2:13" s="31" customFormat="1" ht="14.4" customHeight="1" thickBot="1" x14ac:dyDescent="0.35">
      <c r="B81" s="16"/>
      <c r="C81" s="110">
        <f>C82-C88</f>
        <v>6</v>
      </c>
      <c r="D81" s="20">
        <v>5150.5713677147533</v>
      </c>
      <c r="E81" s="21">
        <v>5192.5673246037059</v>
      </c>
      <c r="F81" s="21">
        <v>5234.7164631389842</v>
      </c>
      <c r="G81" s="21">
        <v>5277.0181222170522</v>
      </c>
      <c r="H81" s="21">
        <v>5319.4716389750847</v>
      </c>
      <c r="I81" s="21">
        <v>5362.0763488779003</v>
      </c>
      <c r="J81" s="21">
        <v>5404.831585804267</v>
      </c>
      <c r="K81" s="21">
        <v>5447.7366821319874</v>
      </c>
      <c r="L81" s="22">
        <v>5490.7909688221716</v>
      </c>
    </row>
    <row r="82" spans="2:13" s="31" customFormat="1" ht="14.4" customHeight="1" thickBot="1" x14ac:dyDescent="0.35">
      <c r="B82" s="23"/>
      <c r="C82" s="111">
        <v>7</v>
      </c>
      <c r="D82" s="20">
        <v>4498.4595250666116</v>
      </c>
      <c r="E82" s="21">
        <v>4540.109749419682</v>
      </c>
      <c r="F82" s="21">
        <v>4581.939635683204</v>
      </c>
      <c r="G82" s="21">
        <v>4623.948360919785</v>
      </c>
      <c r="H82" s="21">
        <v>4666.1350980466077</v>
      </c>
      <c r="I82" s="21">
        <v>4708.4990159947238</v>
      </c>
      <c r="J82" s="21">
        <v>4751.0392798671128</v>
      </c>
      <c r="K82" s="21">
        <v>4793.7550510950869</v>
      </c>
      <c r="L82" s="22">
        <v>4836.6454875932877</v>
      </c>
    </row>
    <row r="83" spans="2:13" s="31" customFormat="1" ht="14.4" customHeight="1" x14ac:dyDescent="0.3">
      <c r="B83" s="16"/>
      <c r="C83" s="110">
        <f>C82+C88</f>
        <v>8</v>
      </c>
      <c r="D83" s="20">
        <v>4010.2514652612449</v>
      </c>
      <c r="E83" s="21">
        <v>4051.7531545413162</v>
      </c>
      <c r="F83" s="21">
        <v>4093.4606395971291</v>
      </c>
      <c r="G83" s="21">
        <v>4135.3729150192094</v>
      </c>
      <c r="H83" s="21">
        <v>4177.4889679473918</v>
      </c>
      <c r="I83" s="21">
        <v>4219.8077783352473</v>
      </c>
      <c r="J83" s="21">
        <v>4262.3283192127719</v>
      </c>
      <c r="K83" s="21">
        <v>4305.0495569468139</v>
      </c>
      <c r="L83" s="22">
        <v>4347.9704514994819</v>
      </c>
    </row>
    <row r="84" spans="2:13" s="31" customFormat="1" ht="14.4" customHeight="1" x14ac:dyDescent="0.3">
      <c r="B84" s="16"/>
      <c r="C84" s="110">
        <f>C83+C88</f>
        <v>9</v>
      </c>
      <c r="D84" s="20">
        <v>3631.3108028383112</v>
      </c>
      <c r="E84" s="21">
        <v>3672.7949417172399</v>
      </c>
      <c r="F84" s="21">
        <v>3714.5106903651972</v>
      </c>
      <c r="G84" s="21">
        <v>3756.4568373167531</v>
      </c>
      <c r="H84" s="21">
        <v>3798.6321593462708</v>
      </c>
      <c r="I84" s="21">
        <v>3841.0354218790853</v>
      </c>
      <c r="J84" s="21">
        <v>3883.6653794004155</v>
      </c>
      <c r="K84" s="21">
        <v>3926.5207758614488</v>
      </c>
      <c r="L84" s="22">
        <v>3969.6003450827175</v>
      </c>
    </row>
    <row r="85" spans="2:13" s="31" customFormat="1" ht="14.4" customHeight="1" x14ac:dyDescent="0.3">
      <c r="B85" s="16"/>
      <c r="C85" s="110">
        <f>C84+C88</f>
        <v>10</v>
      </c>
      <c r="D85" s="20">
        <v>3328.8554969136831</v>
      </c>
      <c r="E85" s="21">
        <v>3370.413287032467</v>
      </c>
      <c r="F85" s="21">
        <v>3412.2281870350685</v>
      </c>
      <c r="G85" s="21">
        <v>3454.2987530510295</v>
      </c>
      <c r="H85" s="21">
        <v>3496.6235240673309</v>
      </c>
      <c r="I85" s="21">
        <v>3539.2010225381232</v>
      </c>
      <c r="J85" s="21">
        <v>3582.0297549917491</v>
      </c>
      <c r="K85" s="21">
        <v>3625.1082126344081</v>
      </c>
      <c r="L85" s="22">
        <v>3668.4348719503605</v>
      </c>
    </row>
    <row r="86" spans="2:13" s="31" customFormat="1" ht="14.4" customHeight="1" x14ac:dyDescent="0.3">
      <c r="B86" s="16"/>
      <c r="C86" s="110">
        <f>C85+C88</f>
        <v>11</v>
      </c>
      <c r="D86" s="20">
        <v>3082.0240599863168</v>
      </c>
      <c r="E86" s="21">
        <v>3123.7213369517526</v>
      </c>
      <c r="F86" s="21">
        <v>3165.7009050799361</v>
      </c>
      <c r="G86" s="21">
        <v>3207.9610591387573</v>
      </c>
      <c r="H86" s="21">
        <v>3250.5000702480374</v>
      </c>
      <c r="I86" s="21">
        <v>3293.3161867513149</v>
      </c>
      <c r="J86" s="21">
        <v>3336.4076350846362</v>
      </c>
      <c r="K86" s="21">
        <v>3379.7726206414673</v>
      </c>
      <c r="L86" s="22">
        <v>3423.4093286333537</v>
      </c>
    </row>
    <row r="87" spans="2:13" s="31" customFormat="1" ht="14.4" customHeight="1" thickBot="1" x14ac:dyDescent="0.35">
      <c r="B87" s="16"/>
      <c r="C87" s="112">
        <f>C86+C88</f>
        <v>12</v>
      </c>
      <c r="D87" s="24">
        <v>2876.9086625235254</v>
      </c>
      <c r="E87" s="25">
        <v>2918.7943065983327</v>
      </c>
      <c r="F87" s="25">
        <v>2960.9870931853202</v>
      </c>
      <c r="G87" s="25">
        <v>3003.4850242778557</v>
      </c>
      <c r="H87" s="25">
        <v>3046.286070562016</v>
      </c>
      <c r="I87" s="25">
        <v>3089.3881726271952</v>
      </c>
      <c r="J87" s="25">
        <v>3132.7892421735883</v>
      </c>
      <c r="K87" s="25">
        <v>3176.4871632152417</v>
      </c>
      <c r="L87" s="26">
        <v>3220.4797932779161</v>
      </c>
    </row>
    <row r="88" spans="2:13" s="31" customFormat="1" ht="14.4" customHeight="1" thickBot="1" x14ac:dyDescent="0.35">
      <c r="B88" s="11"/>
      <c r="C88" s="114">
        <v>1</v>
      </c>
      <c r="D88" s="12"/>
      <c r="E88" s="12"/>
      <c r="F88" s="12"/>
      <c r="G88" s="12"/>
      <c r="H88" s="12"/>
      <c r="I88" s="12"/>
      <c r="J88" s="12"/>
      <c r="K88" s="12"/>
      <c r="L88" s="13"/>
    </row>
    <row r="89" spans="2:13" s="31" customFormat="1" ht="14.4" customHeight="1" thickBot="1" x14ac:dyDescent="0.35">
      <c r="B89" s="109"/>
    </row>
    <row r="90" spans="2:13" s="31" customFormat="1" ht="14.4" customHeight="1" thickBot="1" x14ac:dyDescent="0.35">
      <c r="B90" s="51" t="s">
        <v>1</v>
      </c>
      <c r="C90" s="52">
        <v>27000</v>
      </c>
      <c r="D90" s="12"/>
      <c r="E90" s="53" t="s">
        <v>12</v>
      </c>
      <c r="F90" s="53"/>
      <c r="G90" s="12"/>
      <c r="H90" s="12"/>
      <c r="I90" s="12"/>
      <c r="J90" s="12"/>
      <c r="K90" s="12"/>
      <c r="L90" s="13"/>
    </row>
    <row r="91" spans="2:13" s="31" customFormat="1" ht="14.4" customHeight="1" x14ac:dyDescent="0.3">
      <c r="B91" s="54" t="s">
        <v>2</v>
      </c>
      <c r="C91" s="55">
        <v>0.05</v>
      </c>
      <c r="D91" s="73" t="s">
        <v>13</v>
      </c>
      <c r="E91" s="82"/>
      <c r="F91" s="82"/>
      <c r="G91" s="82"/>
      <c r="H91" s="82"/>
      <c r="I91" s="82"/>
      <c r="J91" s="82"/>
      <c r="K91" s="82"/>
      <c r="L91" s="83"/>
    </row>
    <row r="92" spans="2:13" s="31" customFormat="1" ht="14.4" customHeight="1" thickBot="1" x14ac:dyDescent="0.35">
      <c r="B92" s="54" t="s">
        <v>4</v>
      </c>
      <c r="C92" s="58">
        <v>8</v>
      </c>
      <c r="D92" s="89"/>
      <c r="E92" s="89"/>
      <c r="F92" s="89"/>
      <c r="G92" s="89"/>
      <c r="H92" s="89"/>
      <c r="I92" s="89"/>
      <c r="J92" s="89"/>
      <c r="K92" s="89"/>
      <c r="L92" s="90"/>
    </row>
    <row r="93" spans="2:13" s="31" customFormat="1" ht="14.4" customHeight="1" thickBot="1" x14ac:dyDescent="0.35">
      <c r="B93" s="104"/>
      <c r="C93" s="62">
        <f>(1/((1+(C91))^C92))*C90</f>
        <v>18274.662774774555</v>
      </c>
      <c r="D93" s="105">
        <f>ROUND((E93-M93),4)</f>
        <v>0.04</v>
      </c>
      <c r="E93" s="106">
        <f>ROUND((F93-M93),4)</f>
        <v>4.2500000000000003E-2</v>
      </c>
      <c r="F93" s="106">
        <f>ROUND((G93-M93),4)</f>
        <v>4.4999999999999998E-2</v>
      </c>
      <c r="G93" s="106">
        <f>ROUND((H93-M93),4)</f>
        <v>4.7500000000000001E-2</v>
      </c>
      <c r="H93" s="107">
        <v>0.05</v>
      </c>
      <c r="I93" s="106">
        <f>ROUND((H93+M93),4)</f>
        <v>5.2499999999999998E-2</v>
      </c>
      <c r="J93" s="106">
        <f>ROUND((I93+M93),4)</f>
        <v>5.5E-2</v>
      </c>
      <c r="K93" s="106">
        <f>ROUND((J93+M93),4)</f>
        <v>5.7500000000000002E-2</v>
      </c>
      <c r="L93" s="108">
        <f>ROUND((K93+M93),4)</f>
        <v>0.06</v>
      </c>
      <c r="M93" s="107">
        <v>2.5000000000000001E-3</v>
      </c>
    </row>
    <row r="94" spans="2:13" s="31" customFormat="1" ht="14.4" customHeight="1" x14ac:dyDescent="0.3">
      <c r="B94" s="16"/>
      <c r="C94" s="110">
        <f>C95-C105</f>
        <v>3</v>
      </c>
      <c r="D94" s="17">
        <f t="dataTable" ref="D94:L104" dt2D="1" dtr="1" r1="C91" r2="C92"/>
        <v>24002.901684114702</v>
      </c>
      <c r="E94" s="18">
        <v>23830.632714469179</v>
      </c>
      <c r="F94" s="18">
        <v>23660.00830948255</v>
      </c>
      <c r="G94" s="18">
        <v>23491.008891115755</v>
      </c>
      <c r="H94" s="18">
        <v>23323.615160349851</v>
      </c>
      <c r="I94" s="18">
        <v>23157.808092557687</v>
      </c>
      <c r="J94" s="18">
        <v>22993.568932963211</v>
      </c>
      <c r="K94" s="18">
        <v>22830.87919218641</v>
      </c>
      <c r="L94" s="19">
        <v>22669.720641872143</v>
      </c>
    </row>
    <row r="95" spans="2:13" s="31" customFormat="1" ht="14.4" customHeight="1" x14ac:dyDescent="0.3">
      <c r="B95" s="16"/>
      <c r="C95" s="110">
        <f>C96-C105</f>
        <v>4</v>
      </c>
      <c r="D95" s="20">
        <v>23079.713157802595</v>
      </c>
      <c r="E95" s="21">
        <v>22859.120109802574</v>
      </c>
      <c r="F95" s="21">
        <v>22641.156277016802</v>
      </c>
      <c r="G95" s="21">
        <v>22425.784144263249</v>
      </c>
      <c r="H95" s="21">
        <v>22212.966819380814</v>
      </c>
      <c r="I95" s="21">
        <v>22002.668021432481</v>
      </c>
      <c r="J95" s="21">
        <v>21794.852069159442</v>
      </c>
      <c r="K95" s="21">
        <v>21589.483869679818</v>
      </c>
      <c r="L95" s="22">
        <v>21386.528907426553</v>
      </c>
    </row>
    <row r="96" spans="2:13" s="31" customFormat="1" ht="14.4" customHeight="1" x14ac:dyDescent="0.3">
      <c r="B96" s="16"/>
      <c r="C96" s="110">
        <f>C97-C105</f>
        <v>5</v>
      </c>
      <c r="D96" s="20">
        <v>22192.031882502491</v>
      </c>
      <c r="E96" s="21">
        <v>21927.213534582803</v>
      </c>
      <c r="F96" s="21">
        <v>21666.178255518469</v>
      </c>
      <c r="G96" s="21">
        <v>21408.863144881379</v>
      </c>
      <c r="H96" s="21">
        <v>21155.206494648392</v>
      </c>
      <c r="I96" s="21">
        <v>20905.147763831337</v>
      </c>
      <c r="J96" s="21">
        <v>20658.627553705635</v>
      </c>
      <c r="K96" s="21">
        <v>20415.587583621575</v>
      </c>
      <c r="L96" s="22">
        <v>20175.970667383535</v>
      </c>
    </row>
    <row r="97" spans="2:18" s="31" customFormat="1" ht="14.4" customHeight="1" x14ac:dyDescent="0.3">
      <c r="B97" s="16"/>
      <c r="C97" s="110">
        <f>C98-C105</f>
        <v>6</v>
      </c>
      <c r="D97" s="20">
        <v>21338.492194713934</v>
      </c>
      <c r="E97" s="21">
        <v>21033.298354515879</v>
      </c>
      <c r="F97" s="21">
        <v>20733.184933510503</v>
      </c>
      <c r="G97" s="21">
        <v>20438.055508239977</v>
      </c>
      <c r="H97" s="21">
        <v>20147.815709188944</v>
      </c>
      <c r="I97" s="21">
        <v>19862.373172286305</v>
      </c>
      <c r="J97" s="21">
        <v>19581.637491664107</v>
      </c>
      <c r="K97" s="21">
        <v>19305.520173637418</v>
      </c>
      <c r="L97" s="22">
        <v>19033.934591871261</v>
      </c>
    </row>
    <row r="98" spans="2:18" s="31" customFormat="1" ht="14.4" customHeight="1" thickBot="1" x14ac:dyDescent="0.35">
      <c r="B98" s="16"/>
      <c r="C98" s="110">
        <f>C99-C105</f>
        <v>7</v>
      </c>
      <c r="D98" s="20">
        <v>20517.78095645571</v>
      </c>
      <c r="E98" s="21">
        <v>20175.825759727461</v>
      </c>
      <c r="F98" s="21">
        <v>19840.368357426316</v>
      </c>
      <c r="G98" s="21">
        <v>19511.270174930767</v>
      </c>
      <c r="H98" s="21">
        <v>19188.395913513279</v>
      </c>
      <c r="I98" s="21">
        <v>18871.61346535516</v>
      </c>
      <c r="J98" s="21">
        <v>18560.79383096124</v>
      </c>
      <c r="K98" s="21">
        <v>18255.811038900632</v>
      </c>
      <c r="L98" s="22">
        <v>17956.542067803071</v>
      </c>
    </row>
    <row r="99" spans="2:18" s="31" customFormat="1" ht="14.4" customHeight="1" thickBot="1" x14ac:dyDescent="0.35">
      <c r="B99" s="23"/>
      <c r="C99" s="111">
        <v>8</v>
      </c>
      <c r="D99" s="20">
        <v>19728.635535053563</v>
      </c>
      <c r="E99" s="21">
        <v>19353.310081273343</v>
      </c>
      <c r="F99" s="21">
        <v>18985.998428159161</v>
      </c>
      <c r="G99" s="21">
        <v>18626.510906855143</v>
      </c>
      <c r="H99" s="21">
        <v>18274.662774774555</v>
      </c>
      <c r="I99" s="21">
        <v>17930.274076346945</v>
      </c>
      <c r="J99" s="21">
        <v>17593.169508020135</v>
      </c>
      <c r="K99" s="21">
        <v>17263.178287376482</v>
      </c>
      <c r="L99" s="22">
        <v>16940.134026229316</v>
      </c>
    </row>
    <row r="100" spans="2:18" s="31" customFormat="1" ht="14.4" customHeight="1" x14ac:dyDescent="0.3">
      <c r="B100" s="16"/>
      <c r="C100" s="110">
        <f>C99+C105</f>
        <v>9</v>
      </c>
      <c r="D100" s="20">
        <v>18969.841860628421</v>
      </c>
      <c r="E100" s="21">
        <v>18564.326217048772</v>
      </c>
      <c r="F100" s="21">
        <v>18168.419548477668</v>
      </c>
      <c r="G100" s="21">
        <v>17781.87198745121</v>
      </c>
      <c r="H100" s="21">
        <v>17404.440737880526</v>
      </c>
      <c r="I100" s="21">
        <v>17035.889858761941</v>
      </c>
      <c r="J100" s="21">
        <v>16675.990054995389</v>
      </c>
      <c r="K100" s="21">
        <v>16324.5184750605</v>
      </c>
      <c r="L100" s="22">
        <v>15981.258515310674</v>
      </c>
    </row>
    <row r="101" spans="2:18" s="31" customFormat="1" ht="14.4" customHeight="1" x14ac:dyDescent="0.3">
      <c r="B101" s="16"/>
      <c r="C101" s="110">
        <f>C100+C105</f>
        <v>10</v>
      </c>
      <c r="D101" s="20">
        <v>18240.23255829656</v>
      </c>
      <c r="E101" s="21">
        <v>17807.507162636713</v>
      </c>
      <c r="F101" s="21">
        <v>17386.047414811168</v>
      </c>
      <c r="G101" s="21">
        <v>16975.534116898529</v>
      </c>
      <c r="H101" s="21">
        <v>16575.657845600501</v>
      </c>
      <c r="I101" s="21">
        <v>16186.11863065268</v>
      </c>
      <c r="J101" s="21">
        <v>15806.625644545393</v>
      </c>
      <c r="K101" s="21">
        <v>15436.896903130493</v>
      </c>
      <c r="L101" s="22">
        <v>15076.658976708182</v>
      </c>
    </row>
    <row r="102" spans="2:18" s="31" customFormat="1" ht="14.4" customHeight="1" x14ac:dyDescent="0.3">
      <c r="B102" s="16"/>
      <c r="C102" s="110">
        <f>C101+C105</f>
        <v>11</v>
      </c>
      <c r="D102" s="20">
        <v>17538.685152208232</v>
      </c>
      <c r="E102" s="21">
        <v>17081.541642816988</v>
      </c>
      <c r="F102" s="21">
        <v>16637.365947187722</v>
      </c>
      <c r="G102" s="21">
        <v>16205.760493459211</v>
      </c>
      <c r="H102" s="21">
        <v>15786.34080533381</v>
      </c>
      <c r="I102" s="21">
        <v>15378.735041000167</v>
      </c>
      <c r="J102" s="21">
        <v>14982.583549332126</v>
      </c>
      <c r="K102" s="21">
        <v>14597.538442676589</v>
      </c>
      <c r="L102" s="22">
        <v>14223.263185573755</v>
      </c>
    </row>
    <row r="103" spans="2:18" s="31" customFormat="1" ht="14.4" customHeight="1" x14ac:dyDescent="0.3">
      <c r="B103" s="16"/>
      <c r="C103" s="110">
        <f>C102+C105</f>
        <v>12</v>
      </c>
      <c r="D103" s="20">
        <v>16864.12033866176</v>
      </c>
      <c r="E103" s="21">
        <v>16385.171839632607</v>
      </c>
      <c r="F103" s="21">
        <v>15920.924351375812</v>
      </c>
      <c r="G103" s="21">
        <v>15470.89307251476</v>
      </c>
      <c r="H103" s="21">
        <v>15034.610290794106</v>
      </c>
      <c r="I103" s="21">
        <v>14611.624742042915</v>
      </c>
      <c r="J103" s="21">
        <v>14201.50099462761</v>
      </c>
      <c r="K103" s="21">
        <v>13803.818858323015</v>
      </c>
      <c r="L103" s="22">
        <v>13418.172816579014</v>
      </c>
      <c r="R103" s="122"/>
    </row>
    <row r="104" spans="2:18" s="31" customFormat="1" ht="14.4" customHeight="1" thickBot="1" x14ac:dyDescent="0.35">
      <c r="B104" s="16"/>
      <c r="C104" s="112">
        <f>C103+C105</f>
        <v>13</v>
      </c>
      <c r="D104" s="24">
        <v>16215.500325636305</v>
      </c>
      <c r="E104" s="25">
        <v>15717.191213076841</v>
      </c>
      <c r="F104" s="25">
        <v>15235.334307536661</v>
      </c>
      <c r="G104" s="25">
        <v>14769.34899524082</v>
      </c>
      <c r="H104" s="25">
        <v>14318.676467422954</v>
      </c>
      <c r="I104" s="25">
        <v>13882.778852297308</v>
      </c>
      <c r="J104" s="25">
        <v>13461.13838353328</v>
      </c>
      <c r="K104" s="25">
        <v>13053.256603615142</v>
      </c>
      <c r="L104" s="26">
        <v>12658.653600546239</v>
      </c>
      <c r="R104" s="122"/>
    </row>
    <row r="105" spans="2:18" s="31" customFormat="1" ht="14.4" customHeight="1" thickBot="1" x14ac:dyDescent="0.35">
      <c r="B105" s="11"/>
      <c r="C105" s="114">
        <v>1</v>
      </c>
      <c r="D105" s="12"/>
      <c r="E105" s="12"/>
      <c r="F105" s="12"/>
      <c r="G105" s="12"/>
      <c r="H105" s="12"/>
      <c r="I105" s="12"/>
      <c r="J105" s="12"/>
      <c r="K105" s="12"/>
      <c r="L105" s="13"/>
      <c r="R105" s="122"/>
    </row>
    <row r="106" spans="2:18" s="31" customFormat="1" ht="14.4" customHeight="1" thickBot="1" x14ac:dyDescent="0.35"/>
    <row r="107" spans="2:18" s="31" customFormat="1" ht="15" thickBot="1" x14ac:dyDescent="0.35">
      <c r="B107" s="128" t="s">
        <v>38</v>
      </c>
      <c r="C107" s="129">
        <v>450000</v>
      </c>
      <c r="D107" s="12"/>
      <c r="E107" s="53" t="s">
        <v>14</v>
      </c>
      <c r="F107" s="12"/>
      <c r="G107" s="53"/>
      <c r="H107" s="12"/>
      <c r="I107" s="12"/>
      <c r="J107" s="12"/>
      <c r="K107" s="12"/>
      <c r="L107" s="13"/>
    </row>
    <row r="108" spans="2:18" s="31" customFormat="1" ht="14.4" x14ac:dyDescent="0.3">
      <c r="B108" s="130" t="s">
        <v>39</v>
      </c>
      <c r="C108" s="101">
        <v>0.06</v>
      </c>
      <c r="D108" s="73" t="s">
        <v>40</v>
      </c>
      <c r="E108" s="82"/>
      <c r="F108" s="82"/>
      <c r="G108" s="82"/>
      <c r="H108" s="82"/>
      <c r="I108" s="82"/>
      <c r="J108" s="82"/>
      <c r="K108" s="82"/>
      <c r="L108" s="83"/>
      <c r="M108" s="131"/>
    </row>
    <row r="109" spans="2:18" s="31" customFormat="1" ht="14.4" x14ac:dyDescent="0.3">
      <c r="B109" s="130" t="s">
        <v>41</v>
      </c>
      <c r="C109" s="132">
        <v>25</v>
      </c>
      <c r="D109" s="73"/>
      <c r="E109" s="82"/>
      <c r="F109" s="82"/>
      <c r="G109" s="82"/>
      <c r="H109" s="82"/>
      <c r="I109" s="82"/>
      <c r="J109" s="82"/>
      <c r="K109" s="82"/>
      <c r="L109" s="83"/>
      <c r="N109" s="133"/>
    </row>
    <row r="110" spans="2:18" s="31" customFormat="1" ht="28.8" x14ac:dyDescent="0.3">
      <c r="B110" s="134" t="s">
        <v>42</v>
      </c>
      <c r="C110" s="135">
        <v>12</v>
      </c>
      <c r="D110" s="73"/>
      <c r="E110" s="82"/>
      <c r="F110" s="82"/>
      <c r="G110" s="82"/>
      <c r="H110" s="82"/>
      <c r="I110" s="82"/>
      <c r="J110" s="82"/>
      <c r="K110" s="82"/>
      <c r="L110" s="83"/>
    </row>
    <row r="111" spans="2:18" s="31" customFormat="1" ht="29.4" thickBot="1" x14ac:dyDescent="0.35">
      <c r="B111" s="134" t="s">
        <v>43</v>
      </c>
      <c r="C111" s="135">
        <v>0</v>
      </c>
      <c r="D111" s="82"/>
      <c r="E111" s="82"/>
      <c r="F111" s="82"/>
      <c r="G111" s="82"/>
      <c r="H111" s="82"/>
      <c r="I111" s="82"/>
      <c r="J111" s="82"/>
      <c r="K111" s="82"/>
      <c r="L111" s="83"/>
    </row>
    <row r="112" spans="2:18" s="31" customFormat="1" ht="14.4" x14ac:dyDescent="0.3">
      <c r="B112" s="134" t="s">
        <v>44</v>
      </c>
      <c r="C112" s="136">
        <f>-CUMIPMT(C108/12,C109*12,C107,1,C109*C110,0)</f>
        <v>419806.89200543659</v>
      </c>
      <c r="D112" s="137" t="s">
        <v>45</v>
      </c>
      <c r="E112" s="14" t="s">
        <v>46</v>
      </c>
      <c r="F112" s="138"/>
      <c r="G112" s="139"/>
      <c r="H112" s="140">
        <f>-CUMIPMT(C108/12,C109*12,C107,1,C109*12,0)</f>
        <v>419806.89200543659</v>
      </c>
      <c r="I112" s="141"/>
      <c r="J112" s="14"/>
      <c r="K112" s="138"/>
      <c r="L112" s="142"/>
    </row>
    <row r="113" spans="2:18" s="31" customFormat="1" ht="15" thickBot="1" x14ac:dyDescent="0.35">
      <c r="B113" s="134" t="s">
        <v>47</v>
      </c>
      <c r="C113" s="143">
        <f>(-CUMPRINC(C108/12,C109*12,C107,1,C109*C110,0))+C112</f>
        <v>869806.89200543659</v>
      </c>
      <c r="D113" s="144" t="s">
        <v>48</v>
      </c>
      <c r="E113" s="145" t="s">
        <v>49</v>
      </c>
      <c r="F113" s="146"/>
      <c r="G113" s="146"/>
      <c r="H113" s="147">
        <f>-CUMPRINC(C108/12,C109*12,C107,1,C109*12,0)</f>
        <v>450000</v>
      </c>
      <c r="I113" s="148"/>
      <c r="J113" s="15"/>
      <c r="K113" s="146"/>
      <c r="L113" s="149"/>
    </row>
    <row r="114" spans="2:18" s="31" customFormat="1" ht="15" thickBot="1" x14ac:dyDescent="0.35">
      <c r="B114" s="150" t="s">
        <v>50</v>
      </c>
      <c r="C114" s="151">
        <f>-PMT(C108/C110,C109*C110,C107,0,C111)</f>
        <v>2899.3563066847887</v>
      </c>
      <c r="D114" s="105">
        <f>ROUND((E114-M114),4)</f>
        <v>0.05</v>
      </c>
      <c r="E114" s="106">
        <f>ROUND((F114-M114),4)</f>
        <v>5.2499999999999998E-2</v>
      </c>
      <c r="F114" s="106">
        <f>ROUND((G114-M114),4)</f>
        <v>5.5E-2</v>
      </c>
      <c r="G114" s="106">
        <f>ROUND((H114-M114),4)</f>
        <v>5.7500000000000002E-2</v>
      </c>
      <c r="H114" s="107">
        <v>0.06</v>
      </c>
      <c r="I114" s="106">
        <f>ROUND((H114+M114),4)</f>
        <v>6.25E-2</v>
      </c>
      <c r="J114" s="106">
        <f>ROUND((I114+M114),4)</f>
        <v>6.5000000000000002E-2</v>
      </c>
      <c r="K114" s="106">
        <f>ROUND((J114+M114),4)</f>
        <v>6.7500000000000004E-2</v>
      </c>
      <c r="L114" s="108">
        <f>ROUND((K114+M114),4)</f>
        <v>7.0000000000000007E-2</v>
      </c>
      <c r="M114" s="107">
        <v>2.5000000000000001E-3</v>
      </c>
    </row>
    <row r="115" spans="2:18" s="31" customFormat="1" ht="14.4" customHeight="1" x14ac:dyDescent="0.3">
      <c r="B115" s="16"/>
      <c r="C115" s="110">
        <f>C116-C126</f>
        <v>20</v>
      </c>
      <c r="D115" s="17">
        <f t="dataTable" ref="D115:L125" dt2D="1" dtr="1" r1="C108" r2="C109"/>
        <v>2969.8008264749583</v>
      </c>
      <c r="E115" s="18">
        <v>3032.2987485530944</v>
      </c>
      <c r="F115" s="18">
        <v>3095.4928853665738</v>
      </c>
      <c r="G115" s="18">
        <v>3159.3757854197443</v>
      </c>
      <c r="H115" s="18">
        <v>3223.9397631517413</v>
      </c>
      <c r="I115" s="18">
        <v>3289.1769106990596</v>
      </c>
      <c r="J115" s="18">
        <v>3355.079109817937</v>
      </c>
      <c r="K115" s="18">
        <v>3421.6380439337504</v>
      </c>
      <c r="L115" s="19">
        <v>3488.845210284936</v>
      </c>
    </row>
    <row r="116" spans="2:18" s="31" customFormat="1" ht="14.4" customHeight="1" x14ac:dyDescent="0.3">
      <c r="B116" s="16"/>
      <c r="C116" s="110">
        <f>C117-C126</f>
        <v>21</v>
      </c>
      <c r="D116" s="20">
        <v>2887.733921474452</v>
      </c>
      <c r="E116" s="21">
        <v>2950.9384952543969</v>
      </c>
      <c r="F116" s="21">
        <v>3014.866089187708</v>
      </c>
      <c r="G116" s="21">
        <v>3079.5082170608785</v>
      </c>
      <c r="H116" s="21">
        <v>3144.8561361640704</v>
      </c>
      <c r="I116" s="21">
        <v>3210.900861799998</v>
      </c>
      <c r="J116" s="21">
        <v>3277.6331819505508</v>
      </c>
      <c r="K116" s="21">
        <v>3345.0436720577641</v>
      </c>
      <c r="L116" s="22">
        <v>3413.1227098764757</v>
      </c>
    </row>
    <row r="117" spans="2:18" s="31" customFormat="1" ht="14.4" customHeight="1" x14ac:dyDescent="0.3">
      <c r="B117" s="16"/>
      <c r="C117" s="110">
        <f>C118-C126</f>
        <v>22</v>
      </c>
      <c r="D117" s="20">
        <v>2813.7633972005365</v>
      </c>
      <c r="E117" s="21">
        <v>2877.6678130387691</v>
      </c>
      <c r="F117" s="21">
        <v>2942.3209998147845</v>
      </c>
      <c r="G117" s="21">
        <v>3007.713361279013</v>
      </c>
      <c r="H117" s="21">
        <v>3073.8350231980266</v>
      </c>
      <c r="I117" s="21">
        <v>3140.675851029639</v>
      </c>
      <c r="J117" s="21">
        <v>3208.2254677392684</v>
      </c>
      <c r="K117" s="21">
        <v>3276.4732717012866</v>
      </c>
      <c r="L117" s="22">
        <v>3345.4084546303693</v>
      </c>
    </row>
    <row r="118" spans="2:18" s="31" customFormat="1" ht="14.4" customHeight="1" x14ac:dyDescent="0.3">
      <c r="B118" s="16"/>
      <c r="C118" s="110">
        <f>C119-C126</f>
        <v>23</v>
      </c>
      <c r="D118" s="20">
        <v>2746.8268666039216</v>
      </c>
      <c r="E118" s="21">
        <v>2811.4239443810857</v>
      </c>
      <c r="F118" s="21">
        <v>2876.7944647783443</v>
      </c>
      <c r="G118" s="21">
        <v>2942.9276471113626</v>
      </c>
      <c r="H118" s="21">
        <v>3009.8124126722678</v>
      </c>
      <c r="I118" s="21">
        <v>3077.4374060152932</v>
      </c>
      <c r="J118" s="21">
        <v>3145.7910163477854</v>
      </c>
      <c r="K118" s="21">
        <v>3214.8613989548735</v>
      </c>
      <c r="L118" s="22">
        <v>3284.6364965882267</v>
      </c>
    </row>
    <row r="119" spans="2:18" s="31" customFormat="1" ht="14.4" customHeight="1" thickBot="1" x14ac:dyDescent="0.35">
      <c r="B119" s="16"/>
      <c r="C119" s="110">
        <f>C120-C126</f>
        <v>24</v>
      </c>
      <c r="D119" s="20">
        <v>2686.0388049893791</v>
      </c>
      <c r="E119" s="21">
        <v>2751.3210252199483</v>
      </c>
      <c r="F119" s="21">
        <v>2817.4002591227131</v>
      </c>
      <c r="G119" s="21">
        <v>2884.2644685423734</v>
      </c>
      <c r="H119" s="21">
        <v>2951.9012992379421</v>
      </c>
      <c r="I119" s="21">
        <v>3020.298106243361</v>
      </c>
      <c r="J119" s="21">
        <v>3089.4419792723784</v>
      </c>
      <c r="K119" s="21">
        <v>3159.3197680778821</v>
      </c>
      <c r="L119" s="22">
        <v>3229.9181076791328</v>
      </c>
    </row>
    <row r="120" spans="2:18" s="31" customFormat="1" ht="14.4" customHeight="1" thickBot="1" x14ac:dyDescent="0.35">
      <c r="B120" s="23"/>
      <c r="C120" s="111">
        <v>25</v>
      </c>
      <c r="D120" s="20">
        <v>2630.6551867859062</v>
      </c>
      <c r="E120" s="21">
        <v>2696.6147182707414</v>
      </c>
      <c r="F120" s="21">
        <v>2763.3937152666158</v>
      </c>
      <c r="G120" s="21">
        <v>2830.9788109019619</v>
      </c>
      <c r="H120" s="21">
        <v>2899.3563066847887</v>
      </c>
      <c r="I120" s="21">
        <v>2968.5122024176944</v>
      </c>
      <c r="J120" s="21">
        <v>3038.4322260643785</v>
      </c>
      <c r="K120" s="21">
        <v>3109.1018634569105</v>
      </c>
      <c r="L120" s="22">
        <v>3180.506387737913</v>
      </c>
    </row>
    <row r="121" spans="2:18" s="31" customFormat="1" ht="14.4" customHeight="1" x14ac:dyDescent="0.3">
      <c r="B121" s="16"/>
      <c r="C121" s="110">
        <f>C120+C126</f>
        <v>26</v>
      </c>
      <c r="D121" s="20">
        <v>2580.0462832097091</v>
      </c>
      <c r="E121" s="21">
        <v>2646.675008040474</v>
      </c>
      <c r="F121" s="21">
        <v>2714.1445153623895</v>
      </c>
      <c r="G121" s="21">
        <v>2782.4400405443885</v>
      </c>
      <c r="H121" s="21">
        <v>2851.5464748922468</v>
      </c>
      <c r="I121" s="21">
        <v>2921.4484006066286</v>
      </c>
      <c r="J121" s="21">
        <v>2992.1301255610438</v>
      </c>
      <c r="K121" s="21">
        <v>3063.5757177652545</v>
      </c>
      <c r="L121" s="22">
        <v>3135.7690393867033</v>
      </c>
    </row>
    <row r="122" spans="2:18" s="31" customFormat="1" ht="14.4" customHeight="1" x14ac:dyDescent="0.3">
      <c r="B122" s="16"/>
      <c r="C122" s="110">
        <f>C121+C126</f>
        <v>27</v>
      </c>
      <c r="D122" s="20">
        <v>2533.6755050086003</v>
      </c>
      <c r="E122" s="21">
        <v>2600.9650415136934</v>
      </c>
      <c r="F122" s="21">
        <v>2669.1155299041511</v>
      </c>
      <c r="G122" s="21">
        <v>2738.110741339799</v>
      </c>
      <c r="H122" s="21">
        <v>2807.9340941401933</v>
      </c>
      <c r="I122" s="21">
        <v>2878.5686942771281</v>
      </c>
      <c r="J122" s="21">
        <v>2949.9973755088781</v>
      </c>
      <c r="K122" s="21">
        <v>3022.2027389952968</v>
      </c>
      <c r="L122" s="22">
        <v>3095.1671922427508</v>
      </c>
    </row>
    <row r="123" spans="2:18" s="31" customFormat="1" ht="14.4" customHeight="1" x14ac:dyDescent="0.3">
      <c r="B123" s="16"/>
      <c r="C123" s="110">
        <f>C122+C126</f>
        <v>28</v>
      </c>
      <c r="D123" s="20">
        <v>2491.0827789941313</v>
      </c>
      <c r="E123" s="21">
        <v>2559.0245030593619</v>
      </c>
      <c r="F123" s="21">
        <v>2627.8461909788812</v>
      </c>
      <c r="G123" s="21">
        <v>2697.5300862171257</v>
      </c>
      <c r="H123" s="21">
        <v>2768.0580748636944</v>
      </c>
      <c r="I123" s="21">
        <v>2839.4117321475278</v>
      </c>
      <c r="J123" s="21">
        <v>2911.5723683597703</v>
      </c>
      <c r="K123" s="21">
        <v>2984.5210739955951</v>
      </c>
      <c r="L123" s="22">
        <v>3058.2387639387393</v>
      </c>
    </row>
    <row r="124" spans="2:18" s="31" customFormat="1" ht="14.4" customHeight="1" x14ac:dyDescent="0.3">
      <c r="B124" s="16"/>
      <c r="C124" s="110">
        <f>C123+C126</f>
        <v>29</v>
      </c>
      <c r="D124" s="20">
        <v>2451.8713639766293</v>
      </c>
      <c r="E124" s="21">
        <v>2520.4564290609342</v>
      </c>
      <c r="F124" s="21">
        <v>2589.9393055501587</v>
      </c>
      <c r="G124" s="21">
        <v>2660.3006490363623</v>
      </c>
      <c r="H124" s="21">
        <v>2731.5207580191304</v>
      </c>
      <c r="I124" s="21">
        <v>2803.5796269169768</v>
      </c>
      <c r="J124" s="21">
        <v>2876.4569981907975</v>
      </c>
      <c r="K124" s="21">
        <v>2950.1324133587859</v>
      </c>
      <c r="L124" s="22">
        <v>3024.5852627002419</v>
      </c>
    </row>
    <row r="125" spans="2:18" s="31" customFormat="1" ht="14.4" customHeight="1" thickBot="1" x14ac:dyDescent="0.35">
      <c r="B125" s="16"/>
      <c r="C125" s="112">
        <f>C124+C126</f>
        <v>30</v>
      </c>
      <c r="D125" s="24">
        <v>2415.6973035546257</v>
      </c>
      <c r="E125" s="25">
        <v>2484.9166596385421</v>
      </c>
      <c r="F125" s="25">
        <v>2555.0505060615128</v>
      </c>
      <c r="G125" s="25">
        <v>2626.0778539959888</v>
      </c>
      <c r="H125" s="25">
        <v>2697.9773631873854</v>
      </c>
      <c r="I125" s="25">
        <v>2770.7274019187616</v>
      </c>
      <c r="J125" s="25">
        <v>2844.3061057183368</v>
      </c>
      <c r="K125" s="25">
        <v>2918.6914345569685</v>
      </c>
      <c r="L125" s="26">
        <v>2993.8612283063244</v>
      </c>
    </row>
    <row r="126" spans="2:18" s="31" customFormat="1" ht="14.4" customHeight="1" thickBot="1" x14ac:dyDescent="0.35">
      <c r="B126" s="11"/>
      <c r="C126" s="114">
        <v>1</v>
      </c>
      <c r="D126" s="12"/>
      <c r="E126" s="12"/>
      <c r="F126" s="12"/>
      <c r="G126" s="12"/>
      <c r="H126" s="12"/>
      <c r="I126" s="12"/>
      <c r="J126" s="12"/>
      <c r="K126" s="12"/>
      <c r="L126" s="13"/>
    </row>
    <row r="127" spans="2:18" s="31" customFormat="1" ht="14.4" customHeight="1" thickBot="1" x14ac:dyDescent="0.35"/>
    <row r="128" spans="2:18" s="31" customFormat="1" ht="14.4" customHeight="1" thickBot="1" x14ac:dyDescent="0.35">
      <c r="B128" s="123" t="s">
        <v>15</v>
      </c>
      <c r="C128" s="124">
        <v>450000</v>
      </c>
      <c r="D128" s="12"/>
      <c r="E128" s="53" t="s">
        <v>14</v>
      </c>
      <c r="F128" s="53"/>
      <c r="G128" s="12"/>
      <c r="H128" s="12"/>
      <c r="I128" s="12"/>
      <c r="J128" s="12"/>
      <c r="K128" s="12"/>
      <c r="L128" s="13"/>
      <c r="R128" s="122"/>
    </row>
    <row r="129" spans="2:18" s="31" customFormat="1" ht="14.4" customHeight="1" x14ac:dyDescent="0.3">
      <c r="B129" s="100" t="s">
        <v>4</v>
      </c>
      <c r="C129" s="125">
        <v>25</v>
      </c>
      <c r="D129" s="73"/>
      <c r="E129" s="82"/>
      <c r="F129" s="82"/>
      <c r="G129" s="82"/>
      <c r="H129" s="82"/>
      <c r="I129" s="82"/>
      <c r="J129" s="82"/>
      <c r="K129" s="82"/>
      <c r="L129" s="83"/>
      <c r="R129" s="122"/>
    </row>
    <row r="130" spans="2:18" s="31" customFormat="1" ht="14.4" customHeight="1" thickBot="1" x14ac:dyDescent="0.35">
      <c r="B130" s="100" t="s">
        <v>2</v>
      </c>
      <c r="C130" s="126">
        <v>0.06</v>
      </c>
      <c r="D130" s="89"/>
      <c r="E130" s="89"/>
      <c r="F130" s="89"/>
      <c r="G130" s="89"/>
      <c r="H130" s="89"/>
      <c r="I130" s="89"/>
      <c r="J130" s="89"/>
      <c r="K130" s="89"/>
      <c r="L130" s="90"/>
      <c r="R130" s="122"/>
    </row>
    <row r="131" spans="2:18" s="31" customFormat="1" ht="14.4" customHeight="1" thickBot="1" x14ac:dyDescent="0.35">
      <c r="B131" s="104"/>
      <c r="C131" s="127">
        <f>C128/((((1+(C130/12))^(C129*12))-1)/((C130/12)*(1+(C130/12))^(C129*12)))</f>
        <v>2899.3563066848269</v>
      </c>
      <c r="D131" s="105">
        <f>ROUND((E131-M131),4)</f>
        <v>0.05</v>
      </c>
      <c r="E131" s="106">
        <f>ROUND((F131-M131),4)</f>
        <v>5.2499999999999998E-2</v>
      </c>
      <c r="F131" s="106">
        <f>ROUND((G131-M131),4)</f>
        <v>5.5E-2</v>
      </c>
      <c r="G131" s="106">
        <f>ROUND((H131-M131),4)</f>
        <v>5.7500000000000002E-2</v>
      </c>
      <c r="H131" s="107">
        <v>0.06</v>
      </c>
      <c r="I131" s="106">
        <f>ROUND((H131+M131),4)</f>
        <v>6.25E-2</v>
      </c>
      <c r="J131" s="106">
        <f>ROUND((I131+M131),4)</f>
        <v>6.5000000000000002E-2</v>
      </c>
      <c r="K131" s="106">
        <f>ROUND((J131+M131),4)</f>
        <v>6.7500000000000004E-2</v>
      </c>
      <c r="L131" s="108">
        <f>ROUND((K131+M131),4)</f>
        <v>7.0000000000000007E-2</v>
      </c>
      <c r="M131" s="107">
        <v>2.5000000000000001E-3</v>
      </c>
      <c r="R131" s="122"/>
    </row>
    <row r="132" spans="2:18" s="31" customFormat="1" ht="14.4" customHeight="1" x14ac:dyDescent="0.3">
      <c r="B132" s="16"/>
      <c r="C132" s="110">
        <f>C133-C143</f>
        <v>15</v>
      </c>
      <c r="D132" s="17">
        <f t="dataTable" ref="D132:L142" dt2D="1" dtr="1" r1="C130" r2="C129"/>
        <v>3558.5713203369414</v>
      </c>
      <c r="E132" s="18">
        <v>3617.4497195028748</v>
      </c>
      <c r="F132" s="18">
        <v>3676.8755457951215</v>
      </c>
      <c r="G132" s="18">
        <v>3736.8453915884852</v>
      </c>
      <c r="H132" s="18">
        <v>3797.3557262181021</v>
      </c>
      <c r="I132" s="18">
        <v>3858.4028992507756</v>
      </c>
      <c r="J132" s="18">
        <v>3919.983143838153</v>
      </c>
      <c r="K132" s="18">
        <v>3982.0925801430808</v>
      </c>
      <c r="L132" s="19">
        <v>4044.7272188359138</v>
      </c>
      <c r="R132" s="122"/>
    </row>
    <row r="133" spans="2:18" s="31" customFormat="1" ht="14.4" customHeight="1" x14ac:dyDescent="0.3">
      <c r="B133" s="16"/>
      <c r="C133" s="110">
        <f>C134-C143</f>
        <v>17</v>
      </c>
      <c r="D133" s="20">
        <v>3278.9487390975582</v>
      </c>
      <c r="E133" s="21">
        <v>3339.2901274166529</v>
      </c>
      <c r="F133" s="21">
        <v>3400.2412747566859</v>
      </c>
      <c r="G133" s="21">
        <v>3461.7973795422472</v>
      </c>
      <c r="H133" s="21">
        <v>3523.9534745273254</v>
      </c>
      <c r="I133" s="21">
        <v>3586.704432545178</v>
      </c>
      <c r="J133" s="21">
        <v>3650.0449723786155</v>
      </c>
      <c r="K133" s="21">
        <v>3713.9696647356764</v>
      </c>
      <c r="L133" s="22">
        <v>3778.4729383204453</v>
      </c>
      <c r="R133" s="122"/>
    </row>
    <row r="134" spans="2:18" s="31" customFormat="1" ht="14.4" customHeight="1" x14ac:dyDescent="0.3">
      <c r="B134" s="16"/>
      <c r="C134" s="110">
        <f>C135-C143</f>
        <v>19</v>
      </c>
      <c r="D134" s="20">
        <v>3061.2498924075226</v>
      </c>
      <c r="E134" s="21">
        <v>3123.0347593038227</v>
      </c>
      <c r="F134" s="21">
        <v>3185.4880082756586</v>
      </c>
      <c r="G134" s="21">
        <v>3248.6031467621624</v>
      </c>
      <c r="H134" s="21">
        <v>3312.3734710383028</v>
      </c>
      <c r="I134" s="21">
        <v>3376.7920756225476</v>
      </c>
      <c r="J134" s="21">
        <v>3441.8518628374445</v>
      </c>
      <c r="K134" s="21">
        <v>3507.5455524965714</v>
      </c>
      <c r="L134" s="22">
        <v>3573.8656916956788</v>
      </c>
      <c r="R134" s="122"/>
    </row>
    <row r="135" spans="2:18" s="31" customFormat="1" ht="14.4" customHeight="1" x14ac:dyDescent="0.3">
      <c r="B135" s="16"/>
      <c r="C135" s="110">
        <f>C136-C143</f>
        <v>21</v>
      </c>
      <c r="D135" s="20">
        <v>2887.7339214744461</v>
      </c>
      <c r="E135" s="21">
        <v>2950.9384952543601</v>
      </c>
      <c r="F135" s="21">
        <v>3014.8660891877043</v>
      </c>
      <c r="G135" s="21">
        <v>3079.5082170608707</v>
      </c>
      <c r="H135" s="21">
        <v>3144.8561361641177</v>
      </c>
      <c r="I135" s="21">
        <v>3210.9008618000125</v>
      </c>
      <c r="J135" s="21">
        <v>3277.6331819505681</v>
      </c>
      <c r="K135" s="21">
        <v>3345.0436720577536</v>
      </c>
      <c r="L135" s="22">
        <v>3413.1227098764712</v>
      </c>
      <c r="R135" s="122"/>
    </row>
    <row r="136" spans="2:18" s="31" customFormat="1" ht="14.4" customHeight="1" thickBot="1" x14ac:dyDescent="0.35">
      <c r="B136" s="16"/>
      <c r="C136" s="110">
        <f>C137-C143</f>
        <v>23</v>
      </c>
      <c r="D136" s="20">
        <v>2746.8268666039157</v>
      </c>
      <c r="E136" s="21">
        <v>2811.4239443810525</v>
      </c>
      <c r="F136" s="21">
        <v>2876.7944647783415</v>
      </c>
      <c r="G136" s="21">
        <v>2942.9276471113558</v>
      </c>
      <c r="H136" s="21">
        <v>3009.8124126723101</v>
      </c>
      <c r="I136" s="21">
        <v>3077.4374060153059</v>
      </c>
      <c r="J136" s="21">
        <v>3145.7910163478009</v>
      </c>
      <c r="K136" s="21">
        <v>3214.8613989548649</v>
      </c>
      <c r="L136" s="22">
        <v>3284.6364965882226</v>
      </c>
    </row>
    <row r="137" spans="2:18" s="31" customFormat="1" ht="14.4" customHeight="1" thickBot="1" x14ac:dyDescent="0.35">
      <c r="B137" s="23"/>
      <c r="C137" s="111">
        <v>25</v>
      </c>
      <c r="D137" s="20">
        <v>2630.6551867859007</v>
      </c>
      <c r="E137" s="21">
        <v>2696.6147182707114</v>
      </c>
      <c r="F137" s="21">
        <v>2763.3937152666135</v>
      </c>
      <c r="G137" s="21">
        <v>2830.9788109019551</v>
      </c>
      <c r="H137" s="21">
        <v>2899.3563066848269</v>
      </c>
      <c r="I137" s="21">
        <v>2968.5122024177058</v>
      </c>
      <c r="J137" s="21">
        <v>3038.4322260643921</v>
      </c>
      <c r="K137" s="21">
        <v>3109.1018634569023</v>
      </c>
      <c r="L137" s="22">
        <v>3180.5063877379098</v>
      </c>
    </row>
    <row r="138" spans="2:18" s="31" customFormat="1" ht="14.4" customHeight="1" x14ac:dyDescent="0.3">
      <c r="B138" s="16"/>
      <c r="C138" s="110">
        <f>C137+C143</f>
        <v>27</v>
      </c>
      <c r="D138" s="20">
        <v>2533.6755050085958</v>
      </c>
      <c r="E138" s="21">
        <v>2600.9650415136662</v>
      </c>
      <c r="F138" s="21">
        <v>2669.1155299041488</v>
      </c>
      <c r="G138" s="21">
        <v>2738.110741339794</v>
      </c>
      <c r="H138" s="21">
        <v>2807.9340941402274</v>
      </c>
      <c r="I138" s="21">
        <v>2878.5686942771381</v>
      </c>
      <c r="J138" s="21">
        <v>2949.9973755088904</v>
      </c>
      <c r="K138" s="21">
        <v>3022.2027389952896</v>
      </c>
      <c r="L138" s="22">
        <v>3095.1671922427477</v>
      </c>
    </row>
    <row r="139" spans="2:18" s="31" customFormat="1" ht="14.4" customHeight="1" x14ac:dyDescent="0.3">
      <c r="B139" s="16"/>
      <c r="C139" s="110">
        <f>C138+C143</f>
        <v>29</v>
      </c>
      <c r="D139" s="20">
        <v>2451.8713639766256</v>
      </c>
      <c r="E139" s="21">
        <v>2520.4564290609096</v>
      </c>
      <c r="F139" s="21">
        <v>2589.9393055501569</v>
      </c>
      <c r="G139" s="21">
        <v>2660.3006490363578</v>
      </c>
      <c r="H139" s="21">
        <v>2731.5207580191618</v>
      </c>
      <c r="I139" s="21">
        <v>2803.5796269169859</v>
      </c>
      <c r="J139" s="21">
        <v>2876.4569981908085</v>
      </c>
      <c r="K139" s="21">
        <v>2950.1324133587796</v>
      </c>
      <c r="L139" s="22">
        <v>3024.5852627002391</v>
      </c>
    </row>
    <row r="140" spans="2:18" s="31" customFormat="1" ht="14.4" customHeight="1" x14ac:dyDescent="0.3">
      <c r="B140" s="16"/>
      <c r="C140" s="110">
        <f>C139+C143</f>
        <v>31</v>
      </c>
      <c r="D140" s="20">
        <v>2382.2609203198199</v>
      </c>
      <c r="E140" s="21">
        <v>2452.1053319635585</v>
      </c>
      <c r="F140" s="21">
        <v>2522.8797427993454</v>
      </c>
      <c r="G140" s="21">
        <v>2594.561466956055</v>
      </c>
      <c r="H140" s="21">
        <v>2667.1274787363923</v>
      </c>
      <c r="I140" s="21">
        <v>2740.554479963047</v>
      </c>
      <c r="J140" s="21">
        <v>2814.8189656173481</v>
      </c>
      <c r="K140" s="21">
        <v>2889.8972874833921</v>
      </c>
      <c r="L140" s="22">
        <v>2965.7657155433062</v>
      </c>
    </row>
    <row r="141" spans="2:18" s="31" customFormat="1" ht="14.4" customHeight="1" x14ac:dyDescent="0.3">
      <c r="B141" s="16"/>
      <c r="C141" s="110">
        <f>C140+C143</f>
        <v>33</v>
      </c>
      <c r="D141" s="20">
        <v>2322.5836615159542</v>
      </c>
      <c r="E141" s="21">
        <v>2393.6498221136239</v>
      </c>
      <c r="F141" s="21">
        <v>2465.6734967445541</v>
      </c>
      <c r="G141" s="21">
        <v>2538.628464570369</v>
      </c>
      <c r="H141" s="21">
        <v>2612.4882080407419</v>
      </c>
      <c r="I141" s="21">
        <v>2687.2259961370755</v>
      </c>
      <c r="J141" s="21">
        <v>2762.8149647251184</v>
      </c>
      <c r="K141" s="21">
        <v>2839.2281936659101</v>
      </c>
      <c r="L141" s="22">
        <v>2916.4387803847467</v>
      </c>
    </row>
    <row r="142" spans="2:18" s="31" customFormat="1" ht="14.4" customHeight="1" thickBot="1" x14ac:dyDescent="0.35">
      <c r="B142" s="16"/>
      <c r="C142" s="112">
        <f>C141+C143</f>
        <v>35</v>
      </c>
      <c r="D142" s="24">
        <v>2271.0945341964971</v>
      </c>
      <c r="E142" s="25">
        <v>2343.3436973453636</v>
      </c>
      <c r="F142" s="25">
        <v>2416.5732565017338</v>
      </c>
      <c r="G142" s="25">
        <v>2490.7532985240168</v>
      </c>
      <c r="H142" s="25">
        <v>2565.8536864593666</v>
      </c>
      <c r="I142" s="25">
        <v>2641.84415986263</v>
      </c>
      <c r="J142" s="25">
        <v>2718.6944306070809</v>
      </c>
      <c r="K142" s="25">
        <v>2796.3742737849029</v>
      </c>
      <c r="L142" s="26">
        <v>2874.8536133696634</v>
      </c>
    </row>
    <row r="143" spans="2:18" s="31" customFormat="1" ht="14.4" customHeight="1" thickBot="1" x14ac:dyDescent="0.35">
      <c r="B143" s="11"/>
      <c r="C143" s="114">
        <v>2</v>
      </c>
      <c r="D143" s="12"/>
      <c r="E143" s="12"/>
      <c r="F143" s="12"/>
      <c r="G143" s="12"/>
      <c r="H143" s="12"/>
      <c r="I143" s="12"/>
      <c r="J143" s="12"/>
      <c r="K143" s="12"/>
      <c r="L143" s="13"/>
    </row>
    <row r="144" spans="2:18" s="31" customFormat="1" ht="14.4" customHeight="1" thickBot="1" x14ac:dyDescent="0.35"/>
    <row r="145" spans="2:13" s="31" customFormat="1" ht="14.4" customHeight="1" thickBot="1" x14ac:dyDescent="0.35">
      <c r="B145" s="51" t="s">
        <v>1</v>
      </c>
      <c r="C145" s="63">
        <v>18000</v>
      </c>
      <c r="D145" s="12"/>
      <c r="E145" s="53" t="s">
        <v>80</v>
      </c>
      <c r="F145" s="53"/>
      <c r="G145" s="12"/>
      <c r="H145" s="12"/>
      <c r="I145" s="12"/>
      <c r="J145" s="12"/>
      <c r="K145" s="12"/>
      <c r="L145" s="13"/>
    </row>
    <row r="146" spans="2:13" s="31" customFormat="1" ht="25.05" customHeight="1" x14ac:dyDescent="0.3">
      <c r="B146" s="54" t="s">
        <v>52</v>
      </c>
      <c r="C146" s="64">
        <v>0.05</v>
      </c>
      <c r="D146" s="73" t="s">
        <v>53</v>
      </c>
      <c r="E146" s="82"/>
      <c r="F146" s="82"/>
      <c r="G146" s="82"/>
      <c r="H146" s="82"/>
      <c r="I146" s="82"/>
      <c r="J146" s="82"/>
      <c r="K146" s="82"/>
      <c r="L146" s="83"/>
    </row>
    <row r="147" spans="2:13" s="31" customFormat="1" ht="25.05" customHeight="1" thickBot="1" x14ac:dyDescent="0.35">
      <c r="B147" s="54" t="s">
        <v>54</v>
      </c>
      <c r="C147" s="65">
        <v>7</v>
      </c>
      <c r="D147" s="89"/>
      <c r="E147" s="89"/>
      <c r="F147" s="89"/>
      <c r="G147" s="89"/>
      <c r="H147" s="89"/>
      <c r="I147" s="89"/>
      <c r="J147" s="89"/>
      <c r="K147" s="89"/>
      <c r="L147" s="90"/>
    </row>
    <row r="148" spans="2:13" s="31" customFormat="1" ht="15" thickBot="1" x14ac:dyDescent="0.35">
      <c r="B148" s="28"/>
      <c r="C148" s="62">
        <f>((1-(1/((1+C146)^C147)))/C146)*C145</f>
        <v>104154.72115315626</v>
      </c>
      <c r="D148" s="105">
        <f>ROUND((E148-M148),4)</f>
        <v>0.04</v>
      </c>
      <c r="E148" s="106">
        <f>ROUND((F148-M148),4)</f>
        <v>4.2500000000000003E-2</v>
      </c>
      <c r="F148" s="106">
        <f>ROUND((G148-M148),4)</f>
        <v>4.4999999999999998E-2</v>
      </c>
      <c r="G148" s="106">
        <f>ROUND((H148-M148),4)</f>
        <v>4.7500000000000001E-2</v>
      </c>
      <c r="H148" s="107">
        <v>0.05</v>
      </c>
      <c r="I148" s="106">
        <f>ROUND((H148+M148),4)</f>
        <v>5.2499999999999998E-2</v>
      </c>
      <c r="J148" s="106">
        <f>ROUND((I148+M148),4)</f>
        <v>5.5E-2</v>
      </c>
      <c r="K148" s="106">
        <f>ROUND((J148+M148),4)</f>
        <v>5.7500000000000002E-2</v>
      </c>
      <c r="L148" s="108">
        <f>ROUND((K148+M148),4)</f>
        <v>0.06</v>
      </c>
      <c r="M148" s="107">
        <v>2.5000000000000001E-3</v>
      </c>
    </row>
    <row r="149" spans="2:13" s="31" customFormat="1" ht="14.4" customHeight="1" x14ac:dyDescent="0.3">
      <c r="B149" s="16"/>
      <c r="C149" s="110">
        <f>C150-C160</f>
        <v>2</v>
      </c>
      <c r="D149" s="17">
        <f t="dataTable" ref="D149:L159" dt2D="1" dtr="1" r1="C146" r2="C147"/>
        <v>33949.704142011884</v>
      </c>
      <c r="E149" s="18">
        <v>33828.47678691578</v>
      </c>
      <c r="F149" s="18">
        <v>33708.019505047916</v>
      </c>
      <c r="G149" s="18">
        <v>33588.325425350798</v>
      </c>
      <c r="H149" s="18">
        <v>33469.387755102063</v>
      </c>
      <c r="I149" s="18">
        <v>33351.199778832204</v>
      </c>
      <c r="J149" s="18">
        <v>33233.754857258333</v>
      </c>
      <c r="K149" s="18">
        <v>33117.046426236171</v>
      </c>
      <c r="L149" s="19">
        <v>33001.067995728052</v>
      </c>
    </row>
    <row r="150" spans="2:13" s="31" customFormat="1" ht="14.4" customHeight="1" x14ac:dyDescent="0.3">
      <c r="B150" s="16"/>
      <c r="C150" s="110">
        <f>C151-C160</f>
        <v>3</v>
      </c>
      <c r="D150" s="20">
        <v>49951.638598088313</v>
      </c>
      <c r="E150" s="21">
        <v>49715.565263228556</v>
      </c>
      <c r="F150" s="21">
        <v>49481.35837803629</v>
      </c>
      <c r="G150" s="21">
        <v>49248.998019428014</v>
      </c>
      <c r="H150" s="21">
        <v>49018.464528668635</v>
      </c>
      <c r="I150" s="21">
        <v>48789.738507203976</v>
      </c>
      <c r="J150" s="21">
        <v>48562.800812567126</v>
      </c>
      <c r="K150" s="21">
        <v>48337.632554360469</v>
      </c>
      <c r="L150" s="22">
        <v>48114.215090309524</v>
      </c>
    </row>
    <row r="151" spans="2:13" s="31" customFormat="1" ht="14.4" customHeight="1" x14ac:dyDescent="0.3">
      <c r="B151" s="16"/>
      <c r="C151" s="110">
        <f>C152-C160</f>
        <v>4</v>
      </c>
      <c r="D151" s="20">
        <v>65338.114036623425</v>
      </c>
      <c r="E151" s="21">
        <v>64954.978669763557</v>
      </c>
      <c r="F151" s="21">
        <v>64575.462562714049</v>
      </c>
      <c r="G151" s="21">
        <v>64199.5207822702</v>
      </c>
      <c r="H151" s="21">
        <v>63827.10907492249</v>
      </c>
      <c r="I151" s="21">
        <v>63458.183854825627</v>
      </c>
      <c r="J151" s="21">
        <v>63092.702192006742</v>
      </c>
      <c r="K151" s="21">
        <v>62730.6218008137</v>
      </c>
      <c r="L151" s="22">
        <v>62371.901028593871</v>
      </c>
    </row>
    <row r="152" spans="2:13" s="31" customFormat="1" ht="14.4" customHeight="1" x14ac:dyDescent="0.3">
      <c r="B152" s="16"/>
      <c r="C152" s="110">
        <f>C153-C160</f>
        <v>5</v>
      </c>
      <c r="D152" s="20">
        <v>80132.801958291806</v>
      </c>
      <c r="E152" s="21">
        <v>79573.121026152119</v>
      </c>
      <c r="F152" s="21">
        <v>79019.581399726361</v>
      </c>
      <c r="G152" s="21">
        <v>78472.096212191158</v>
      </c>
      <c r="H152" s="21">
        <v>77930.58007135478</v>
      </c>
      <c r="I152" s="21">
        <v>77394.949030713193</v>
      </c>
      <c r="J152" s="21">
        <v>76865.120561143834</v>
      </c>
      <c r="K152" s="21">
        <v>76341.013523228117</v>
      </c>
      <c r="L152" s="22">
        <v>75822.548140182946</v>
      </c>
    </row>
    <row r="153" spans="2:13" s="31" customFormat="1" ht="14.4" customHeight="1" thickBot="1" x14ac:dyDescent="0.35">
      <c r="B153" s="16"/>
      <c r="C153" s="110">
        <f>C154-C160</f>
        <v>6</v>
      </c>
      <c r="D153" s="20">
        <v>94358.463421434426</v>
      </c>
      <c r="E153" s="21">
        <v>93595.319929162666</v>
      </c>
      <c r="F153" s="21">
        <v>92841.704688733269</v>
      </c>
      <c r="G153" s="21">
        <v>92097.466551017875</v>
      </c>
      <c r="H153" s="21">
        <v>91362.457210814056</v>
      </c>
      <c r="I153" s="21">
        <v>90636.531145570742</v>
      </c>
      <c r="J153" s="21">
        <v>89919.545555586577</v>
      </c>
      <c r="K153" s="21">
        <v>89211.360305653114</v>
      </c>
      <c r="L153" s="22">
        <v>88511.837868097122</v>
      </c>
    </row>
    <row r="154" spans="2:13" s="31" customFormat="1" ht="14.4" customHeight="1" thickBot="1" x14ac:dyDescent="0.35">
      <c r="B154" s="23"/>
      <c r="C154" s="111">
        <v>7</v>
      </c>
      <c r="D154" s="20">
        <v>108036.9840590715</v>
      </c>
      <c r="E154" s="21">
        <v>107045.87043564767</v>
      </c>
      <c r="F154" s="21">
        <v>106068.61692701753</v>
      </c>
      <c r="G154" s="21">
        <v>105104.9800009717</v>
      </c>
      <c r="H154" s="21">
        <v>104154.72115315626</v>
      </c>
      <c r="I154" s="21">
        <v>103217.60678914083</v>
      </c>
      <c r="J154" s="21">
        <v>102293.40810956071</v>
      </c>
      <c r="K154" s="21">
        <v>101381.90099825355</v>
      </c>
      <c r="L154" s="22">
        <v>100482.86591329922</v>
      </c>
    </row>
    <row r="155" spans="2:13" s="31" customFormat="1" ht="14.4" customHeight="1" x14ac:dyDescent="0.3">
      <c r="B155" s="16"/>
      <c r="C155" s="110">
        <f>C154+C160</f>
        <v>8</v>
      </c>
      <c r="D155" s="20">
        <v>121189.40774910728</v>
      </c>
      <c r="E155" s="21">
        <v>119948.07715649655</v>
      </c>
      <c r="F155" s="21">
        <v>118725.94921245688</v>
      </c>
      <c r="G155" s="21">
        <v>117522.65393887517</v>
      </c>
      <c r="H155" s="21">
        <v>116337.8296696726</v>
      </c>
      <c r="I155" s="21">
        <v>115171.12284003881</v>
      </c>
      <c r="J155" s="21">
        <v>114022.18778157413</v>
      </c>
      <c r="K155" s="21">
        <v>112890.68652317124</v>
      </c>
      <c r="L155" s="22">
        <v>111776.28859745205</v>
      </c>
    </row>
    <row r="156" spans="2:13" s="31" customFormat="1" ht="14.4" customHeight="1" x14ac:dyDescent="0.3">
      <c r="B156" s="16"/>
      <c r="C156" s="110">
        <f>C155+C160</f>
        <v>9</v>
      </c>
      <c r="D156" s="20">
        <v>133835.9689895263</v>
      </c>
      <c r="E156" s="21">
        <v>132324.29463452904</v>
      </c>
      <c r="F156" s="21">
        <v>130838.22891144195</v>
      </c>
      <c r="G156" s="21">
        <v>129377.23526384267</v>
      </c>
      <c r="H156" s="21">
        <v>127940.79016159299</v>
      </c>
      <c r="I156" s="21">
        <v>126528.38274588011</v>
      </c>
      <c r="J156" s="21">
        <v>125139.51448490437</v>
      </c>
      <c r="K156" s="21">
        <v>123773.69883987826</v>
      </c>
      <c r="L156" s="22">
        <v>122430.46094099252</v>
      </c>
    </row>
    <row r="157" spans="2:13" s="31" customFormat="1" ht="14.4" customHeight="1" x14ac:dyDescent="0.3">
      <c r="B157" s="16"/>
      <c r="C157" s="110">
        <f>C156+C160</f>
        <v>10</v>
      </c>
      <c r="D157" s="20">
        <v>145996.12402839065</v>
      </c>
      <c r="E157" s="21">
        <v>144195.96607628683</v>
      </c>
      <c r="F157" s="21">
        <v>142428.92718798271</v>
      </c>
      <c r="G157" s="21">
        <v>140694.25800844168</v>
      </c>
      <c r="H157" s="21">
        <v>138991.22872532663</v>
      </c>
      <c r="I157" s="21">
        <v>137319.12849964853</v>
      </c>
      <c r="J157" s="21">
        <v>135677.26491460131</v>
      </c>
      <c r="K157" s="21">
        <v>134064.96344196529</v>
      </c>
      <c r="L157" s="22">
        <v>132481.56692546466</v>
      </c>
    </row>
    <row r="158" spans="2:13" s="31" customFormat="1" ht="14.4" customHeight="1" x14ac:dyDescent="0.3">
      <c r="B158" s="16"/>
      <c r="C158" s="110">
        <f>C157+C160</f>
        <v>11</v>
      </c>
      <c r="D158" s="20">
        <v>157688.58079652945</v>
      </c>
      <c r="E158" s="21">
        <v>155583.66050483153</v>
      </c>
      <c r="F158" s="21">
        <v>153520.50448610785</v>
      </c>
      <c r="G158" s="21">
        <v>151498.09833741456</v>
      </c>
      <c r="H158" s="21">
        <v>149515.45592888253</v>
      </c>
      <c r="I158" s="21">
        <v>147571.618526982</v>
      </c>
      <c r="J158" s="21">
        <v>145665.65394748939</v>
      </c>
      <c r="K158" s="21">
        <v>143796.65573708303</v>
      </c>
      <c r="L158" s="22">
        <v>141963.74238251382</v>
      </c>
    </row>
    <row r="159" spans="2:13" s="31" customFormat="1" ht="14.4" customHeight="1" thickBot="1" x14ac:dyDescent="0.35">
      <c r="B159" s="16"/>
      <c r="C159" s="112">
        <f>C158+C160</f>
        <v>12</v>
      </c>
      <c r="D159" s="24">
        <v>168931.32768897069</v>
      </c>
      <c r="E159" s="25">
        <v>166507.10839791989</v>
      </c>
      <c r="F159" s="25">
        <v>164134.45405369168</v>
      </c>
      <c r="G159" s="25">
        <v>161812.02705242441</v>
      </c>
      <c r="H159" s="25">
        <v>159538.52945607857</v>
      </c>
      <c r="I159" s="25">
        <v>157312.70168834395</v>
      </c>
      <c r="J159" s="25">
        <v>155133.32127724108</v>
      </c>
      <c r="K159" s="25">
        <v>152999.20164263173</v>
      </c>
      <c r="L159" s="26">
        <v>150909.19092689987</v>
      </c>
    </row>
    <row r="160" spans="2:13" s="31" customFormat="1" ht="14.4" customHeight="1" thickBot="1" x14ac:dyDescent="0.35">
      <c r="B160" s="11"/>
      <c r="C160" s="114">
        <v>1</v>
      </c>
      <c r="D160" s="12"/>
      <c r="E160" s="12"/>
      <c r="F160" s="12"/>
      <c r="G160" s="12"/>
      <c r="H160" s="12"/>
      <c r="I160" s="12"/>
      <c r="J160" s="12"/>
      <c r="K160" s="12"/>
      <c r="L160" s="13"/>
    </row>
    <row r="161" spans="2:13" s="31" customFormat="1" ht="14.4" customHeight="1" thickBot="1" x14ac:dyDescent="0.35"/>
    <row r="162" spans="2:13" s="31" customFormat="1" ht="14.4" customHeight="1" thickBot="1" x14ac:dyDescent="0.35">
      <c r="B162" s="66"/>
      <c r="C162" s="53"/>
      <c r="D162" s="12"/>
      <c r="E162" s="53" t="s">
        <v>55</v>
      </c>
      <c r="F162" s="53"/>
      <c r="G162" s="12"/>
      <c r="H162" s="12"/>
      <c r="I162" s="12"/>
      <c r="J162" s="12"/>
      <c r="K162" s="12"/>
      <c r="L162" s="13"/>
    </row>
    <row r="163" spans="2:13" s="31" customFormat="1" ht="14.4" customHeight="1" x14ac:dyDescent="0.3">
      <c r="B163" s="54" t="s">
        <v>2</v>
      </c>
      <c r="C163" s="67">
        <v>0.05</v>
      </c>
      <c r="D163" s="68" t="s">
        <v>56</v>
      </c>
      <c r="E163" s="69"/>
      <c r="F163" s="69"/>
      <c r="G163" s="69"/>
      <c r="H163" s="69"/>
      <c r="I163" s="69"/>
      <c r="J163" s="69"/>
      <c r="K163" s="69"/>
      <c r="L163" s="70"/>
    </row>
    <row r="164" spans="2:13" s="31" customFormat="1" ht="14.4" customHeight="1" x14ac:dyDescent="0.3">
      <c r="B164" s="54" t="s">
        <v>57</v>
      </c>
      <c r="C164" s="71">
        <v>7</v>
      </c>
      <c r="D164" s="72"/>
      <c r="E164" s="73"/>
      <c r="F164" s="73"/>
      <c r="G164" s="73"/>
      <c r="H164" s="73"/>
      <c r="I164" s="73"/>
      <c r="J164" s="73"/>
      <c r="K164" s="73"/>
      <c r="L164" s="74"/>
    </row>
    <row r="165" spans="2:13" s="31" customFormat="1" ht="14.4" customHeight="1" thickBot="1" x14ac:dyDescent="0.35">
      <c r="B165" s="54" t="s">
        <v>58</v>
      </c>
      <c r="C165" s="75">
        <v>1000000</v>
      </c>
      <c r="D165" s="76"/>
      <c r="E165" s="77"/>
      <c r="F165" s="77"/>
      <c r="G165" s="77"/>
      <c r="H165" s="77"/>
      <c r="I165" s="77"/>
      <c r="J165" s="77"/>
      <c r="K165" s="77"/>
      <c r="L165" s="78"/>
    </row>
    <row r="166" spans="2:13" s="31" customFormat="1" ht="14.4" customHeight="1" thickBot="1" x14ac:dyDescent="0.35">
      <c r="B166" s="28"/>
      <c r="C166" s="62">
        <f>C163/(1-((1+C163)^(-C164)))*C165</f>
        <v>172819.81844617068</v>
      </c>
      <c r="D166" s="105">
        <f>ROUND((E166-M166),4)</f>
        <v>0.04</v>
      </c>
      <c r="E166" s="106">
        <f>ROUND((F166-M166),4)</f>
        <v>4.2500000000000003E-2</v>
      </c>
      <c r="F166" s="106">
        <f>ROUND((G166-M166),4)</f>
        <v>4.4999999999999998E-2</v>
      </c>
      <c r="G166" s="106">
        <f>ROUND((H166-M166),4)</f>
        <v>4.7500000000000001E-2</v>
      </c>
      <c r="H166" s="107">
        <v>0.05</v>
      </c>
      <c r="I166" s="106">
        <f>ROUND((H166+M166),4)</f>
        <v>5.2499999999999998E-2</v>
      </c>
      <c r="J166" s="106">
        <f>ROUND((I166+M166),4)</f>
        <v>5.5E-2</v>
      </c>
      <c r="K166" s="106">
        <f>ROUND((J166+M166),4)</f>
        <v>5.7500000000000002E-2</v>
      </c>
      <c r="L166" s="108">
        <f>ROUND((K166+M166),4)</f>
        <v>0.06</v>
      </c>
      <c r="M166" s="107">
        <v>2.5000000000000001E-3</v>
      </c>
    </row>
    <row r="167" spans="2:13" s="31" customFormat="1" ht="14.4" customHeight="1" x14ac:dyDescent="0.3">
      <c r="B167" s="16"/>
      <c r="C167" s="110">
        <f>C168-C178</f>
        <v>2</v>
      </c>
      <c r="D167" s="17">
        <f t="dataTable" ref="D167:L177" dt2D="1" dtr="1" r1="C163" r2="C164"/>
        <v>530196.07843137183</v>
      </c>
      <c r="E167" s="18">
        <v>532096.08323133423</v>
      </c>
      <c r="F167" s="18">
        <v>533997.55501222564</v>
      </c>
      <c r="G167" s="18">
        <v>535900.48840048735</v>
      </c>
      <c r="H167" s="18">
        <v>537804.87804878014</v>
      </c>
      <c r="I167" s="18">
        <v>539710.71863581019</v>
      </c>
      <c r="J167" s="18">
        <v>541618.00486618059</v>
      </c>
      <c r="K167" s="18">
        <v>543526.73147022969</v>
      </c>
      <c r="L167" s="19">
        <v>545436.89320388285</v>
      </c>
    </row>
    <row r="168" spans="2:13" s="31" customFormat="1" ht="14.4" customHeight="1" x14ac:dyDescent="0.3">
      <c r="B168" s="16"/>
      <c r="C168" s="110">
        <f>C169-C178</f>
        <v>3</v>
      </c>
      <c r="D168" s="20">
        <v>360348.53921066114</v>
      </c>
      <c r="E168" s="21">
        <v>362059.64680670056</v>
      </c>
      <c r="F168" s="21">
        <v>363773.36011029588</v>
      </c>
      <c r="G168" s="21">
        <v>365489.66931061749</v>
      </c>
      <c r="H168" s="21">
        <v>367208.56463124492</v>
      </c>
      <c r="I168" s="21">
        <v>368930.03633012372</v>
      </c>
      <c r="J168" s="21">
        <v>370654.07469953713</v>
      </c>
      <c r="K168" s="21">
        <v>372380.67006606521</v>
      </c>
      <c r="L168" s="22">
        <v>374109.81279055099</v>
      </c>
    </row>
    <row r="169" spans="2:13" s="31" customFormat="1" ht="14.4" customHeight="1" x14ac:dyDescent="0.3">
      <c r="B169" s="16"/>
      <c r="C169" s="110">
        <f>C170-C178</f>
        <v>4</v>
      </c>
      <c r="D169" s="20">
        <v>275490.04536480212</v>
      </c>
      <c r="E169" s="21">
        <v>277115.01671817148</v>
      </c>
      <c r="F169" s="21">
        <v>278743.64790680137</v>
      </c>
      <c r="G169" s="21">
        <v>280375.92462794529</v>
      </c>
      <c r="H169" s="21">
        <v>282011.83260346274</v>
      </c>
      <c r="I169" s="21">
        <v>283651.35758027533</v>
      </c>
      <c r="J169" s="21">
        <v>285294.48533083167</v>
      </c>
      <c r="K169" s="21">
        <v>286941.20165355213</v>
      </c>
      <c r="L169" s="22">
        <v>288591.49237327318</v>
      </c>
    </row>
    <row r="170" spans="2:13" s="31" customFormat="1" ht="14.4" customHeight="1" x14ac:dyDescent="0.3">
      <c r="B170" s="16"/>
      <c r="C170" s="110">
        <f>C171-C178</f>
        <v>5</v>
      </c>
      <c r="D170" s="20">
        <v>224627.11349303363</v>
      </c>
      <c r="E170" s="21">
        <v>226207.0378524453</v>
      </c>
      <c r="F170" s="21">
        <v>227791.63950446254</v>
      </c>
      <c r="G170" s="21">
        <v>229380.89931136035</v>
      </c>
      <c r="H170" s="21">
        <v>230974.7981282681</v>
      </c>
      <c r="I170" s="21">
        <v>232573.31680465263</v>
      </c>
      <c r="J170" s="21">
        <v>234176.43618579322</v>
      </c>
      <c r="K170" s="21">
        <v>235784.13711422859</v>
      </c>
      <c r="L170" s="22">
        <v>237396.40043118937</v>
      </c>
    </row>
    <row r="171" spans="2:13" s="31" customFormat="1" ht="14.4" customHeight="1" thickBot="1" x14ac:dyDescent="0.35">
      <c r="B171" s="16"/>
      <c r="C171" s="110">
        <f>C172-C178</f>
        <v>6</v>
      </c>
      <c r="D171" s="20">
        <v>190761.90250795381</v>
      </c>
      <c r="E171" s="21">
        <v>192317.30831865573</v>
      </c>
      <c r="F171" s="21">
        <v>193878.38752366611</v>
      </c>
      <c r="G171" s="21">
        <v>195445.11563766852</v>
      </c>
      <c r="H171" s="21">
        <v>197017.46811018829</v>
      </c>
      <c r="I171" s="21">
        <v>198595.4203288111</v>
      </c>
      <c r="J171" s="21">
        <v>200178.94762238022</v>
      </c>
      <c r="K171" s="21">
        <v>201768.02526414767</v>
      </c>
      <c r="L171" s="22">
        <v>203362.62847489526</v>
      </c>
    </row>
    <row r="172" spans="2:13" s="31" customFormat="1" ht="14.4" customHeight="1" thickBot="1" x14ac:dyDescent="0.35">
      <c r="B172" s="23"/>
      <c r="C172" s="111">
        <v>7</v>
      </c>
      <c r="D172" s="20">
        <v>166609.61203950417</v>
      </c>
      <c r="E172" s="21">
        <v>168152.21294146968</v>
      </c>
      <c r="F172" s="21">
        <v>169701.46798826681</v>
      </c>
      <c r="G172" s="21">
        <v>171257.3467007328</v>
      </c>
      <c r="H172" s="21">
        <v>172819.81844617068</v>
      </c>
      <c r="I172" s="21">
        <v>174388.85244424903</v>
      </c>
      <c r="J172" s="21">
        <v>175964.41777285602</v>
      </c>
      <c r="K172" s="21">
        <v>177546.48337389212</v>
      </c>
      <c r="L172" s="22">
        <v>179135.01805901068</v>
      </c>
    </row>
    <row r="173" spans="2:13" s="31" customFormat="1" ht="14.4" customHeight="1" x14ac:dyDescent="0.3">
      <c r="B173" s="16"/>
      <c r="C173" s="110">
        <f>C172+C178</f>
        <v>8</v>
      </c>
      <c r="D173" s="20">
        <v>148527.83204671278</v>
      </c>
      <c r="E173" s="21">
        <v>150064.93164967836</v>
      </c>
      <c r="F173" s="21">
        <v>151609.65331841219</v>
      </c>
      <c r="G173" s="21">
        <v>153161.95981552626</v>
      </c>
      <c r="H173" s="21">
        <v>154721.81362768117</v>
      </c>
      <c r="I173" s="21">
        <v>156289.17697537952</v>
      </c>
      <c r="J173" s="21">
        <v>157864.01182269529</v>
      </c>
      <c r="K173" s="21">
        <v>159446.27988691904</v>
      </c>
      <c r="L173" s="22">
        <v>161035.94264812896</v>
      </c>
    </row>
    <row r="174" spans="2:13" s="31" customFormat="1" ht="14.4" customHeight="1" x14ac:dyDescent="0.3">
      <c r="B174" s="16"/>
      <c r="C174" s="110">
        <f>C173+C178</f>
        <v>9</v>
      </c>
      <c r="D174" s="20">
        <v>134492.99269771524</v>
      </c>
      <c r="E174" s="21">
        <v>136029.44228582369</v>
      </c>
      <c r="F174" s="21">
        <v>137574.47001352586</v>
      </c>
      <c r="G174" s="21">
        <v>139128.03101173163</v>
      </c>
      <c r="H174" s="21">
        <v>140690.07997578778</v>
      </c>
      <c r="I174" s="21">
        <v>142260.57118070687</v>
      </c>
      <c r="J174" s="21">
        <v>143839.45849631168</v>
      </c>
      <c r="K174" s="21">
        <v>145426.69540227589</v>
      </c>
      <c r="L174" s="22">
        <v>147022.23500306357</v>
      </c>
    </row>
    <row r="175" spans="2:13" s="31" customFormat="1" ht="14.4" customHeight="1" x14ac:dyDescent="0.3">
      <c r="B175" s="16"/>
      <c r="C175" s="110">
        <f>C174+C178</f>
        <v>10</v>
      </c>
      <c r="D175" s="20">
        <v>123290.94433013638</v>
      </c>
      <c r="E175" s="21">
        <v>124830.12174194322</v>
      </c>
      <c r="F175" s="21">
        <v>126378.82174203957</v>
      </c>
      <c r="G175" s="21">
        <v>127936.99085374185</v>
      </c>
      <c r="H175" s="21">
        <v>129504.57496545668</v>
      </c>
      <c r="I175" s="21">
        <v>131081.51935326381</v>
      </c>
      <c r="J175" s="21">
        <v>132667.76870339815</v>
      </c>
      <c r="K175" s="21">
        <v>134263.26713460771</v>
      </c>
      <c r="L175" s="22">
        <v>135867.95822038373</v>
      </c>
    </row>
    <row r="176" spans="2:13" s="31" customFormat="1" ht="14.4" customHeight="1" x14ac:dyDescent="0.3">
      <c r="B176" s="16"/>
      <c r="C176" s="110">
        <f>C175+C178</f>
        <v>11</v>
      </c>
      <c r="D176" s="20">
        <v>114149.03925875247</v>
      </c>
      <c r="E176" s="21">
        <v>115693.38285006494</v>
      </c>
      <c r="F176" s="21">
        <v>117248.18166962726</v>
      </c>
      <c r="G176" s="21">
        <v>118813.3725606947</v>
      </c>
      <c r="H176" s="21">
        <v>120388.89149066806</v>
      </c>
      <c r="I176" s="21">
        <v>121974.67358338201</v>
      </c>
      <c r="J176" s="21">
        <v>123570.65315128281</v>
      </c>
      <c r="K176" s="21">
        <v>125176.76372746176</v>
      </c>
      <c r="L176" s="22">
        <v>126792.93809753159</v>
      </c>
    </row>
    <row r="177" spans="2:14" s="31" customFormat="1" ht="14.4" customHeight="1" thickBot="1" x14ac:dyDescent="0.35">
      <c r="B177" s="16"/>
      <c r="C177" s="112">
        <f>C176+C178</f>
        <v>12</v>
      </c>
      <c r="D177" s="24">
        <v>106552.17268605648</v>
      </c>
      <c r="E177" s="25">
        <v>108103.49283697527</v>
      </c>
      <c r="F177" s="25">
        <v>109666.18863649335</v>
      </c>
      <c r="G177" s="25">
        <v>111240.18608436504</v>
      </c>
      <c r="H177" s="25">
        <v>112825.4100208154</v>
      </c>
      <c r="I177" s="25">
        <v>114421.7841713776</v>
      </c>
      <c r="J177" s="25">
        <v>116029.2311916144</v>
      </c>
      <c r="K177" s="25">
        <v>117647.67271167562</v>
      </c>
      <c r="L177" s="26">
        <v>119277.02938066355</v>
      </c>
    </row>
    <row r="178" spans="2:14" s="31" customFormat="1" ht="14.4" customHeight="1" thickBot="1" x14ac:dyDescent="0.35">
      <c r="B178" s="11"/>
      <c r="C178" s="114">
        <v>1</v>
      </c>
      <c r="D178" s="12"/>
      <c r="E178" s="12"/>
      <c r="F178" s="12"/>
      <c r="G178" s="12"/>
      <c r="H178" s="12"/>
      <c r="I178" s="12"/>
      <c r="J178" s="12"/>
      <c r="K178" s="12"/>
      <c r="L178" s="13"/>
    </row>
    <row r="179" spans="2:14" s="31" customFormat="1" ht="14.4" customHeight="1" thickBot="1" x14ac:dyDescent="0.35"/>
    <row r="180" spans="2:14" s="31" customFormat="1" ht="14.4" customHeight="1" thickBot="1" x14ac:dyDescent="0.35">
      <c r="B180" s="79" t="s">
        <v>59</v>
      </c>
      <c r="C180" s="80">
        <v>18000</v>
      </c>
      <c r="D180" s="12"/>
      <c r="E180" s="53" t="s">
        <v>60</v>
      </c>
      <c r="F180" s="12"/>
      <c r="G180" s="53"/>
      <c r="H180" s="12"/>
      <c r="I180" s="12"/>
      <c r="J180" s="12"/>
      <c r="K180" s="12"/>
      <c r="L180" s="13"/>
    </row>
    <row r="181" spans="2:14" s="31" customFormat="1" ht="14.4" customHeight="1" x14ac:dyDescent="0.3">
      <c r="B181" s="81" t="s">
        <v>37</v>
      </c>
      <c r="C181" s="64">
        <v>0.05</v>
      </c>
      <c r="D181" s="73" t="s">
        <v>61</v>
      </c>
      <c r="E181" s="82"/>
      <c r="F181" s="82"/>
      <c r="G181" s="82"/>
      <c r="H181" s="82"/>
      <c r="I181" s="82"/>
      <c r="J181" s="82"/>
      <c r="K181" s="82"/>
      <c r="L181" s="83"/>
    </row>
    <row r="182" spans="2:14" s="31" customFormat="1" ht="14.4" customHeight="1" x14ac:dyDescent="0.3">
      <c r="B182" s="81" t="s">
        <v>41</v>
      </c>
      <c r="C182" s="84">
        <v>7</v>
      </c>
      <c r="D182" s="73"/>
      <c r="E182" s="82"/>
      <c r="F182" s="82"/>
      <c r="G182" s="82"/>
      <c r="H182" s="82"/>
      <c r="I182" s="82"/>
      <c r="J182" s="82"/>
      <c r="K182" s="82"/>
      <c r="L182" s="83"/>
    </row>
    <row r="183" spans="2:14" s="31" customFormat="1" ht="14.4" customHeight="1" thickBot="1" x14ac:dyDescent="0.35">
      <c r="B183" s="81" t="s">
        <v>62</v>
      </c>
      <c r="C183" s="64">
        <v>2.5000000000000001E-2</v>
      </c>
      <c r="D183" s="73"/>
      <c r="E183" s="82"/>
      <c r="F183" s="82"/>
      <c r="G183" s="82"/>
      <c r="H183" s="82"/>
      <c r="I183" s="82"/>
      <c r="J183" s="82"/>
      <c r="K183" s="82"/>
      <c r="L183" s="83"/>
    </row>
    <row r="184" spans="2:14" s="31" customFormat="1" ht="14.4" customHeight="1" thickBot="1" x14ac:dyDescent="0.35">
      <c r="B184" s="85" t="s">
        <v>63</v>
      </c>
      <c r="C184" s="86">
        <f>1/(C181+(C183/(((1+(C183))^C182)-1)))*C180</f>
        <v>98632.607047192607</v>
      </c>
      <c r="D184" s="105">
        <f>ROUND((E184-M184),4)</f>
        <v>0.04</v>
      </c>
      <c r="E184" s="106">
        <f>ROUND((F184-M184),4)</f>
        <v>4.2500000000000003E-2</v>
      </c>
      <c r="F184" s="106">
        <f>ROUND((G184-M184),4)</f>
        <v>4.4999999999999998E-2</v>
      </c>
      <c r="G184" s="106">
        <f>ROUND((H184-M184),4)</f>
        <v>4.7500000000000001E-2</v>
      </c>
      <c r="H184" s="107">
        <v>0.05</v>
      </c>
      <c r="I184" s="106">
        <f>ROUND((H184+M184),4)</f>
        <v>5.2499999999999998E-2</v>
      </c>
      <c r="J184" s="106">
        <f>ROUND((I184+M184),4)</f>
        <v>5.5E-2</v>
      </c>
      <c r="K184" s="106">
        <f>ROUND((J184+M184),4)</f>
        <v>5.7500000000000002E-2</v>
      </c>
      <c r="L184" s="108">
        <f>ROUND((K184+M184),4)</f>
        <v>0.06</v>
      </c>
      <c r="M184" s="107">
        <v>2.5000000000000001E-3</v>
      </c>
      <c r="N184" s="87"/>
    </row>
    <row r="185" spans="2:14" s="31" customFormat="1" ht="14.4" customHeight="1" x14ac:dyDescent="0.3">
      <c r="B185" s="16"/>
      <c r="C185" s="110">
        <f>C186-C196</f>
        <v>2</v>
      </c>
      <c r="D185" s="17">
        <f t="dataTable" ref="D185:L195" dt2D="1" dtr="1" r1="C181" r2="C182"/>
        <v>33718.778908418084</v>
      </c>
      <c r="E185" s="18">
        <v>33561.604419635099</v>
      </c>
      <c r="F185" s="18">
        <v>33405.888417917238</v>
      </c>
      <c r="G185" s="18">
        <v>33251.610696162781</v>
      </c>
      <c r="H185" s="18">
        <v>33098.751418842177</v>
      </c>
      <c r="I185" s="18">
        <v>32947.291113496358</v>
      </c>
      <c r="J185" s="18">
        <v>32797.210662467616</v>
      </c>
      <c r="K185" s="18">
        <v>32648.491294855237</v>
      </c>
      <c r="L185" s="19">
        <v>32501.114578689208</v>
      </c>
    </row>
    <row r="186" spans="2:14" s="31" customFormat="1" ht="14.4" customHeight="1" x14ac:dyDescent="0.3">
      <c r="B186" s="16"/>
      <c r="C186" s="110">
        <f>C187-C196</f>
        <v>3</v>
      </c>
      <c r="D186" s="20">
        <v>49296.542819616589</v>
      </c>
      <c r="E186" s="21">
        <v>48961.31730916712</v>
      </c>
      <c r="F186" s="21">
        <v>48630.620194406023</v>
      </c>
      <c r="G186" s="21">
        <v>48304.36033314286</v>
      </c>
      <c r="H186" s="21">
        <v>47982.449012756901</v>
      </c>
      <c r="I186" s="21">
        <v>47664.79986977706</v>
      </c>
      <c r="J186" s="21">
        <v>47351.328812635089</v>
      </c>
      <c r="K186" s="21">
        <v>47041.953947446971</v>
      </c>
      <c r="L186" s="22">
        <v>46736.595506685037</v>
      </c>
    </row>
    <row r="187" spans="2:14" s="31" customFormat="1" ht="14.4" customHeight="1" x14ac:dyDescent="0.3">
      <c r="B187" s="16"/>
      <c r="C187" s="110">
        <f>C188-C196</f>
        <v>4</v>
      </c>
      <c r="D187" s="20">
        <v>64098.483139051445</v>
      </c>
      <c r="E187" s="21">
        <v>63532.877434466922</v>
      </c>
      <c r="F187" s="21">
        <v>62977.166242239386</v>
      </c>
      <c r="G187" s="21">
        <v>62431.092176863429</v>
      </c>
      <c r="H187" s="21">
        <v>61894.406703235371</v>
      </c>
      <c r="I187" s="21">
        <v>61366.869759485642</v>
      </c>
      <c r="J187" s="21">
        <v>60848.24939893603</v>
      </c>
      <c r="K187" s="21">
        <v>60338.321450060132</v>
      </c>
      <c r="L187" s="22">
        <v>59836.8691933995</v>
      </c>
    </row>
    <row r="188" spans="2:14" s="31" customFormat="1" ht="14.4" customHeight="1" x14ac:dyDescent="0.3">
      <c r="B188" s="16"/>
      <c r="C188" s="110">
        <f>C189-C196</f>
        <v>5</v>
      </c>
      <c r="D188" s="20">
        <v>78176.961583747005</v>
      </c>
      <c r="E188" s="21">
        <v>77337.240681833573</v>
      </c>
      <c r="F188" s="21">
        <v>76515.367433628926</v>
      </c>
      <c r="G188" s="21">
        <v>75710.778814232108</v>
      </c>
      <c r="H188" s="21">
        <v>74922.935234007789</v>
      </c>
      <c r="I188" s="21">
        <v>74151.319331811465</v>
      </c>
      <c r="J188" s="21">
        <v>73395.434842024217</v>
      </c>
      <c r="K188" s="21">
        <v>72654.805530183861</v>
      </c>
      <c r="L188" s="22">
        <v>71928.974192415044</v>
      </c>
    </row>
    <row r="189" spans="2:14" s="31" customFormat="1" ht="14.4" customHeight="1" thickBot="1" x14ac:dyDescent="0.35">
      <c r="B189" s="16"/>
      <c r="C189" s="110">
        <f>C190-C196</f>
        <v>6</v>
      </c>
      <c r="D189" s="20">
        <v>91579.764182887724</v>
      </c>
      <c r="E189" s="21">
        <v>90429.553463258693</v>
      </c>
      <c r="F189" s="21">
        <v>89307.876876221417</v>
      </c>
      <c r="G189" s="21">
        <v>88213.685629691652</v>
      </c>
      <c r="H189" s="21">
        <v>87145.981708260631</v>
      </c>
      <c r="I189" s="21">
        <v>86103.814837038415</v>
      </c>
      <c r="J189" s="21">
        <v>85086.279660776752</v>
      </c>
      <c r="K189" s="21">
        <v>84092.513120670788</v>
      </c>
      <c r="L189" s="22">
        <v>83121.69201286466</v>
      </c>
    </row>
    <row r="190" spans="2:14" s="31" customFormat="1" ht="14.4" customHeight="1" thickBot="1" x14ac:dyDescent="0.35">
      <c r="B190" s="23"/>
      <c r="C190" s="111">
        <v>7</v>
      </c>
      <c r="D190" s="20">
        <v>104350.59083671488</v>
      </c>
      <c r="E190" s="21">
        <v>102859.82917726884</v>
      </c>
      <c r="F190" s="21">
        <v>101411.06188529564</v>
      </c>
      <c r="G190" s="21">
        <v>100002.53915105478</v>
      </c>
      <c r="H190" s="21">
        <v>98632.607047192607</v>
      </c>
      <c r="I190" s="21">
        <v>97299.701050042888</v>
      </c>
      <c r="J190" s="21">
        <v>96002.34007923535</v>
      </c>
      <c r="K190" s="21">
        <v>94739.121007873444</v>
      </c>
      <c r="L190" s="22">
        <v>93508.713600500079</v>
      </c>
    </row>
    <row r="191" spans="2:14" s="31" customFormat="1" ht="14.4" customHeight="1" x14ac:dyDescent="0.3">
      <c r="B191" s="16"/>
      <c r="C191" s="110">
        <f>C190+C196</f>
        <v>8</v>
      </c>
      <c r="D191" s="20">
        <v>116529.48332242036</v>
      </c>
      <c r="E191" s="21">
        <v>114673.53228520483</v>
      </c>
      <c r="F191" s="21">
        <v>112875.77344487862</v>
      </c>
      <c r="G191" s="21">
        <v>111133.51217509941</v>
      </c>
      <c r="H191" s="21">
        <v>109444.21768912052</v>
      </c>
      <c r="I191" s="21">
        <v>107805.51077394956</v>
      </c>
      <c r="J191" s="21">
        <v>106215.15261018919</v>
      </c>
      <c r="K191" s="21">
        <v>104671.03456707692</v>
      </c>
      <c r="L191" s="22">
        <v>103171.16887490595</v>
      </c>
    </row>
    <row r="192" spans="2:14" s="31" customFormat="1" ht="14.4" customHeight="1" x14ac:dyDescent="0.3">
      <c r="B192" s="16"/>
      <c r="C192" s="110">
        <f>C191+C196</f>
        <v>9</v>
      </c>
      <c r="D192" s="20">
        <v>128153.20059065585</v>
      </c>
      <c r="E192" s="21">
        <v>125912.08439506307</v>
      </c>
      <c r="F192" s="21">
        <v>123748.00532694544</v>
      </c>
      <c r="G192" s="21">
        <v>121657.05834033975</v>
      </c>
      <c r="H192" s="21">
        <v>119635.59793512107</v>
      </c>
      <c r="I192" s="21">
        <v>117680.21694630088</v>
      </c>
      <c r="J192" s="21">
        <v>115787.72737994106</v>
      </c>
      <c r="K192" s="21">
        <v>113955.14306893987</v>
      </c>
      <c r="L192" s="22">
        <v>112179.66395020772</v>
      </c>
    </row>
    <row r="193" spans="2:18" s="31" customFormat="1" ht="14.4" customHeight="1" x14ac:dyDescent="0.3">
      <c r="B193" s="16"/>
      <c r="C193" s="110">
        <f>C192+C196</f>
        <v>10</v>
      </c>
      <c r="D193" s="20">
        <v>139255.54877337167</v>
      </c>
      <c r="E193" s="21">
        <v>136613.30423844553</v>
      </c>
      <c r="F193" s="21">
        <v>134069.46089806338</v>
      </c>
      <c r="G193" s="21">
        <v>131618.62232319987</v>
      </c>
      <c r="H193" s="21">
        <v>129255.77959574117</v>
      </c>
      <c r="I193" s="21">
        <v>126976.27713855932</v>
      </c>
      <c r="J193" s="21">
        <v>124775.78209856925</v>
      </c>
      <c r="K193" s="21">
        <v>122650.25685909917</v>
      </c>
      <c r="L193" s="22">
        <v>120595.93431467448</v>
      </c>
    </row>
    <row r="194" spans="2:18" s="31" customFormat="1" ht="14.4" customHeight="1" x14ac:dyDescent="0.3">
      <c r="B194" s="16"/>
      <c r="C194" s="110">
        <f>C193+C196</f>
        <v>11</v>
      </c>
      <c r="D194" s="20">
        <v>149867.67215327645</v>
      </c>
      <c r="E194" s="21">
        <v>146811.79140024763</v>
      </c>
      <c r="F194" s="21">
        <v>143878.04235288818</v>
      </c>
      <c r="G194" s="21">
        <v>141059.24675852843</v>
      </c>
      <c r="H194" s="21">
        <v>138348.77808810197</v>
      </c>
      <c r="I194" s="21">
        <v>135740.50952833783</v>
      </c>
      <c r="J194" s="21">
        <v>133228.76774806628</v>
      </c>
      <c r="K194" s="21">
        <v>130808.29170431687</v>
      </c>
      <c r="L194" s="22">
        <v>128474.19585871078</v>
      </c>
    </row>
    <row r="195" spans="2:18" s="31" customFormat="1" ht="14.4" customHeight="1" thickBot="1" x14ac:dyDescent="0.35">
      <c r="B195" s="16"/>
      <c r="C195" s="112">
        <f>C194+C196</f>
        <v>12</v>
      </c>
      <c r="D195" s="24">
        <v>160018.31037844991</v>
      </c>
      <c r="E195" s="25">
        <v>156539.26201517793</v>
      </c>
      <c r="F195" s="25">
        <v>153208.27448429048</v>
      </c>
      <c r="G195" s="25">
        <v>150016.09299095449</v>
      </c>
      <c r="H195" s="25">
        <v>146954.21831319272</v>
      </c>
      <c r="I195" s="25">
        <v>144014.83123681595</v>
      </c>
      <c r="J195" s="25">
        <v>141190.72588126129</v>
      </c>
      <c r="K195" s="25">
        <v>138475.25071936453</v>
      </c>
      <c r="L195" s="26">
        <v>135862.25627478817</v>
      </c>
    </row>
    <row r="196" spans="2:18" s="31" customFormat="1" ht="14.4" customHeight="1" thickBot="1" x14ac:dyDescent="0.35">
      <c r="B196" s="11"/>
      <c r="C196" s="114">
        <v>1</v>
      </c>
      <c r="D196" s="12"/>
      <c r="E196" s="12"/>
      <c r="F196" s="12"/>
      <c r="G196" s="12"/>
      <c r="H196" s="12"/>
      <c r="I196" s="12"/>
      <c r="J196" s="12"/>
      <c r="K196" s="12"/>
      <c r="L196" s="13"/>
    </row>
    <row r="197" spans="2:18" s="31" customFormat="1" ht="14.4" customHeight="1" thickBot="1" x14ac:dyDescent="0.35"/>
    <row r="198" spans="2:18" s="31" customFormat="1" ht="14.4" customHeight="1" thickBot="1" x14ac:dyDescent="0.35">
      <c r="B198" s="79" t="s">
        <v>59</v>
      </c>
      <c r="C198" s="80">
        <v>15000</v>
      </c>
      <c r="D198" s="12"/>
      <c r="E198" s="53" t="s">
        <v>64</v>
      </c>
      <c r="F198" s="12"/>
      <c r="G198" s="53"/>
      <c r="H198" s="12"/>
      <c r="I198" s="12"/>
      <c r="J198" s="12"/>
      <c r="K198" s="12"/>
      <c r="L198" s="13"/>
    </row>
    <row r="199" spans="2:18" s="31" customFormat="1" ht="14.4" customHeight="1" x14ac:dyDescent="0.3">
      <c r="B199" s="81" t="s">
        <v>37</v>
      </c>
      <c r="C199" s="64">
        <v>0.06</v>
      </c>
      <c r="D199" s="73" t="s">
        <v>65</v>
      </c>
      <c r="E199" s="82"/>
      <c r="F199" s="82"/>
      <c r="G199" s="82"/>
      <c r="H199" s="82"/>
      <c r="I199" s="82"/>
      <c r="J199" s="82"/>
      <c r="K199" s="82"/>
      <c r="L199" s="83"/>
    </row>
    <row r="200" spans="2:18" s="31" customFormat="1" ht="14.4" customHeight="1" x14ac:dyDescent="0.3">
      <c r="B200" s="81" t="s">
        <v>41</v>
      </c>
      <c r="C200" s="84">
        <v>12</v>
      </c>
      <c r="D200" s="73"/>
      <c r="E200" s="82"/>
      <c r="F200" s="82"/>
      <c r="G200" s="82"/>
      <c r="H200" s="82"/>
      <c r="I200" s="82"/>
      <c r="J200" s="82"/>
      <c r="K200" s="82"/>
      <c r="L200" s="83"/>
    </row>
    <row r="201" spans="2:18" s="31" customFormat="1" ht="14.4" customHeight="1" x14ac:dyDescent="0.3">
      <c r="B201" s="81" t="s">
        <v>62</v>
      </c>
      <c r="C201" s="64">
        <v>2.5000000000000001E-2</v>
      </c>
      <c r="D201" s="73"/>
      <c r="E201" s="82"/>
      <c r="F201" s="82"/>
      <c r="G201" s="82"/>
      <c r="H201" s="82"/>
      <c r="I201" s="82"/>
      <c r="J201" s="82"/>
      <c r="K201" s="82"/>
      <c r="L201" s="83"/>
    </row>
    <row r="202" spans="2:18" s="31" customFormat="1" ht="14.4" customHeight="1" thickBot="1" x14ac:dyDescent="0.35">
      <c r="B202" s="81" t="s">
        <v>66</v>
      </c>
      <c r="C202" s="88">
        <v>0.25</v>
      </c>
      <c r="D202" s="89"/>
      <c r="E202" s="89"/>
      <c r="F202" s="89"/>
      <c r="G202" s="89"/>
      <c r="H202" s="89"/>
      <c r="I202" s="89"/>
      <c r="J202" s="89"/>
      <c r="K202" s="89"/>
      <c r="L202" s="90"/>
    </row>
    <row r="203" spans="2:18" s="31" customFormat="1" ht="14.4" customHeight="1" thickBot="1" x14ac:dyDescent="0.35">
      <c r="B203" s="85" t="s">
        <v>63</v>
      </c>
      <c r="C203" s="86">
        <f>(1/(C199+((C201/(((1+(C201))^C200)-1))/(1-C202))))*C198</f>
        <v>95755.171552681568</v>
      </c>
      <c r="D203" s="105">
        <f>ROUND((E203-M203),4)</f>
        <v>0.05</v>
      </c>
      <c r="E203" s="106">
        <f>ROUND((F203-M203),4)</f>
        <v>5.2499999999999998E-2</v>
      </c>
      <c r="F203" s="106">
        <f>ROUND((G203-M203),4)</f>
        <v>5.5E-2</v>
      </c>
      <c r="G203" s="106">
        <f>ROUND((H203-M203),4)</f>
        <v>5.7500000000000002E-2</v>
      </c>
      <c r="H203" s="107">
        <v>0.06</v>
      </c>
      <c r="I203" s="106">
        <f>ROUND((H203+M203),4)</f>
        <v>6.25E-2</v>
      </c>
      <c r="J203" s="106">
        <f>ROUND((I203+M203),4)</f>
        <v>6.5000000000000002E-2</v>
      </c>
      <c r="K203" s="106">
        <f>ROUND((J203+M203),4)</f>
        <v>6.7500000000000004E-2</v>
      </c>
      <c r="L203" s="108">
        <f>ROUND((K203+M203),4)</f>
        <v>7.0000000000000007E-2</v>
      </c>
      <c r="M203" s="107">
        <v>2.5000000000000001E-3</v>
      </c>
    </row>
    <row r="204" spans="2:18" s="31" customFormat="1" ht="14.4" customHeight="1" x14ac:dyDescent="0.3">
      <c r="B204" s="16"/>
      <c r="C204" s="110">
        <f>C205-C215</f>
        <v>7</v>
      </c>
      <c r="D204" s="17">
        <f t="dataTable" ref="D204:L214" dt2D="1" dtr="1" r1="C199" r2="C200"/>
        <v>66178.24975382899</v>
      </c>
      <c r="E204" s="18">
        <v>65456.286013205667</v>
      </c>
      <c r="F204" s="18">
        <v>64749.904633700447</v>
      </c>
      <c r="G204" s="18">
        <v>64058.606523143571</v>
      </c>
      <c r="H204" s="18">
        <v>63381.913678309778</v>
      </c>
      <c r="I204" s="18">
        <v>62719.368082680681</v>
      </c>
      <c r="J204" s="18">
        <v>62070.530672623419</v>
      </c>
      <c r="K204" s="18">
        <v>61434.980367082251</v>
      </c>
      <c r="L204" s="19">
        <v>60812.313156276796</v>
      </c>
      <c r="R204" s="91"/>
    </row>
    <row r="205" spans="2:18" s="31" customFormat="1" ht="14.4" customHeight="1" x14ac:dyDescent="0.3">
      <c r="B205" s="16"/>
      <c r="C205" s="110">
        <f>C206-C215</f>
        <v>8</v>
      </c>
      <c r="D205" s="20">
        <v>74029.061561880721</v>
      </c>
      <c r="E205" s="21">
        <v>73126.810041483244</v>
      </c>
      <c r="F205" s="21">
        <v>72246.286628403599</v>
      </c>
      <c r="G205" s="21">
        <v>71386.715773531105</v>
      </c>
      <c r="H205" s="21">
        <v>70547.358403049133</v>
      </c>
      <c r="I205" s="21">
        <v>69727.509798992192</v>
      </c>
      <c r="J205" s="21">
        <v>68926.497625888966</v>
      </c>
      <c r="K205" s="21">
        <v>68143.680091876944</v>
      </c>
      <c r="L205" s="22">
        <v>67378.444233718459</v>
      </c>
    </row>
    <row r="206" spans="2:18" s="31" customFormat="1" ht="14.4" customHeight="1" x14ac:dyDescent="0.3">
      <c r="B206" s="16"/>
      <c r="C206" s="110">
        <f>C207-C215</f>
        <v>9</v>
      </c>
      <c r="D206" s="20">
        <v>81547.21376403654</v>
      </c>
      <c r="E206" s="21">
        <v>80453.750564798858</v>
      </c>
      <c r="F206" s="21">
        <v>79389.223763761736</v>
      </c>
      <c r="G206" s="21">
        <v>78352.49974135893</v>
      </c>
      <c r="H206" s="21">
        <v>77342.503329340892</v>
      </c>
      <c r="I206" s="21">
        <v>76358.214091409667</v>
      </c>
      <c r="J206" s="21">
        <v>75398.662884288889</v>
      </c>
      <c r="K206" s="21">
        <v>74462.928674866707</v>
      </c>
      <c r="L206" s="22">
        <v>73550.13559143804</v>
      </c>
    </row>
    <row r="207" spans="2:18" s="31" customFormat="1" ht="14.4" customHeight="1" x14ac:dyDescent="0.3">
      <c r="B207" s="16"/>
      <c r="C207" s="110">
        <f>C208-C215</f>
        <v>10</v>
      </c>
      <c r="D207" s="20">
        <v>88751.260410126837</v>
      </c>
      <c r="E207" s="21">
        <v>87457.598395125155</v>
      </c>
      <c r="F207" s="21">
        <v>86201.108079848127</v>
      </c>
      <c r="G207" s="21">
        <v>84980.210034870775</v>
      </c>
      <c r="H207" s="21">
        <v>83793.413061289597</v>
      </c>
      <c r="I207" s="21">
        <v>82639.308114631523</v>
      </c>
      <c r="J207" s="21">
        <v>81516.56272406489</v>
      </c>
      <c r="K207" s="21">
        <v>80423.915860439491</v>
      </c>
      <c r="L207" s="22">
        <v>79360.173211599555</v>
      </c>
    </row>
    <row r="208" spans="2:18" s="31" customFormat="1" ht="14.4" customHeight="1" thickBot="1" x14ac:dyDescent="0.35">
      <c r="B208" s="16"/>
      <c r="C208" s="110">
        <f>C209-C215</f>
        <v>11</v>
      </c>
      <c r="D208" s="20">
        <v>95658.420768355019</v>
      </c>
      <c r="E208" s="21">
        <v>94157.264891129482</v>
      </c>
      <c r="F208" s="21">
        <v>92702.495979461644</v>
      </c>
      <c r="G208" s="21">
        <v>91291.996653999246</v>
      </c>
      <c r="H208" s="21">
        <v>89923.776470555094</v>
      </c>
      <c r="I208" s="21">
        <v>88595.962548487776</v>
      </c>
      <c r="J208" s="21">
        <v>87306.7910172884</v>
      </c>
      <c r="K208" s="21">
        <v>86054.5991992278</v>
      </c>
      <c r="L208" s="22">
        <v>84837.81845521112</v>
      </c>
    </row>
    <row r="209" spans="2:19" s="31" customFormat="1" ht="14.4" customHeight="1" thickBot="1" x14ac:dyDescent="0.35">
      <c r="B209" s="23"/>
      <c r="C209" s="111">
        <v>12</v>
      </c>
      <c r="D209" s="20">
        <v>102284.69738274762</v>
      </c>
      <c r="E209" s="21">
        <v>100570.23143474499</v>
      </c>
      <c r="F209" s="21">
        <v>98912.292739322511</v>
      </c>
      <c r="G209" s="21">
        <v>97308.131015830149</v>
      </c>
      <c r="H209" s="21">
        <v>95755.171552681568</v>
      </c>
      <c r="I209" s="21">
        <v>94251.001417720589</v>
      </c>
      <c r="J209" s="21">
        <v>92793.356948174347</v>
      </c>
      <c r="K209" s="21">
        <v>91380.112383775675</v>
      </c>
      <c r="L209" s="22">
        <v>90009.269523009963</v>
      </c>
    </row>
    <row r="210" spans="2:19" s="31" customFormat="1" ht="14.4" customHeight="1" x14ac:dyDescent="0.3">
      <c r="B210" s="16"/>
      <c r="C210" s="110">
        <f>C209+C215</f>
        <v>13</v>
      </c>
      <c r="D210" s="20">
        <v>108644.98180954465</v>
      </c>
      <c r="E210" s="21">
        <v>106712.68223941974</v>
      </c>
      <c r="F210" s="21">
        <v>104847.91519644902</v>
      </c>
      <c r="G210" s="21">
        <v>103047.20116167719</v>
      </c>
      <c r="H210" s="21">
        <v>101307.29561658589</v>
      </c>
      <c r="I210" s="21">
        <v>99625.169533128355</v>
      </c>
      <c r="J210" s="21">
        <v>97997.991775701637</v>
      </c>
      <c r="K210" s="21">
        <v>96423.113199975167</v>
      </c>
      <c r="L210" s="22">
        <v>94898.052260709912</v>
      </c>
    </row>
    <row r="211" spans="2:19" s="31" customFormat="1" ht="14.4" customHeight="1" x14ac:dyDescent="0.3">
      <c r="B211" s="16"/>
      <c r="C211" s="110">
        <f>C210+C215</f>
        <v>14</v>
      </c>
      <c r="D211" s="20">
        <v>114753.14950710823</v>
      </c>
      <c r="E211" s="21">
        <v>112599.6226189685</v>
      </c>
      <c r="F211" s="21">
        <v>110525.43556326504</v>
      </c>
      <c r="G211" s="21">
        <v>108526.28311143936</v>
      </c>
      <c r="H211" s="21">
        <v>106598.16598791198</v>
      </c>
      <c r="I211" s="21">
        <v>104737.36416615856</v>
      </c>
      <c r="J211" s="21">
        <v>102940.41291369908</v>
      </c>
      <c r="K211" s="21">
        <v>101204.08126143186</v>
      </c>
      <c r="L211" s="22">
        <v>99525.352615814598</v>
      </c>
    </row>
    <row r="212" spans="2:19" s="31" customFormat="1" ht="14.4" customHeight="1" x14ac:dyDescent="0.3">
      <c r="B212" s="16"/>
      <c r="C212" s="110">
        <f>C211+C215</f>
        <v>15</v>
      </c>
      <c r="D212" s="20">
        <v>120622.14515563771</v>
      </c>
      <c r="E212" s="21">
        <v>118244.98454077056</v>
      </c>
      <c r="F212" s="21">
        <v>115959.70887685458</v>
      </c>
      <c r="G212" s="21">
        <v>113761.09169772436</v>
      </c>
      <c r="H212" s="21">
        <v>111644.29554063665</v>
      </c>
      <c r="I212" s="21">
        <v>109604.8364157233</v>
      </c>
      <c r="J212" s="21">
        <v>107638.5520999008</v>
      </c>
      <c r="K212" s="21">
        <v>105741.57378343189</v>
      </c>
      <c r="L212" s="22">
        <v>103910.30066270129</v>
      </c>
    </row>
    <row r="213" spans="2:19" s="31" customFormat="1" ht="14.4" customHeight="1" x14ac:dyDescent="0.3">
      <c r="B213" s="16"/>
      <c r="C213" s="110">
        <f>C212+C215</f>
        <v>16</v>
      </c>
      <c r="D213" s="20">
        <v>126264.05951418768</v>
      </c>
      <c r="E213" s="21">
        <v>123661.72103022321</v>
      </c>
      <c r="F213" s="21">
        <v>121164.48621471415</v>
      </c>
      <c r="G213" s="21">
        <v>118766.113690542</v>
      </c>
      <c r="H213" s="21">
        <v>116460.84666463065</v>
      </c>
      <c r="I213" s="21">
        <v>114243.36679418584</v>
      </c>
      <c r="J213" s="21">
        <v>112108.75322493335</v>
      </c>
      <c r="K213" s="21">
        <v>110052.44613729889</v>
      </c>
      <c r="L213" s="22">
        <v>108070.21423216036</v>
      </c>
      <c r="S213" s="87"/>
    </row>
    <row r="214" spans="2:19" s="31" customFormat="1" ht="14.4" customHeight="1" thickBot="1" x14ac:dyDescent="0.35">
      <c r="B214" s="16"/>
      <c r="C214" s="112">
        <f>C213+C215</f>
        <v>17</v>
      </c>
      <c r="D214" s="24">
        <v>131690.1987784032</v>
      </c>
      <c r="E214" s="25">
        <v>128861.89077651646</v>
      </c>
      <c r="F214" s="25">
        <v>126152.51549764312</v>
      </c>
      <c r="G214" s="25">
        <v>123554.72559180525</v>
      </c>
      <c r="H214" s="25">
        <v>121061.7666978042</v>
      </c>
      <c r="I214" s="25">
        <v>118667.41880284739</v>
      </c>
      <c r="J214" s="25">
        <v>116365.94442591752</v>
      </c>
      <c r="K214" s="25">
        <v>114152.04271611609</v>
      </c>
      <c r="L214" s="26">
        <v>112020.80869294755</v>
      </c>
    </row>
    <row r="215" spans="2:19" s="31" customFormat="1" ht="14.4" customHeight="1" thickBot="1" x14ac:dyDescent="0.35">
      <c r="B215" s="11"/>
      <c r="C215" s="114">
        <v>1</v>
      </c>
      <c r="D215" s="12"/>
      <c r="E215" s="12"/>
      <c r="F215" s="12"/>
      <c r="G215" s="12"/>
      <c r="H215" s="12"/>
      <c r="I215" s="12"/>
      <c r="J215" s="12"/>
      <c r="K215" s="12"/>
      <c r="L215" s="13"/>
    </row>
    <row r="216" spans="2:19" s="31" customFormat="1" ht="14.4" customHeight="1" thickBot="1" x14ac:dyDescent="0.35"/>
    <row r="217" spans="2:19" s="31" customFormat="1" ht="14.4" customHeight="1" thickBot="1" x14ac:dyDescent="0.35">
      <c r="B217" s="92" t="s">
        <v>59</v>
      </c>
      <c r="C217" s="80">
        <v>14000</v>
      </c>
      <c r="D217" s="12"/>
      <c r="E217" s="53" t="s">
        <v>67</v>
      </c>
      <c r="F217" s="12"/>
      <c r="G217" s="53"/>
      <c r="H217" s="12"/>
      <c r="I217" s="12"/>
      <c r="J217" s="12"/>
      <c r="K217" s="12"/>
      <c r="L217" s="13"/>
      <c r="P217" s="93"/>
    </row>
    <row r="218" spans="2:19" s="31" customFormat="1" ht="14.4" customHeight="1" x14ac:dyDescent="0.3">
      <c r="B218" s="94" t="s">
        <v>37</v>
      </c>
      <c r="C218" s="64">
        <v>0.05</v>
      </c>
      <c r="D218" s="73" t="s">
        <v>68</v>
      </c>
      <c r="E218" s="82"/>
      <c r="F218" s="82"/>
      <c r="G218" s="82"/>
      <c r="H218" s="82"/>
      <c r="I218" s="82"/>
      <c r="J218" s="82"/>
      <c r="K218" s="82"/>
      <c r="L218" s="83"/>
      <c r="P218" s="93"/>
    </row>
    <row r="219" spans="2:19" s="31" customFormat="1" ht="14.4" customHeight="1" x14ac:dyDescent="0.3">
      <c r="B219" s="94" t="s">
        <v>41</v>
      </c>
      <c r="C219" s="84">
        <v>10</v>
      </c>
      <c r="D219" s="73"/>
      <c r="E219" s="82"/>
      <c r="F219" s="82"/>
      <c r="G219" s="82"/>
      <c r="H219" s="82"/>
      <c r="I219" s="82"/>
      <c r="J219" s="82"/>
      <c r="K219" s="82"/>
      <c r="L219" s="83"/>
      <c r="P219" s="95"/>
    </row>
    <row r="220" spans="2:19" s="31" customFormat="1" ht="14.4" customHeight="1" x14ac:dyDescent="0.3">
      <c r="B220" s="94" t="s">
        <v>62</v>
      </c>
      <c r="C220" s="64">
        <v>2.2499999999999999E-2</v>
      </c>
      <c r="D220" s="73"/>
      <c r="E220" s="82"/>
      <c r="F220" s="82"/>
      <c r="G220" s="82"/>
      <c r="H220" s="82"/>
      <c r="I220" s="82"/>
      <c r="J220" s="82"/>
      <c r="K220" s="82"/>
      <c r="L220" s="83"/>
      <c r="P220" s="95"/>
    </row>
    <row r="221" spans="2:19" s="31" customFormat="1" ht="14.4" customHeight="1" x14ac:dyDescent="0.3">
      <c r="B221" s="94" t="s">
        <v>69</v>
      </c>
      <c r="C221" s="64">
        <v>9.9999999999999995E-7</v>
      </c>
      <c r="D221" s="73"/>
      <c r="E221" s="82"/>
      <c r="F221" s="82"/>
      <c r="G221" s="82"/>
      <c r="H221" s="82"/>
      <c r="I221" s="82"/>
      <c r="J221" s="82"/>
      <c r="K221" s="82"/>
      <c r="L221" s="83"/>
      <c r="P221" s="95"/>
    </row>
    <row r="222" spans="2:19" s="31" customFormat="1" ht="14.4" customHeight="1" thickBot="1" x14ac:dyDescent="0.35">
      <c r="B222" s="96" t="s">
        <v>42</v>
      </c>
      <c r="C222" s="97">
        <v>4</v>
      </c>
      <c r="D222" s="89"/>
      <c r="E222" s="89"/>
      <c r="F222" s="89"/>
      <c r="G222" s="89"/>
      <c r="H222" s="89"/>
      <c r="I222" s="89"/>
      <c r="J222" s="89"/>
      <c r="K222" s="89"/>
      <c r="L222" s="90"/>
      <c r="P222" s="95"/>
    </row>
    <row r="223" spans="2:19" s="31" customFormat="1" ht="14.4" customHeight="1" thickBot="1" x14ac:dyDescent="0.35">
      <c r="B223" s="85" t="s">
        <v>63</v>
      </c>
      <c r="C223" s="98">
        <f>(1/((C222*(1-(1+(((1+(C218/1))^(1/1))-1))^-(1/C222)))+((C222*(1-(1+C220)^(-(1/C222))))/(((1+C220)^C219)-1))*(1/(1-C221))))*C217</f>
        <v>101793.78590599691</v>
      </c>
      <c r="D223" s="105">
        <f>ROUND((E223-M223),4)</f>
        <v>0.04</v>
      </c>
      <c r="E223" s="106">
        <f>ROUND((F223-M223),4)</f>
        <v>4.2500000000000003E-2</v>
      </c>
      <c r="F223" s="106">
        <f>ROUND((G223-M223),4)</f>
        <v>4.4999999999999998E-2</v>
      </c>
      <c r="G223" s="106">
        <f>ROUND((H223-M223),4)</f>
        <v>4.7500000000000001E-2</v>
      </c>
      <c r="H223" s="107">
        <v>0.05</v>
      </c>
      <c r="I223" s="106">
        <f>ROUND((H223+M223),4)</f>
        <v>5.2499999999999998E-2</v>
      </c>
      <c r="J223" s="106">
        <f>ROUND((I223+M223),4)</f>
        <v>5.5E-2</v>
      </c>
      <c r="K223" s="106">
        <f>ROUND((J223+M223),4)</f>
        <v>5.7500000000000002E-2</v>
      </c>
      <c r="L223" s="108">
        <f>ROUND((K223+M223),4)</f>
        <v>0.06</v>
      </c>
      <c r="M223" s="107">
        <v>2.5000000000000001E-3</v>
      </c>
      <c r="P223" s="95"/>
    </row>
    <row r="224" spans="2:19" s="31" customFormat="1" ht="14.4" customHeight="1" x14ac:dyDescent="0.3">
      <c r="B224" s="29"/>
      <c r="C224" s="110">
        <f>C225-C235</f>
        <v>5</v>
      </c>
      <c r="D224" s="17">
        <f t="dataTable" ref="D224:L234" dt2D="1" dtr="1" r1="C218" r2="C219"/>
        <v>61515.406396404578</v>
      </c>
      <c r="E224" s="18">
        <v>60879.601023747629</v>
      </c>
      <c r="F224" s="18">
        <v>60258.649289137531</v>
      </c>
      <c r="G224" s="18">
        <v>59652.035075596257</v>
      </c>
      <c r="H224" s="18">
        <v>59059.265910895207</v>
      </c>
      <c r="I224" s="18">
        <v>58479.871628796718</v>
      </c>
      <c r="J224" s="18">
        <v>57913.403120235642</v>
      </c>
      <c r="K224" s="18">
        <v>57359.431167474628</v>
      </c>
      <c r="L224" s="19">
        <v>56817.545354865921</v>
      </c>
      <c r="P224" s="95"/>
    </row>
    <row r="225" spans="2:16" s="31" customFormat="1" ht="14.4" customHeight="1" x14ac:dyDescent="0.3">
      <c r="B225" s="16"/>
      <c r="C225" s="110">
        <f>C226-C235</f>
        <v>6</v>
      </c>
      <c r="D225" s="20">
        <v>72021.814880456339</v>
      </c>
      <c r="E225" s="21">
        <v>71151.816287767171</v>
      </c>
      <c r="F225" s="21">
        <v>70305.096992210485</v>
      </c>
      <c r="G225" s="21">
        <v>69480.732785661603</v>
      </c>
      <c r="H225" s="21">
        <v>68677.847753393129</v>
      </c>
      <c r="I225" s="21">
        <v>67895.611160288317</v>
      </c>
      <c r="J225" s="21">
        <v>67133.234574904083</v>
      </c>
      <c r="K225" s="21">
        <v>66389.969210460549</v>
      </c>
      <c r="L225" s="22">
        <v>65665.103463896972</v>
      </c>
      <c r="P225" s="95"/>
    </row>
    <row r="226" spans="2:16" s="31" customFormat="1" ht="14.4" customHeight="1" x14ac:dyDescent="0.3">
      <c r="B226" s="16"/>
      <c r="C226" s="110">
        <f>C227-C235</f>
        <v>7</v>
      </c>
      <c r="D226" s="20">
        <v>82023.303793435407</v>
      </c>
      <c r="E226" s="21">
        <v>80896.788639498191</v>
      </c>
      <c r="F226" s="21">
        <v>79804.033697033985</v>
      </c>
      <c r="G226" s="21">
        <v>78743.54093591102</v>
      </c>
      <c r="H226" s="21">
        <v>77713.899675664768</v>
      </c>
      <c r="I226" s="21">
        <v>76713.780310219867</v>
      </c>
      <c r="J226" s="21">
        <v>75741.928565931754</v>
      </c>
      <c r="K226" s="21">
        <v>74797.160240816433</v>
      </c>
      <c r="L226" s="22">
        <v>73878.356378560376</v>
      </c>
      <c r="P226" s="95"/>
    </row>
    <row r="227" spans="2:16" s="31" customFormat="1" ht="14.4" customHeight="1" x14ac:dyDescent="0.3">
      <c r="B227" s="16"/>
      <c r="C227" s="110">
        <f>C228-C235</f>
        <v>8</v>
      </c>
      <c r="D227" s="20">
        <v>91553.11356867422</v>
      </c>
      <c r="E227" s="21">
        <v>90151.861344951642</v>
      </c>
      <c r="F227" s="21">
        <v>88796.862351840973</v>
      </c>
      <c r="G227" s="21">
        <v>87485.860179612166</v>
      </c>
      <c r="H227" s="21">
        <v>86216.742854158569</v>
      </c>
      <c r="I227" s="21">
        <v>84987.531462033759</v>
      </c>
      <c r="J227" s="21">
        <v>83796.369833811375</v>
      </c>
      <c r="K227" s="21">
        <v>82641.51517265584</v>
      </c>
      <c r="L227" s="22">
        <v>81521.329528577815</v>
      </c>
      <c r="P227" s="95"/>
    </row>
    <row r="228" spans="2:16" s="31" customFormat="1" ht="14.4" customHeight="1" thickBot="1" x14ac:dyDescent="0.35">
      <c r="B228" s="16"/>
      <c r="C228" s="110">
        <f>C229-C235</f>
        <v>9</v>
      </c>
      <c r="D228" s="20">
        <v>100641.64465193989</v>
      </c>
      <c r="E228" s="21">
        <v>98950.946123328467</v>
      </c>
      <c r="F228" s="21">
        <v>97320.926472502993</v>
      </c>
      <c r="G228" s="21">
        <v>95748.372499437159</v>
      </c>
      <c r="H228" s="21">
        <v>94230.293957561036</v>
      </c>
      <c r="I228" s="21">
        <v>92763.904545835845</v>
      </c>
      <c r="J228" s="21">
        <v>91346.604812850084</v>
      </c>
      <c r="K228" s="21">
        <v>89975.966752263048</v>
      </c>
      <c r="L228" s="22">
        <v>88649.719897529299</v>
      </c>
      <c r="P228" s="95"/>
    </row>
    <row r="229" spans="2:16" s="31" customFormat="1" ht="14.4" customHeight="1" thickBot="1" x14ac:dyDescent="0.35">
      <c r="B229" s="23"/>
      <c r="C229" s="111">
        <v>10</v>
      </c>
      <c r="D229" s="20">
        <v>109316.75467501165</v>
      </c>
      <c r="E229" s="21">
        <v>107324.90868264696</v>
      </c>
      <c r="F229" s="21">
        <v>105409.99598566108</v>
      </c>
      <c r="G229" s="21">
        <v>103567.63894958452</v>
      </c>
      <c r="H229" s="21">
        <v>101793.78590599691</v>
      </c>
      <c r="I229" s="21">
        <v>100084.6813668649</v>
      </c>
      <c r="J229" s="21">
        <v>98436.839446312762</v>
      </c>
      <c r="K229" s="21">
        <v>96847.020093991217</v>
      </c>
      <c r="L229" s="22">
        <v>95312.207799041687</v>
      </c>
      <c r="P229" s="95"/>
    </row>
    <row r="230" spans="2:16" s="31" customFormat="1" ht="14.4" customHeight="1" x14ac:dyDescent="0.3">
      <c r="B230" s="16"/>
      <c r="C230" s="110">
        <f>C229+C235</f>
        <v>11</v>
      </c>
      <c r="D230" s="20">
        <v>117604.01907299581</v>
      </c>
      <c r="E230" s="21">
        <v>115301.90341400754</v>
      </c>
      <c r="F230" s="21">
        <v>113094.68492156947</v>
      </c>
      <c r="G230" s="21">
        <v>110976.60877485857</v>
      </c>
      <c r="H230" s="21">
        <v>108942.37627571494</v>
      </c>
      <c r="I230" s="21">
        <v>106987.10053658322</v>
      </c>
      <c r="J230" s="21">
        <v>105106.26723585889</v>
      </c>
      <c r="K230" s="21">
        <v>103295.6997772241</v>
      </c>
      <c r="L230" s="22">
        <v>101551.52828696108</v>
      </c>
      <c r="P230" s="95"/>
    </row>
    <row r="231" spans="2:16" s="31" customFormat="1" ht="14.4" customHeight="1" x14ac:dyDescent="0.3">
      <c r="B231" s="16"/>
      <c r="C231" s="110">
        <f>C230+C235</f>
        <v>12</v>
      </c>
      <c r="D231" s="20">
        <v>125526.96028631837</v>
      </c>
      <c r="E231" s="21">
        <v>122907.66489819976</v>
      </c>
      <c r="F231" s="21">
        <v>120402.8118546636</v>
      </c>
      <c r="G231" s="21">
        <v>118005.05486641348</v>
      </c>
      <c r="H231" s="21">
        <v>115707.66326502316</v>
      </c>
      <c r="I231" s="21">
        <v>113504.45883953299</v>
      </c>
      <c r="J231" s="21">
        <v>111389.76029343269</v>
      </c>
      <c r="K231" s="21">
        <v>109358.33427059752</v>
      </c>
      <c r="L231" s="22">
        <v>107405.35206129889</v>
      </c>
      <c r="P231" s="95"/>
    </row>
    <row r="232" spans="2:16" s="31" customFormat="1" ht="14.4" customHeight="1" x14ac:dyDescent="0.3">
      <c r="B232" s="16"/>
      <c r="C232" s="110">
        <f>C231+C235</f>
        <v>13</v>
      </c>
      <c r="D232" s="20">
        <v>133107.24987835521</v>
      </c>
      <c r="E232" s="21">
        <v>130165.7625892878</v>
      </c>
      <c r="F232" s="21">
        <v>127359.71204267339</v>
      </c>
      <c r="G232" s="21">
        <v>124679.94769585988</v>
      </c>
      <c r="H232" s="21">
        <v>122118.12520232884</v>
      </c>
      <c r="I232" s="21">
        <v>119666.61953890185</v>
      </c>
      <c r="J232" s="21">
        <v>117318.44912927462</v>
      </c>
      <c r="K232" s="21">
        <v>115067.20937355347</v>
      </c>
      <c r="L232" s="22">
        <v>112907.01425096078</v>
      </c>
      <c r="P232" s="95"/>
    </row>
    <row r="233" spans="2:16" s="31" customFormat="1" ht="14.4" customHeight="1" x14ac:dyDescent="0.3">
      <c r="B233" s="16"/>
      <c r="C233" s="110">
        <f>C232+C235</f>
        <v>14</v>
      </c>
      <c r="D233" s="20">
        <v>140364.88723047523</v>
      </c>
      <c r="E233" s="21">
        <v>137097.82398995568</v>
      </c>
      <c r="F233" s="21">
        <v>133988.50865076366</v>
      </c>
      <c r="G233" s="21">
        <v>131025.7776348764</v>
      </c>
      <c r="H233" s="21">
        <v>128199.49649578349</v>
      </c>
      <c r="I233" s="21">
        <v>125500.44399969674</v>
      </c>
      <c r="J233" s="21">
        <v>122920.21152972641</v>
      </c>
      <c r="K233" s="21">
        <v>120451.11550090414</v>
      </c>
      <c r="L233" s="22">
        <v>118086.12086419422</v>
      </c>
      <c r="P233" s="95"/>
    </row>
    <row r="234" spans="2:16" s="31" customFormat="1" ht="14.4" customHeight="1" thickBot="1" x14ac:dyDescent="0.35">
      <c r="B234" s="16"/>
      <c r="C234" s="112">
        <f>C233+C235</f>
        <v>15</v>
      </c>
      <c r="D234" s="24">
        <v>147318.35792120354</v>
      </c>
      <c r="E234" s="25">
        <v>143723.7307744227</v>
      </c>
      <c r="F234" s="25">
        <v>140310.34918384315</v>
      </c>
      <c r="G234" s="25">
        <v>137064.83378516263</v>
      </c>
      <c r="H234" s="25">
        <v>133975.09049534498</v>
      </c>
      <c r="I234" s="25">
        <v>131030.15979470902</v>
      </c>
      <c r="J234" s="25">
        <v>128220.08673164247</v>
      </c>
      <c r="K234" s="25">
        <v>125535.80840035161</v>
      </c>
      <c r="L234" s="26">
        <v>122969.05621162349</v>
      </c>
      <c r="P234" s="95"/>
    </row>
    <row r="235" spans="2:16" s="31" customFormat="1" ht="14.4" customHeight="1" thickBot="1" x14ac:dyDescent="0.35">
      <c r="B235" s="11"/>
      <c r="C235" s="114">
        <v>1</v>
      </c>
      <c r="D235" s="12"/>
      <c r="E235" s="12"/>
      <c r="F235" s="12"/>
      <c r="G235" s="12"/>
      <c r="H235" s="12"/>
      <c r="I235" s="12"/>
      <c r="J235" s="12"/>
      <c r="K235" s="12"/>
      <c r="L235" s="13"/>
    </row>
    <row r="236" spans="2:16" s="31" customFormat="1" ht="14.4" customHeight="1" thickBot="1" x14ac:dyDescent="0.35"/>
    <row r="237" spans="2:16" s="31" customFormat="1" ht="14.4" customHeight="1" thickBot="1" x14ac:dyDescent="0.35">
      <c r="B237" s="79" t="s">
        <v>59</v>
      </c>
      <c r="C237" s="52">
        <v>10000</v>
      </c>
      <c r="D237" s="12"/>
      <c r="E237" s="53" t="s">
        <v>70</v>
      </c>
      <c r="F237" s="12"/>
      <c r="G237" s="53"/>
      <c r="H237" s="12"/>
      <c r="I237" s="12"/>
      <c r="J237" s="12"/>
      <c r="K237" s="12"/>
      <c r="L237" s="13"/>
    </row>
    <row r="238" spans="2:16" s="31" customFormat="1" ht="14.4" customHeight="1" x14ac:dyDescent="0.3">
      <c r="B238" s="81" t="s">
        <v>37</v>
      </c>
      <c r="C238" s="55">
        <v>0.04</v>
      </c>
      <c r="D238" s="73" t="s">
        <v>71</v>
      </c>
      <c r="E238" s="82"/>
      <c r="F238" s="82"/>
      <c r="G238" s="82"/>
      <c r="H238" s="82"/>
      <c r="I238" s="82"/>
      <c r="J238" s="82"/>
      <c r="K238" s="82"/>
      <c r="L238" s="83"/>
    </row>
    <row r="239" spans="2:16" s="31" customFormat="1" ht="14.4" customHeight="1" x14ac:dyDescent="0.3">
      <c r="B239" s="81" t="s">
        <v>41</v>
      </c>
      <c r="C239" s="99">
        <v>11</v>
      </c>
      <c r="D239" s="73"/>
      <c r="E239" s="82"/>
      <c r="F239" s="82"/>
      <c r="G239" s="82"/>
      <c r="H239" s="82"/>
      <c r="I239" s="82"/>
      <c r="J239" s="82"/>
      <c r="K239" s="82"/>
      <c r="L239" s="83"/>
    </row>
    <row r="240" spans="2:16" s="31" customFormat="1" ht="14.4" customHeight="1" thickBot="1" x14ac:dyDescent="0.35">
      <c r="B240" s="81" t="s">
        <v>62</v>
      </c>
      <c r="C240" s="55">
        <v>2.2499999999999999E-2</v>
      </c>
      <c r="D240" s="73"/>
      <c r="E240" s="82"/>
      <c r="F240" s="82"/>
      <c r="G240" s="82"/>
      <c r="H240" s="82"/>
      <c r="I240" s="82"/>
      <c r="J240" s="82"/>
      <c r="K240" s="82"/>
      <c r="L240" s="83"/>
    </row>
    <row r="241" spans="2:13" s="31" customFormat="1" ht="14.4" customHeight="1" thickBot="1" x14ac:dyDescent="0.35">
      <c r="B241" s="85" t="s">
        <v>63</v>
      </c>
      <c r="C241" s="86">
        <f>1/((4*(1-(1+(((1+(C238/1))^(1/1))-1))^-0.25))+(4*(1-(1+C240)^(-0.25)))/(((1+C240)^C239)-1))*C237</f>
        <v>84002.927228549306</v>
      </c>
      <c r="D241" s="105">
        <f>ROUND((E241-M241),4)</f>
        <v>0.03</v>
      </c>
      <c r="E241" s="106">
        <f>ROUND((F241-M241),4)</f>
        <v>3.2500000000000001E-2</v>
      </c>
      <c r="F241" s="106">
        <f>ROUND((G241-M241),4)</f>
        <v>3.5000000000000003E-2</v>
      </c>
      <c r="G241" s="106">
        <f>ROUND((H241-M241),4)</f>
        <v>3.7499999999999999E-2</v>
      </c>
      <c r="H241" s="107">
        <v>0.04</v>
      </c>
      <c r="I241" s="106">
        <f>ROUND((H241+M241),4)</f>
        <v>4.2500000000000003E-2</v>
      </c>
      <c r="J241" s="106">
        <f>ROUND((I241+M241),4)</f>
        <v>4.4999999999999998E-2</v>
      </c>
      <c r="K241" s="106">
        <f>ROUND((J241+M241),4)</f>
        <v>4.7500000000000001E-2</v>
      </c>
      <c r="L241" s="108">
        <f>ROUND((K241+M241),4)</f>
        <v>0.05</v>
      </c>
      <c r="M241" s="107">
        <v>2.5000000000000001E-3</v>
      </c>
    </row>
    <row r="242" spans="2:13" s="31" customFormat="1" ht="14.4" customHeight="1" x14ac:dyDescent="0.3">
      <c r="B242" s="16"/>
      <c r="C242" s="110">
        <f>C243-C253</f>
        <v>6</v>
      </c>
      <c r="D242" s="17">
        <f t="dataTable" ref="D242:L252" dt2D="1" dtr="1" r1="C238" r2="C239"/>
        <v>54110.741145360225</v>
      </c>
      <c r="E242" s="18">
        <v>53415.419922672518</v>
      </c>
      <c r="F242" s="18">
        <v>52739.763778691398</v>
      </c>
      <c r="G242" s="18">
        <v>52082.948318711344</v>
      </c>
      <c r="H242" s="18">
        <v>51444.194601183015</v>
      </c>
      <c r="I242" s="18">
        <v>50822.766047662146</v>
      </c>
      <c r="J242" s="18">
        <v>50217.965601461627</v>
      </c>
      <c r="K242" s="18">
        <v>49629.133111965566</v>
      </c>
      <c r="L242" s="19">
        <v>49055.642923967192</v>
      </c>
    </row>
    <row r="243" spans="2:13" s="31" customFormat="1" ht="14.4" customHeight="1" x14ac:dyDescent="0.3">
      <c r="B243" s="16"/>
      <c r="C243" s="110">
        <f>C244-C253</f>
        <v>7</v>
      </c>
      <c r="D243" s="20">
        <v>62071.756419797966</v>
      </c>
      <c r="E243" s="21">
        <v>61158.513504991606</v>
      </c>
      <c r="F243" s="21">
        <v>60274.394591843986</v>
      </c>
      <c r="G243" s="21">
        <v>59418.02605616214</v>
      </c>
      <c r="H243" s="21">
        <v>58588.119329309658</v>
      </c>
      <c r="I243" s="21">
        <v>57783.464415131552</v>
      </c>
      <c r="J243" s="21">
        <v>57002.923990954827</v>
      </c>
      <c r="K243" s="21">
        <v>56245.428032185242</v>
      </c>
      <c r="L243" s="22">
        <v>55509.968907067909</v>
      </c>
    </row>
    <row r="244" spans="2:13" s="31" customFormat="1" ht="14.4" customHeight="1" x14ac:dyDescent="0.3">
      <c r="B244" s="16"/>
      <c r="C244" s="110">
        <f>C245-C253</f>
        <v>8</v>
      </c>
      <c r="D244" s="20">
        <v>69765.47002021817</v>
      </c>
      <c r="E244" s="21">
        <v>68613.906166063374</v>
      </c>
      <c r="F244" s="21">
        <v>67503.053489186568</v>
      </c>
      <c r="G244" s="21">
        <v>66430.78770951656</v>
      </c>
      <c r="H244" s="21">
        <v>65395.129824757809</v>
      </c>
      <c r="I244" s="21">
        <v>64394.233899778548</v>
      </c>
      <c r="J244" s="21">
        <v>63426.37606720077</v>
      </c>
      <c r="K244" s="21">
        <v>62489.944601309609</v>
      </c>
      <c r="L244" s="22">
        <v>61583.430945044704</v>
      </c>
    </row>
    <row r="245" spans="2:13" s="31" customFormat="1" ht="14.4" customHeight="1" x14ac:dyDescent="0.3">
      <c r="B245" s="16"/>
      <c r="C245" s="110">
        <f>C246-C253</f>
        <v>9</v>
      </c>
      <c r="D245" s="20">
        <v>77203.311307461074</v>
      </c>
      <c r="E245" s="21">
        <v>75795.594654195767</v>
      </c>
      <c r="F245" s="21">
        <v>74442.32361343551</v>
      </c>
      <c r="G245" s="21">
        <v>73140.395955629923</v>
      </c>
      <c r="H245" s="21">
        <v>71886.940754883501</v>
      </c>
      <c r="I245" s="21">
        <v>70679.297225693139</v>
      </c>
      <c r="J245" s="21">
        <v>69514.995841541939</v>
      </c>
      <c r="K245" s="21">
        <v>68391.741453381954</v>
      </c>
      <c r="L245" s="22">
        <v>67307.398165160019</v>
      </c>
    </row>
    <row r="246" spans="2:13" s="31" customFormat="1" ht="14.4" customHeight="1" thickBot="1" x14ac:dyDescent="0.35">
      <c r="B246" s="16"/>
      <c r="C246" s="110">
        <f>C247-C253</f>
        <v>10</v>
      </c>
      <c r="D246" s="20">
        <v>84396.084457494871</v>
      </c>
      <c r="E246" s="21">
        <v>82716.697255296618</v>
      </c>
      <c r="F246" s="21">
        <v>81107.624176849175</v>
      </c>
      <c r="G246" s="21">
        <v>79564.53566434879</v>
      </c>
      <c r="H246" s="21">
        <v>78083.450483789362</v>
      </c>
      <c r="I246" s="21">
        <v>76660.701386083543</v>
      </c>
      <c r="J246" s="21">
        <v>75292.904751919996</v>
      </c>
      <c r="K246" s="21">
        <v>73976.933691399972</v>
      </c>
      <c r="L246" s="22">
        <v>72709.894148260923</v>
      </c>
    </row>
    <row r="247" spans="2:13" s="31" customFormat="1" ht="14.4" customHeight="1" thickBot="1" x14ac:dyDescent="0.35">
      <c r="B247" s="23"/>
      <c r="C247" s="111">
        <v>11</v>
      </c>
      <c r="D247" s="20">
        <v>91354.010673545839</v>
      </c>
      <c r="E247" s="21">
        <v>89389.52173300022</v>
      </c>
      <c r="F247" s="21">
        <v>87513.310931972286</v>
      </c>
      <c r="G247" s="21">
        <v>85719.553794532767</v>
      </c>
      <c r="H247" s="21">
        <v>84002.927228549306</v>
      </c>
      <c r="I247" s="21">
        <v>82358.556711826895</v>
      </c>
      <c r="J247" s="21">
        <v>80781.970016358871</v>
      </c>
      <c r="K247" s="21">
        <v>79269.05654549801</v>
      </c>
      <c r="L247" s="22">
        <v>77816.031505506369</v>
      </c>
    </row>
    <row r="248" spans="2:13" s="31" customFormat="1" ht="14.4" customHeight="1" x14ac:dyDescent="0.3">
      <c r="B248" s="16"/>
      <c r="C248" s="110">
        <f>C247+C253</f>
        <v>12</v>
      </c>
      <c r="D248" s="20">
        <v>98086.767018205835</v>
      </c>
      <c r="E248" s="21">
        <v>95825.627054232216</v>
      </c>
      <c r="F248" s="21">
        <v>93672.766406918541</v>
      </c>
      <c r="G248" s="21">
        <v>91620.583688999453</v>
      </c>
      <c r="H248" s="21">
        <v>89662.172775770348</v>
      </c>
      <c r="I248" s="21">
        <v>87791.245091501361</v>
      </c>
      <c r="J248" s="21">
        <v>86002.062091723419</v>
      </c>
      <c r="K248" s="21">
        <v>84289.376414163271</v>
      </c>
      <c r="L248" s="22">
        <v>82648.380427055556</v>
      </c>
    </row>
    <row r="249" spans="2:13" s="31" customFormat="1" ht="14.4" customHeight="1" x14ac:dyDescent="0.3">
      <c r="B249" s="16"/>
      <c r="C249" s="110">
        <f>C248+C253</f>
        <v>13</v>
      </c>
      <c r="D249" s="20">
        <v>104603.52217716388</v>
      </c>
      <c r="E249" s="21">
        <v>102035.87955346981</v>
      </c>
      <c r="F249" s="21">
        <v>99598.481101407117</v>
      </c>
      <c r="G249" s="21">
        <v>97281.655761124479</v>
      </c>
      <c r="H249" s="21">
        <v>95076.666852057679</v>
      </c>
      <c r="I249" s="21">
        <v>92975.60188910157</v>
      </c>
      <c r="J249" s="21">
        <v>90971.277631240839</v>
      </c>
      <c r="K249" s="21">
        <v>89057.157961184057</v>
      </c>
      <c r="L249" s="22">
        <v>87227.282617686782</v>
      </c>
    </row>
    <row r="250" spans="2:13" s="31" customFormat="1" ht="14.4" customHeight="1" x14ac:dyDescent="0.3">
      <c r="B250" s="16"/>
      <c r="C250" s="110">
        <f>C249+C253</f>
        <v>14</v>
      </c>
      <c r="D250" s="20">
        <v>110912.96943379898</v>
      </c>
      <c r="E250" s="21">
        <v>108030.50411164066</v>
      </c>
      <c r="F250" s="21">
        <v>105302.1266826236</v>
      </c>
      <c r="G250" s="21">
        <v>102715.7962801525</v>
      </c>
      <c r="H250" s="21">
        <v>100260.69476395669</v>
      </c>
      <c r="I250" s="21">
        <v>97927.075355736364</v>
      </c>
      <c r="J250" s="21">
        <v>95706.133216879593</v>
      </c>
      <c r="K250" s="21">
        <v>93589.894344906759</v>
      </c>
      <c r="L250" s="22">
        <v>91571.119833332879</v>
      </c>
    </row>
    <row r="251" spans="2:13" s="31" customFormat="1" ht="14.4" customHeight="1" x14ac:dyDescent="0.3">
      <c r="B251" s="16"/>
      <c r="C251" s="110">
        <f>C250+C253</f>
        <v>15</v>
      </c>
      <c r="D251" s="20">
        <v>117023.3571052037</v>
      </c>
      <c r="E251" s="21">
        <v>113819.13085843289</v>
      </c>
      <c r="F251" s="21">
        <v>110794.62208567749</v>
      </c>
      <c r="G251" s="21">
        <v>107935.1157218572</v>
      </c>
      <c r="H251" s="21">
        <v>105227.4605264651</v>
      </c>
      <c r="I251" s="21">
        <v>102659.8667180531</v>
      </c>
      <c r="J251" s="21">
        <v>100221.73424028659</v>
      </c>
      <c r="K251" s="21">
        <v>97903.506383291795</v>
      </c>
      <c r="L251" s="22">
        <v>95696.544497728552</v>
      </c>
    </row>
    <row r="252" spans="2:13" s="31" customFormat="1" ht="14.4" customHeight="1" thickBot="1" x14ac:dyDescent="0.35">
      <c r="B252" s="16"/>
      <c r="C252" s="112">
        <f>C251+C253</f>
        <v>16</v>
      </c>
      <c r="D252" s="24">
        <v>122942.51666481019</v>
      </c>
      <c r="E252" s="25">
        <v>119410.83784830429</v>
      </c>
      <c r="F252" s="25">
        <v>116086.19330834935</v>
      </c>
      <c r="G252" s="25">
        <v>112950.88794820657</v>
      </c>
      <c r="H252" s="25">
        <v>109989.1873690834</v>
      </c>
      <c r="I252" s="25">
        <v>107187.053621926</v>
      </c>
      <c r="J252" s="25">
        <v>104531.92257358921</v>
      </c>
      <c r="K252" s="25">
        <v>102012.51543716549</v>
      </c>
      <c r="L252" s="26">
        <v>99618.67850257855</v>
      </c>
    </row>
    <row r="253" spans="2:13" s="31" customFormat="1" ht="14.4" customHeight="1" thickBot="1" x14ac:dyDescent="0.35">
      <c r="B253" s="11"/>
      <c r="C253" s="114">
        <v>1</v>
      </c>
      <c r="D253" s="12"/>
      <c r="E253" s="12"/>
      <c r="F253" s="12"/>
      <c r="G253" s="12"/>
      <c r="H253" s="12"/>
      <c r="I253" s="12"/>
      <c r="J253" s="12"/>
      <c r="K253" s="12"/>
      <c r="L253" s="13"/>
    </row>
    <row r="254" spans="2:13" s="31" customFormat="1" ht="14.4" customHeight="1" thickBot="1" x14ac:dyDescent="0.35"/>
    <row r="255" spans="2:13" s="31" customFormat="1" ht="14.4" customHeight="1" thickBot="1" x14ac:dyDescent="0.35">
      <c r="B255" s="51" t="s">
        <v>59</v>
      </c>
      <c r="C255" s="52">
        <v>22500</v>
      </c>
      <c r="D255" s="12"/>
      <c r="E255" s="53" t="s">
        <v>72</v>
      </c>
      <c r="F255" s="12"/>
      <c r="G255" s="53"/>
      <c r="H255" s="12"/>
      <c r="I255" s="12"/>
      <c r="J255" s="12"/>
      <c r="K255" s="12"/>
      <c r="L255" s="13"/>
    </row>
    <row r="256" spans="2:13" s="31" customFormat="1" ht="14.4" customHeight="1" x14ac:dyDescent="0.3">
      <c r="B256" s="100" t="s">
        <v>39</v>
      </c>
      <c r="C256" s="101">
        <v>7.0000000000000007E-2</v>
      </c>
      <c r="D256" s="73" t="s">
        <v>73</v>
      </c>
      <c r="E256" s="82"/>
      <c r="F256" s="82"/>
      <c r="G256" s="82"/>
      <c r="H256" s="82"/>
      <c r="I256" s="82"/>
      <c r="J256" s="82"/>
      <c r="K256" s="82"/>
      <c r="L256" s="83"/>
    </row>
    <row r="257" spans="2:13" s="31" customFormat="1" ht="14.4" customHeight="1" thickBot="1" x14ac:dyDescent="0.35">
      <c r="B257" s="100"/>
      <c r="C257" s="102">
        <v>999.99</v>
      </c>
      <c r="D257" s="73"/>
      <c r="E257" s="82"/>
      <c r="F257" s="82"/>
      <c r="G257" s="82"/>
      <c r="H257" s="82"/>
      <c r="I257" s="82"/>
      <c r="J257" s="82"/>
      <c r="K257" s="82"/>
      <c r="L257" s="83"/>
    </row>
    <row r="258" spans="2:13" s="31" customFormat="1" ht="14.4" customHeight="1" thickBot="1" x14ac:dyDescent="0.35">
      <c r="B258" s="28"/>
      <c r="C258" s="103">
        <f>SUM(1/C256)*C255</f>
        <v>321428.57142857142</v>
      </c>
      <c r="D258" s="105">
        <f>ROUND((E258-M258),4)</f>
        <v>0.06</v>
      </c>
      <c r="E258" s="106">
        <f>ROUND((F258-M258),4)</f>
        <v>6.25E-2</v>
      </c>
      <c r="F258" s="106">
        <f>ROUND((G258-M258),4)</f>
        <v>6.5000000000000002E-2</v>
      </c>
      <c r="G258" s="106">
        <f>ROUND((H258-M258),4)</f>
        <v>6.7500000000000004E-2</v>
      </c>
      <c r="H258" s="107">
        <v>7.0000000000000007E-2</v>
      </c>
      <c r="I258" s="106">
        <f>ROUND((H258+M258),4)</f>
        <v>7.2499999999999995E-2</v>
      </c>
      <c r="J258" s="106">
        <f>ROUND((I258+M258),4)</f>
        <v>7.4999999999999997E-2</v>
      </c>
      <c r="K258" s="106">
        <f>ROUND((J258+M258),4)</f>
        <v>7.7499999999999999E-2</v>
      </c>
      <c r="L258" s="108">
        <f>ROUND((K258+M258),4)</f>
        <v>0.08</v>
      </c>
      <c r="M258" s="107">
        <v>2.5000000000000001E-3</v>
      </c>
    </row>
    <row r="259" spans="2:13" s="31" customFormat="1" ht="14.4" customHeight="1" thickBot="1" x14ac:dyDescent="0.35">
      <c r="B259" s="16"/>
      <c r="C259" s="152">
        <f>C255</f>
        <v>22500</v>
      </c>
      <c r="D259" s="17">
        <f t="dataTable" ref="D259:L259" dt2D="1" dtr="1" r1="C256" r2="C255" ca="1"/>
        <v>375000</v>
      </c>
      <c r="E259" s="18">
        <v>360000</v>
      </c>
      <c r="F259" s="18">
        <v>346153.84615384613</v>
      </c>
      <c r="G259" s="18">
        <v>333333.33333333331</v>
      </c>
      <c r="H259" s="18">
        <v>321428.57142857142</v>
      </c>
      <c r="I259" s="18">
        <v>310344.8275862069</v>
      </c>
      <c r="J259" s="18">
        <v>300000</v>
      </c>
      <c r="K259" s="18">
        <v>290322.58064516133</v>
      </c>
      <c r="L259" s="19">
        <v>281250</v>
      </c>
    </row>
    <row r="260" spans="2:13" s="31" customFormat="1" ht="14.4" customHeight="1" thickBot="1" x14ac:dyDescent="0.35">
      <c r="B260" s="11"/>
      <c r="C260" s="27"/>
      <c r="D260" s="12"/>
      <c r="E260" s="12"/>
      <c r="F260" s="12"/>
      <c r="G260" s="12"/>
      <c r="H260" s="12"/>
      <c r="I260" s="12"/>
      <c r="J260" s="12"/>
      <c r="K260" s="12"/>
      <c r="L260" s="13"/>
    </row>
    <row r="261" spans="2:13" s="31" customFormat="1" ht="14.4" customHeight="1" thickBot="1" x14ac:dyDescent="0.35"/>
    <row r="262" spans="2:13" s="31" customFormat="1" ht="14.4" customHeight="1" thickBot="1" x14ac:dyDescent="0.35">
      <c r="B262" s="51" t="s">
        <v>59</v>
      </c>
      <c r="C262" s="52">
        <v>12000</v>
      </c>
      <c r="D262" s="12"/>
      <c r="E262" s="53" t="s">
        <v>74</v>
      </c>
      <c r="F262" s="53"/>
      <c r="G262" s="53"/>
      <c r="H262" s="12"/>
      <c r="I262" s="12"/>
      <c r="J262" s="12"/>
      <c r="K262" s="12"/>
      <c r="L262" s="13"/>
    </row>
    <row r="263" spans="2:13" s="31" customFormat="1" ht="14.4" customHeight="1" x14ac:dyDescent="0.3">
      <c r="B263" s="100" t="s">
        <v>39</v>
      </c>
      <c r="C263" s="101">
        <v>0.08</v>
      </c>
      <c r="D263" s="73" t="s">
        <v>75</v>
      </c>
      <c r="E263" s="82"/>
      <c r="F263" s="82"/>
      <c r="G263" s="82"/>
      <c r="H263" s="82"/>
      <c r="I263" s="82"/>
      <c r="J263" s="82"/>
      <c r="K263" s="82"/>
      <c r="L263" s="83"/>
    </row>
    <row r="264" spans="2:13" s="31" customFormat="1" ht="14.4" customHeight="1" thickBot="1" x14ac:dyDescent="0.35">
      <c r="B264" s="100"/>
      <c r="C264" s="102">
        <v>999.99</v>
      </c>
      <c r="D264" s="73"/>
      <c r="E264" s="82"/>
      <c r="F264" s="82"/>
      <c r="G264" s="82"/>
      <c r="H264" s="82"/>
      <c r="I264" s="82"/>
      <c r="J264" s="82"/>
      <c r="K264" s="82"/>
      <c r="L264" s="83"/>
    </row>
    <row r="265" spans="2:13" s="31" customFormat="1" ht="14.4" customHeight="1" thickBot="1" x14ac:dyDescent="0.35">
      <c r="B265" s="28"/>
      <c r="C265" s="62">
        <f>1/(4*(1-(1+(((1+(C263/1))^(1/1))-1))^-0.25))*C262</f>
        <v>157427.85659052664</v>
      </c>
      <c r="D265" s="105">
        <f>ROUND((E265-M265),4)</f>
        <v>7.0000000000000007E-2</v>
      </c>
      <c r="E265" s="106">
        <f>ROUND((F265-M265),4)</f>
        <v>7.2499999999999995E-2</v>
      </c>
      <c r="F265" s="106">
        <f>ROUND((G265-M265),4)</f>
        <v>7.4999999999999997E-2</v>
      </c>
      <c r="G265" s="106">
        <f>ROUND((H265-M265),4)</f>
        <v>7.7499999999999999E-2</v>
      </c>
      <c r="H265" s="107">
        <v>0.08</v>
      </c>
      <c r="I265" s="106">
        <f>ROUND((H265+M265),4)</f>
        <v>8.2500000000000004E-2</v>
      </c>
      <c r="J265" s="106">
        <f>ROUND((I265+M265),4)</f>
        <v>8.5000000000000006E-2</v>
      </c>
      <c r="K265" s="106">
        <f>ROUND((J265+M265),4)</f>
        <v>8.7499999999999994E-2</v>
      </c>
      <c r="L265" s="108">
        <f>ROUND((K265+M265),4)</f>
        <v>0.09</v>
      </c>
      <c r="M265" s="107">
        <v>2.5000000000000001E-3</v>
      </c>
    </row>
    <row r="266" spans="2:13" s="31" customFormat="1" ht="14.4" customHeight="1" thickBot="1" x14ac:dyDescent="0.35">
      <c r="B266" s="16"/>
      <c r="C266" s="152">
        <f>C262</f>
        <v>12000</v>
      </c>
      <c r="D266" s="17">
        <f t="dataTable" ref="D266:L266" dt2D="1" dtr="1" r1="C263" r2="C262" ca="1"/>
        <v>178865.14658690817</v>
      </c>
      <c r="E266" s="18">
        <v>172951.62922253861</v>
      </c>
      <c r="F266" s="18">
        <v>167432.20565864514</v>
      </c>
      <c r="G266" s="18">
        <v>162268.73825933761</v>
      </c>
      <c r="H266" s="18">
        <v>157427.85659052664</v>
      </c>
      <c r="I266" s="18">
        <v>152880.235116639</v>
      </c>
      <c r="J266" s="18">
        <v>148599.99836262956</v>
      </c>
      <c r="K266" s="18">
        <v>144564.2280481999</v>
      </c>
      <c r="L266" s="19">
        <v>140752.55236633515</v>
      </c>
    </row>
    <row r="267" spans="2:13" s="31" customFormat="1" ht="14.4" customHeight="1" thickBot="1" x14ac:dyDescent="0.35">
      <c r="B267" s="11"/>
      <c r="C267" s="27"/>
      <c r="D267" s="12"/>
      <c r="E267" s="12"/>
      <c r="F267" s="12"/>
      <c r="G267" s="12"/>
      <c r="H267" s="12"/>
      <c r="I267" s="12"/>
      <c r="J267" s="12"/>
      <c r="K267" s="12"/>
      <c r="L267" s="13"/>
    </row>
    <row r="268" spans="2:13" s="31" customFormat="1" ht="14.4" customHeight="1" thickBot="1" x14ac:dyDescent="0.35"/>
    <row r="269" spans="2:13" s="31" customFormat="1" ht="14.4" customHeight="1" thickBot="1" x14ac:dyDescent="0.35">
      <c r="B269" s="51" t="s">
        <v>1</v>
      </c>
      <c r="C269" s="52">
        <v>15000</v>
      </c>
      <c r="D269" s="12"/>
      <c r="E269" s="53" t="s">
        <v>76</v>
      </c>
      <c r="F269" s="53"/>
      <c r="G269" s="12"/>
      <c r="H269" s="12"/>
      <c r="I269" s="12"/>
      <c r="J269" s="12"/>
      <c r="K269" s="12"/>
      <c r="L269" s="13"/>
    </row>
    <row r="270" spans="2:13" s="31" customFormat="1" ht="14.4" customHeight="1" x14ac:dyDescent="0.3">
      <c r="B270" s="100" t="s">
        <v>39</v>
      </c>
      <c r="C270" s="64">
        <v>0.05</v>
      </c>
      <c r="D270" s="56" t="s">
        <v>77</v>
      </c>
      <c r="E270" s="56"/>
      <c r="F270" s="56"/>
      <c r="G270" s="56"/>
      <c r="H270" s="56"/>
      <c r="I270" s="56"/>
      <c r="J270" s="56"/>
      <c r="K270" s="56"/>
      <c r="L270" s="57"/>
    </row>
    <row r="271" spans="2:13" s="31" customFormat="1" ht="14.4" customHeight="1" thickBot="1" x14ac:dyDescent="0.35">
      <c r="B271" s="54" t="s">
        <v>4</v>
      </c>
      <c r="C271" s="65">
        <v>7</v>
      </c>
      <c r="D271" s="59"/>
      <c r="E271" s="59"/>
      <c r="F271" s="59"/>
      <c r="G271" s="59"/>
      <c r="H271" s="59"/>
      <c r="I271" s="59"/>
      <c r="J271" s="59"/>
      <c r="K271" s="59"/>
      <c r="L271" s="60"/>
    </row>
    <row r="272" spans="2:13" s="31" customFormat="1" ht="14.4" customHeight="1" thickBot="1" x14ac:dyDescent="0.35">
      <c r="B272" s="28"/>
      <c r="C272" s="62">
        <f>(((1+C270)^-C271)/C270)*C269</f>
        <v>213204.39903903642</v>
      </c>
      <c r="D272" s="105">
        <f>ROUND((E272-M272),4)</f>
        <v>0.04</v>
      </c>
      <c r="E272" s="106">
        <f>ROUND((F272-M272),4)</f>
        <v>4.2500000000000003E-2</v>
      </c>
      <c r="F272" s="106">
        <f>ROUND((G272-M272),4)</f>
        <v>4.4999999999999998E-2</v>
      </c>
      <c r="G272" s="106">
        <f>ROUND((H272-M272),4)</f>
        <v>4.7500000000000001E-2</v>
      </c>
      <c r="H272" s="107">
        <v>0.05</v>
      </c>
      <c r="I272" s="106">
        <f>ROUND((H272+M272),4)</f>
        <v>5.2499999999999998E-2</v>
      </c>
      <c r="J272" s="106">
        <f>ROUND((I272+M272),4)</f>
        <v>5.5E-2</v>
      </c>
      <c r="K272" s="106">
        <f>ROUND((J272+M272),4)</f>
        <v>5.7500000000000002E-2</v>
      </c>
      <c r="L272" s="108">
        <f>ROUND((K272+M272),4)</f>
        <v>0.06</v>
      </c>
      <c r="M272" s="107">
        <v>2.5000000000000001E-3</v>
      </c>
    </row>
    <row r="273" spans="2:12" s="31" customFormat="1" ht="14.4" customHeight="1" x14ac:dyDescent="0.3">
      <c r="B273" s="16"/>
      <c r="C273" s="110">
        <f>C274-C284</f>
        <v>2</v>
      </c>
      <c r="D273" s="17">
        <f t="dataTable" ref="D273:L283" dt2D="1" dtr="1" r1="C270" r2="C271"/>
        <v>346708.5798816568</v>
      </c>
      <c r="E273" s="18">
        <v>324750.77914815838</v>
      </c>
      <c r="F273" s="18">
        <v>305243.31707912672</v>
      </c>
      <c r="G273" s="18">
        <v>287799.20249641815</v>
      </c>
      <c r="H273" s="18">
        <v>272108.84353741491</v>
      </c>
      <c r="I273" s="18">
        <v>257921.61923192555</v>
      </c>
      <c r="J273" s="18">
        <v>245032.47701289077</v>
      </c>
      <c r="K273" s="18">
        <v>233272.02652886117</v>
      </c>
      <c r="L273" s="19">
        <v>222499.11000355997</v>
      </c>
    </row>
    <row r="274" spans="2:12" s="31" customFormat="1" ht="14.4" customHeight="1" x14ac:dyDescent="0.3">
      <c r="B274" s="16"/>
      <c r="C274" s="110">
        <f>C275-C284</f>
        <v>3</v>
      </c>
      <c r="D274" s="20">
        <v>333373.63450159307</v>
      </c>
      <c r="E274" s="21">
        <v>311511.5387512311</v>
      </c>
      <c r="F274" s="21">
        <v>292098.86801830307</v>
      </c>
      <c r="G274" s="21">
        <v>274748.64200135384</v>
      </c>
      <c r="H274" s="21">
        <v>259151.27955944277</v>
      </c>
      <c r="I274" s="21">
        <v>245056.17029161571</v>
      </c>
      <c r="J274" s="21">
        <v>232258.27205013344</v>
      </c>
      <c r="K274" s="21">
        <v>220588.20475542426</v>
      </c>
      <c r="L274" s="22">
        <v>209904.8207580754</v>
      </c>
    </row>
    <row r="275" spans="2:12" s="31" customFormat="1" ht="14.4" customHeight="1" x14ac:dyDescent="0.3">
      <c r="B275" s="16"/>
      <c r="C275" s="110">
        <f>C276-C284</f>
        <v>4</v>
      </c>
      <c r="D275" s="20">
        <v>320551.57163614716</v>
      </c>
      <c r="E275" s="21">
        <v>298812.02757911856</v>
      </c>
      <c r="F275" s="21">
        <v>279520.447864405</v>
      </c>
      <c r="G275" s="21">
        <v>262289.87303231866</v>
      </c>
      <c r="H275" s="21">
        <v>246810.74243756456</v>
      </c>
      <c r="I275" s="21">
        <v>232832.46583526436</v>
      </c>
      <c r="J275" s="21">
        <v>220150.02090060044</v>
      </c>
      <c r="K275" s="21">
        <v>208594.04705004653</v>
      </c>
      <c r="L275" s="22">
        <v>198023.41580950512</v>
      </c>
    </row>
    <row r="276" spans="2:12" s="31" customFormat="1" ht="14.4" customHeight="1" x14ac:dyDescent="0.3">
      <c r="B276" s="16"/>
      <c r="C276" s="110">
        <f>C277-C284</f>
        <v>5</v>
      </c>
      <c r="D276" s="20">
        <v>308222.66503475682</v>
      </c>
      <c r="E276" s="21">
        <v>286630.24228212814</v>
      </c>
      <c r="F276" s="21">
        <v>267483.68216689472</v>
      </c>
      <c r="G276" s="21">
        <v>250396.06017405124</v>
      </c>
      <c r="H276" s="21">
        <v>235057.84994053768</v>
      </c>
      <c r="I276" s="21">
        <v>221218.49485535809</v>
      </c>
      <c r="J276" s="21">
        <v>208673.00559298621</v>
      </c>
      <c r="K276" s="21">
        <v>197252.05394803453</v>
      </c>
      <c r="L276" s="22">
        <v>186814.54321651423</v>
      </c>
    </row>
    <row r="277" spans="2:12" s="31" customFormat="1" ht="14.4" customHeight="1" thickBot="1" x14ac:dyDescent="0.35">
      <c r="B277" s="16"/>
      <c r="C277" s="110">
        <f>C278-C284</f>
        <v>6</v>
      </c>
      <c r="D277" s="20">
        <v>296367.94714880467</v>
      </c>
      <c r="E277" s="21">
        <v>274945.07652961928</v>
      </c>
      <c r="F277" s="21">
        <v>255965.24609272226</v>
      </c>
      <c r="G277" s="21">
        <v>239041.58489169562</v>
      </c>
      <c r="H277" s="21">
        <v>223864.61899098827</v>
      </c>
      <c r="I277" s="21">
        <v>210183.84309297678</v>
      </c>
      <c r="J277" s="21">
        <v>197794.31809761724</v>
      </c>
      <c r="K277" s="21">
        <v>186526.76496268035</v>
      </c>
      <c r="L277" s="22">
        <v>176240.13510991909</v>
      </c>
    </row>
    <row r="278" spans="2:12" s="31" customFormat="1" ht="14.4" customHeight="1" thickBot="1" x14ac:dyDescent="0.35">
      <c r="B278" s="23"/>
      <c r="C278" s="111">
        <v>7</v>
      </c>
      <c r="D278" s="20">
        <v>284969.17995077372</v>
      </c>
      <c r="E278" s="21">
        <v>263736.28444088181</v>
      </c>
      <c r="F278" s="21">
        <v>244942.81922748539</v>
      </c>
      <c r="G278" s="21">
        <v>228201.99035006741</v>
      </c>
      <c r="H278" s="21">
        <v>213204.39903903642</v>
      </c>
      <c r="I278" s="21">
        <v>199699.6133900017</v>
      </c>
      <c r="J278" s="21">
        <v>187482.76596930547</v>
      </c>
      <c r="K278" s="21">
        <v>176384.64771884665</v>
      </c>
      <c r="L278" s="22">
        <v>166264.27840558399</v>
      </c>
    </row>
    <row r="279" spans="2:12" s="31" customFormat="1" ht="14.4" customHeight="1" x14ac:dyDescent="0.3">
      <c r="B279" s="16"/>
      <c r="C279" s="110">
        <f>C278+C284</f>
        <v>8</v>
      </c>
      <c r="D279" s="20">
        <v>274008.82687574392</v>
      </c>
      <c r="E279" s="21">
        <v>252984.44550684109</v>
      </c>
      <c r="F279" s="21">
        <v>234395.04232295262</v>
      </c>
      <c r="G279" s="21">
        <v>217853.92873514787</v>
      </c>
      <c r="H279" s="21">
        <v>203051.80860860617</v>
      </c>
      <c r="I279" s="21">
        <v>189738.3500142534</v>
      </c>
      <c r="J279" s="21">
        <v>177708.7829092943</v>
      </c>
      <c r="K279" s="21">
        <v>166793.99311474859</v>
      </c>
      <c r="L279" s="22">
        <v>156853.09283545663</v>
      </c>
    </row>
    <row r="280" spans="2:12" s="31" customFormat="1" ht="14.4" customHeight="1" x14ac:dyDescent="0.3">
      <c r="B280" s="16"/>
      <c r="C280" s="110">
        <f>C279+C284</f>
        <v>9</v>
      </c>
      <c r="D280" s="20">
        <v>263470.02584206138</v>
      </c>
      <c r="E280" s="21">
        <v>242670.930941814</v>
      </c>
      <c r="F280" s="21">
        <v>224301.47590713174</v>
      </c>
      <c r="G280" s="21">
        <v>207975.11096434164</v>
      </c>
      <c r="H280" s="21">
        <v>193382.67486533916</v>
      </c>
      <c r="I280" s="21">
        <v>180273.96675938563</v>
      </c>
      <c r="J280" s="21">
        <v>168444.34398985241</v>
      </c>
      <c r="K280" s="21">
        <v>157724.8161841594</v>
      </c>
      <c r="L280" s="22">
        <v>147974.61588250624</v>
      </c>
    </row>
    <row r="281" spans="2:12" s="31" customFormat="1" ht="14.4" customHeight="1" x14ac:dyDescent="0.3">
      <c r="B281" s="16"/>
      <c r="C281" s="110">
        <f>C280+C284</f>
        <v>10</v>
      </c>
      <c r="D281" s="20">
        <v>253336.56330967444</v>
      </c>
      <c r="E281" s="21">
        <v>232777.87140701586</v>
      </c>
      <c r="F281" s="21">
        <v>214642.56067668108</v>
      </c>
      <c r="G281" s="21">
        <v>198544.25867717576</v>
      </c>
      <c r="H281" s="21">
        <v>184173.9760622278</v>
      </c>
      <c r="I281" s="21">
        <v>171281.67863124528</v>
      </c>
      <c r="J281" s="21">
        <v>159662.88529843831</v>
      </c>
      <c r="K281" s="21">
        <v>149148.76234908687</v>
      </c>
      <c r="L281" s="22">
        <v>139598.69422877947</v>
      </c>
    </row>
    <row r="282" spans="2:12" s="31" customFormat="1" ht="14.4" customHeight="1" x14ac:dyDescent="0.3">
      <c r="B282" s="16"/>
      <c r="C282" s="110">
        <f>C281+C284</f>
        <v>11</v>
      </c>
      <c r="D282" s="20">
        <v>243592.84933622542</v>
      </c>
      <c r="E282" s="21">
        <v>223288.12604989528</v>
      </c>
      <c r="F282" s="21">
        <v>205399.57959491014</v>
      </c>
      <c r="G282" s="21">
        <v>189541.05840303173</v>
      </c>
      <c r="H282" s="21">
        <v>175403.78672593122</v>
      </c>
      <c r="I282" s="21">
        <v>162737.93694180073</v>
      </c>
      <c r="J282" s="21">
        <v>151339.22777103155</v>
      </c>
      <c r="K282" s="21">
        <v>141039.01876982208</v>
      </c>
      <c r="L282" s="22">
        <v>131696.88134790515</v>
      </c>
    </row>
    <row r="283" spans="2:12" s="31" customFormat="1" ht="14.4" customHeight="1" thickBot="1" x14ac:dyDescent="0.35">
      <c r="B283" s="16"/>
      <c r="C283" s="112">
        <f>C282+C284</f>
        <v>12</v>
      </c>
      <c r="D283" s="24">
        <v>234223.89359252443</v>
      </c>
      <c r="E283" s="25">
        <v>214185.25280565498</v>
      </c>
      <c r="F283" s="25">
        <v>196554.62162192361</v>
      </c>
      <c r="G283" s="25">
        <v>180946.11780719017</v>
      </c>
      <c r="H283" s="25">
        <v>167051.22545326783</v>
      </c>
      <c r="I283" s="25">
        <v>154620.36764066576</v>
      </c>
      <c r="J283" s="25">
        <v>143449.50499623848</v>
      </c>
      <c r="K283" s="25">
        <v>133370.2305151982</v>
      </c>
      <c r="L283" s="26">
        <v>124242.34089425014</v>
      </c>
    </row>
    <row r="284" spans="2:12" s="31" customFormat="1" ht="14.4" customHeight="1" thickBot="1" x14ac:dyDescent="0.35">
      <c r="B284" s="11"/>
      <c r="C284" s="114">
        <v>1</v>
      </c>
      <c r="D284" s="12"/>
      <c r="E284" s="12"/>
      <c r="F284" s="12"/>
      <c r="G284" s="12"/>
      <c r="H284" s="12"/>
      <c r="I284" s="12"/>
      <c r="J284" s="12"/>
      <c r="K284" s="12"/>
      <c r="L284" s="13"/>
    </row>
    <row r="285" spans="2:12" s="31" customFormat="1" ht="14.4" customHeight="1" thickBot="1" x14ac:dyDescent="0.35"/>
    <row r="286" spans="2:12" s="31" customFormat="1" ht="14.4" customHeight="1" thickBot="1" x14ac:dyDescent="0.35">
      <c r="B286" s="51" t="s">
        <v>1</v>
      </c>
      <c r="C286" s="52">
        <v>18000</v>
      </c>
      <c r="D286" s="12"/>
      <c r="E286" s="53" t="s">
        <v>78</v>
      </c>
      <c r="F286" s="12"/>
      <c r="G286" s="53"/>
      <c r="H286" s="12"/>
      <c r="I286" s="12"/>
      <c r="J286" s="12"/>
      <c r="K286" s="12"/>
      <c r="L286" s="13"/>
    </row>
    <row r="287" spans="2:12" s="31" customFormat="1" ht="14.4" customHeight="1" x14ac:dyDescent="0.3">
      <c r="B287" s="100" t="s">
        <v>39</v>
      </c>
      <c r="C287" s="64">
        <v>0.05</v>
      </c>
      <c r="D287" s="73" t="s">
        <v>79</v>
      </c>
      <c r="E287" s="82"/>
      <c r="F287" s="82"/>
      <c r="G287" s="82"/>
      <c r="H287" s="82"/>
      <c r="I287" s="82"/>
      <c r="J287" s="82"/>
      <c r="K287" s="82"/>
      <c r="L287" s="83"/>
    </row>
    <row r="288" spans="2:12" s="31" customFormat="1" ht="14.4" customHeight="1" thickBot="1" x14ac:dyDescent="0.35">
      <c r="B288" s="54" t="s">
        <v>4</v>
      </c>
      <c r="C288" s="65">
        <v>7</v>
      </c>
      <c r="D288" s="73"/>
      <c r="E288" s="82"/>
      <c r="F288" s="82"/>
      <c r="G288" s="82"/>
      <c r="H288" s="82"/>
      <c r="I288" s="82"/>
      <c r="J288" s="82"/>
      <c r="K288" s="82"/>
      <c r="L288" s="83"/>
    </row>
    <row r="289" spans="2:13" s="31" customFormat="1" ht="14.4" customHeight="1" thickBot="1" x14ac:dyDescent="0.35">
      <c r="B289" s="28"/>
      <c r="C289" s="62">
        <f>(1-(1+(((1+(C287/1))^(1/1))-1))^-C288)/(4*(1-(1+(((1+(C287/1))^(1/1))-1))^-0.25))*C286</f>
        <v>107389.70653395972</v>
      </c>
      <c r="D289" s="105">
        <f>ROUND((E289-M289),4)</f>
        <v>0.04</v>
      </c>
      <c r="E289" s="106">
        <f>ROUND((F289-M289),4)</f>
        <v>4.2500000000000003E-2</v>
      </c>
      <c r="F289" s="106">
        <f>ROUND((G289-M289),4)</f>
        <v>4.4999999999999998E-2</v>
      </c>
      <c r="G289" s="106">
        <f>ROUND((H289-M289),4)</f>
        <v>4.7500000000000001E-2</v>
      </c>
      <c r="H289" s="107">
        <v>0.05</v>
      </c>
      <c r="I289" s="106">
        <f>ROUND((H289+M289),4)</f>
        <v>5.2499999999999998E-2</v>
      </c>
      <c r="J289" s="106">
        <f>ROUND((I289+M289),4)</f>
        <v>5.5E-2</v>
      </c>
      <c r="K289" s="106">
        <f>ROUND((J289+M289),4)</f>
        <v>5.7500000000000002E-2</v>
      </c>
      <c r="L289" s="108">
        <f>ROUND((K289+M289),4)</f>
        <v>0.06</v>
      </c>
      <c r="M289" s="107">
        <v>2.5000000000000001E-3</v>
      </c>
    </row>
    <row r="290" spans="2:13" s="31" customFormat="1" ht="14.4" customHeight="1" x14ac:dyDescent="0.3">
      <c r="B290" s="16"/>
      <c r="C290" s="110">
        <f>C291-C301</f>
        <v>2</v>
      </c>
      <c r="D290" s="17">
        <f t="dataTable" ref="D290:L300" dt2D="1" dtr="1" r1="C287" r2="C288"/>
        <v>34794.285822630729</v>
      </c>
      <c r="E290" s="18">
        <v>34722.37085209685</v>
      </c>
      <c r="F290" s="18">
        <v>34650.841522316085</v>
      </c>
      <c r="G290" s="18">
        <v>34579.694772874675</v>
      </c>
      <c r="H290" s="18">
        <v>34508.927575222027</v>
      </c>
      <c r="I290" s="18">
        <v>34438.536932265233</v>
      </c>
      <c r="J290" s="18">
        <v>34368.519877961415</v>
      </c>
      <c r="K290" s="18">
        <v>34298.873476926281</v>
      </c>
      <c r="L290" s="19">
        <v>34229.594824038912</v>
      </c>
    </row>
    <row r="291" spans="2:13" s="31" customFormat="1" ht="14.4" customHeight="1" x14ac:dyDescent="0.3">
      <c r="B291" s="16"/>
      <c r="C291" s="110">
        <f>C292-C301</f>
        <v>3</v>
      </c>
      <c r="D291" s="20">
        <v>51194.307420778627</v>
      </c>
      <c r="E291" s="21">
        <v>51029.264635974498</v>
      </c>
      <c r="F291" s="21">
        <v>50865.364760142569</v>
      </c>
      <c r="G291" s="21">
        <v>50702.596745010058</v>
      </c>
      <c r="H291" s="21">
        <v>50540.949677531906</v>
      </c>
      <c r="I291" s="21">
        <v>50380.412777904028</v>
      </c>
      <c r="J291" s="21">
        <v>50220.975397598602</v>
      </c>
      <c r="K291" s="21">
        <v>50062.627017447754</v>
      </c>
      <c r="L291" s="22">
        <v>49905.357245745712</v>
      </c>
    </row>
    <row r="292" spans="2:13" s="31" customFormat="1" ht="14.4" customHeight="1" x14ac:dyDescent="0.3">
      <c r="B292" s="16"/>
      <c r="C292" s="110">
        <f>C293-C301</f>
        <v>4</v>
      </c>
      <c r="D292" s="20">
        <v>66963.558957459405</v>
      </c>
      <c r="E292" s="21">
        <v>66671.368985017776</v>
      </c>
      <c r="F292" s="21">
        <v>66381.654939880726</v>
      </c>
      <c r="G292" s="21">
        <v>66094.388603850501</v>
      </c>
      <c r="H292" s="21">
        <v>65809.542155922245</v>
      </c>
      <c r="I292" s="21">
        <v>65527.088165684363</v>
      </c>
      <c r="J292" s="21">
        <v>65246.999586828177</v>
      </c>
      <c r="K292" s="21">
        <v>64969.249750801391</v>
      </c>
      <c r="L292" s="22">
        <v>64693.812360563381</v>
      </c>
    </row>
    <row r="293" spans="2:13" s="31" customFormat="1" ht="14.4" customHeight="1" x14ac:dyDescent="0.3">
      <c r="B293" s="16"/>
      <c r="C293" s="110">
        <f>C294-C301</f>
        <v>5</v>
      </c>
      <c r="D293" s="20">
        <v>82126.300819652446</v>
      </c>
      <c r="E293" s="21">
        <v>81675.785626785961</v>
      </c>
      <c r="F293" s="21">
        <v>81229.779513792935</v>
      </c>
      <c r="G293" s="21">
        <v>80788.223313960698</v>
      </c>
      <c r="H293" s="21">
        <v>80351.058802008323</v>
      </c>
      <c r="I293" s="21">
        <v>79918.228676639541</v>
      </c>
      <c r="J293" s="21">
        <v>79489.676543443886</v>
      </c>
      <c r="K293" s="21">
        <v>79065.346898180724</v>
      </c>
      <c r="L293" s="22">
        <v>78645.185110391438</v>
      </c>
    </row>
    <row r="294" spans="2:13" s="31" customFormat="1" ht="14.4" customHeight="1" thickBot="1" x14ac:dyDescent="0.35">
      <c r="B294" s="16"/>
      <c r="C294" s="110">
        <f>C295-C301</f>
        <v>6</v>
      </c>
      <c r="D294" s="20">
        <v>96705.860302530331</v>
      </c>
      <c r="E294" s="21">
        <v>96068.511422247015</v>
      </c>
      <c r="F294" s="21">
        <v>95438.511163469608</v>
      </c>
      <c r="G294" s="21">
        <v>94815.75048351704</v>
      </c>
      <c r="H294" s="21">
        <v>94200.122274471199</v>
      </c>
      <c r="I294" s="21">
        <v>93591.521323627836</v>
      </c>
      <c r="J294" s="21">
        <v>92989.844274833216</v>
      </c>
      <c r="K294" s="21">
        <v>92394.989590738041</v>
      </c>
      <c r="L294" s="22">
        <v>91806.857515889584</v>
      </c>
    </row>
    <row r="295" spans="2:13" s="31" customFormat="1" ht="14.4" customHeight="1" thickBot="1" x14ac:dyDescent="0.35">
      <c r="B295" s="23"/>
      <c r="C295" s="111">
        <v>7</v>
      </c>
      <c r="D295" s="20">
        <v>110724.66749760514</v>
      </c>
      <c r="E295" s="21">
        <v>109874.48340830085</v>
      </c>
      <c r="F295" s="21">
        <v>109035.38355550483</v>
      </c>
      <c r="G295" s="21">
        <v>108207.18453559937</v>
      </c>
      <c r="H295" s="21">
        <v>107389.70653395972</v>
      </c>
      <c r="I295" s="21">
        <v>106582.77324475686</v>
      </c>
      <c r="J295" s="21">
        <v>105786.21179273774</v>
      </c>
      <c r="K295" s="21">
        <v>104999.85265698606</v>
      </c>
      <c r="L295" s="22">
        <v>104223.52959654822</v>
      </c>
    </row>
    <row r="296" spans="2:13" s="31" customFormat="1" ht="14.4" customHeight="1" x14ac:dyDescent="0.3">
      <c r="B296" s="16"/>
      <c r="C296" s="110">
        <f>C295+C301</f>
        <v>8</v>
      </c>
      <c r="D296" s="20">
        <v>124204.28980056183</v>
      </c>
      <c r="E296" s="21">
        <v>123117.62200403589</v>
      </c>
      <c r="F296" s="21">
        <v>122046.74469620826</v>
      </c>
      <c r="G296" s="21">
        <v>120991.36978818399</v>
      </c>
      <c r="H296" s="21">
        <v>119951.21535252014</v>
      </c>
      <c r="I296" s="21">
        <v>118926.00547385809</v>
      </c>
      <c r="J296" s="21">
        <v>117915.47010354773</v>
      </c>
      <c r="K296" s="21">
        <v>116919.34491821349</v>
      </c>
      <c r="L296" s="22">
        <v>115937.37118207518</v>
      </c>
    </row>
    <row r="297" spans="2:13" s="31" customFormat="1" ht="14.4" customHeight="1" x14ac:dyDescent="0.3">
      <c r="B297" s="16"/>
      <c r="C297" s="110">
        <f>C296+C301</f>
        <v>9</v>
      </c>
      <c r="D297" s="20">
        <v>137165.46509186632</v>
      </c>
      <c r="E297" s="21">
        <v>135820.87245558028</v>
      </c>
      <c r="F297" s="21">
        <v>134497.80798874749</v>
      </c>
      <c r="G297" s="21">
        <v>133195.84258301414</v>
      </c>
      <c r="H297" s="21">
        <v>131914.55708448251</v>
      </c>
      <c r="I297" s="21">
        <v>130653.54203357421</v>
      </c>
      <c r="J297" s="21">
        <v>129412.39741237239</v>
      </c>
      <c r="K297" s="21">
        <v>128190.73239927963</v>
      </c>
      <c r="L297" s="22">
        <v>126988.16513068555</v>
      </c>
    </row>
    <row r="298" spans="2:13" s="31" customFormat="1" ht="14.4" customHeight="1" x14ac:dyDescent="0.3">
      <c r="B298" s="16"/>
      <c r="C298" s="110">
        <f>C297+C301</f>
        <v>10</v>
      </c>
      <c r="D298" s="20">
        <v>149628.13364119749</v>
      </c>
      <c r="E298" s="21">
        <v>148006.24459135428</v>
      </c>
      <c r="F298" s="21">
        <v>146412.70109165585</v>
      </c>
      <c r="G298" s="21">
        <v>144846.89059717179</v>
      </c>
      <c r="H298" s="21">
        <v>143308.2158768276</v>
      </c>
      <c r="I298" s="21">
        <v>141796.09458437335</v>
      </c>
      <c r="J298" s="21">
        <v>140309.95884253792</v>
      </c>
      <c r="K298" s="21">
        <v>138849.25484000414</v>
      </c>
      <c r="L298" s="22">
        <v>137413.44244069533</v>
      </c>
    </row>
    <row r="299" spans="2:13" s="31" customFormat="1" ht="14.4" customHeight="1" x14ac:dyDescent="0.3">
      <c r="B299" s="16"/>
      <c r="C299" s="110">
        <f>C298+C301</f>
        <v>11</v>
      </c>
      <c r="D299" s="20">
        <v>161611.46878478516</v>
      </c>
      <c r="E299" s="21">
        <v>159694.85095660517</v>
      </c>
      <c r="F299" s="21">
        <v>157814.51267338634</v>
      </c>
      <c r="G299" s="21">
        <v>155969.60946510284</v>
      </c>
      <c r="H299" s="21">
        <v>154159.31948858482</v>
      </c>
      <c r="I299" s="21">
        <v>152382.84285116591</v>
      </c>
      <c r="J299" s="21">
        <v>150639.40095643891</v>
      </c>
      <c r="K299" s="21">
        <v>148928.2358714221</v>
      </c>
      <c r="L299" s="22">
        <v>147248.60971428946</v>
      </c>
    </row>
    <row r="300" spans="2:13" s="31" customFormat="1" ht="14.4" customHeight="1" thickBot="1" x14ac:dyDescent="0.35">
      <c r="B300" s="16"/>
      <c r="C300" s="112">
        <f>C299+C301</f>
        <v>12</v>
      </c>
      <c r="D300" s="24">
        <v>173133.9064228503</v>
      </c>
      <c r="E300" s="25">
        <v>170906.94339329659</v>
      </c>
      <c r="F300" s="25">
        <v>168725.33715351121</v>
      </c>
      <c r="G300" s="25">
        <v>166587.95683305597</v>
      </c>
      <c r="H300" s="25">
        <v>164493.70388073454</v>
      </c>
      <c r="I300" s="25">
        <v>162441.51103814223</v>
      </c>
      <c r="J300" s="25">
        <v>160430.3413487621</v>
      </c>
      <c r="K300" s="25">
        <v>158459.1872013681</v>
      </c>
      <c r="L300" s="26">
        <v>156527.06940635943</v>
      </c>
    </row>
    <row r="301" spans="2:13" s="31" customFormat="1" ht="14.4" customHeight="1" thickBot="1" x14ac:dyDescent="0.35">
      <c r="B301" s="11"/>
      <c r="C301" s="114">
        <v>1</v>
      </c>
      <c r="D301" s="12"/>
      <c r="E301" s="12"/>
      <c r="F301" s="12"/>
      <c r="G301" s="12"/>
      <c r="H301" s="12"/>
      <c r="I301" s="12"/>
      <c r="J301" s="12"/>
      <c r="K301" s="12"/>
      <c r="L301" s="13"/>
    </row>
    <row r="302" spans="2:13" s="30" customFormat="1" ht="18" x14ac:dyDescent="0.35"/>
    <row r="303" spans="2:13" s="30" customFormat="1" ht="18" x14ac:dyDescent="0.35"/>
    <row r="304" spans="2:13" s="30" customFormat="1" ht="18" x14ac:dyDescent="0.35"/>
    <row r="305" s="30" customFormat="1" ht="18" x14ac:dyDescent="0.35"/>
    <row r="306" s="30" customFormat="1" ht="18" x14ac:dyDescent="0.35"/>
    <row r="307" s="30" customFormat="1" ht="18" x14ac:dyDescent="0.35"/>
    <row r="308" s="30" customFormat="1" ht="18" x14ac:dyDescent="0.35"/>
    <row r="309" s="30" customFormat="1" ht="18" x14ac:dyDescent="0.35"/>
    <row r="310" s="30" customFormat="1" ht="18" x14ac:dyDescent="0.35"/>
    <row r="311" s="30" customFormat="1" ht="18" x14ac:dyDescent="0.35"/>
    <row r="312" s="30" customFormat="1" ht="18" x14ac:dyDescent="0.35"/>
    <row r="313" s="30" customFormat="1" ht="18" x14ac:dyDescent="0.35"/>
    <row r="314" s="30" customFormat="1" ht="18" x14ac:dyDescent="0.35"/>
    <row r="315" s="30" customFormat="1" ht="18" x14ac:dyDescent="0.35"/>
    <row r="316" s="30" customFormat="1" ht="18" x14ac:dyDescent="0.35"/>
    <row r="317" s="30" customFormat="1" ht="18" x14ac:dyDescent="0.35"/>
    <row r="318" s="30" customFormat="1" ht="18" x14ac:dyDescent="0.35"/>
    <row r="319" s="30" customFormat="1" ht="18" x14ac:dyDescent="0.35"/>
    <row r="320" s="30" customFormat="1" ht="18" x14ac:dyDescent="0.35"/>
    <row r="321" s="30" customFormat="1" ht="18" x14ac:dyDescent="0.35"/>
    <row r="322" s="30" customFormat="1" ht="18" x14ac:dyDescent="0.35"/>
    <row r="323" s="30" customFormat="1" ht="18" x14ac:dyDescent="0.35"/>
    <row r="324" s="30" customFormat="1" ht="18" x14ac:dyDescent="0.35"/>
    <row r="325" s="30" customFormat="1" ht="18" x14ac:dyDescent="0.35"/>
    <row r="326" s="30" customFormat="1" ht="18" x14ac:dyDescent="0.35"/>
    <row r="327" s="30" customFormat="1" ht="18" x14ac:dyDescent="0.35"/>
    <row r="328" s="30" customFormat="1" ht="18" x14ac:dyDescent="0.35"/>
    <row r="329" s="30" customFormat="1" ht="18" x14ac:dyDescent="0.35"/>
    <row r="330" s="30" customFormat="1" ht="18" x14ac:dyDescent="0.35"/>
    <row r="331" s="30" customFormat="1" ht="18" x14ac:dyDescent="0.35"/>
    <row r="332" s="30" customFormat="1" ht="18" x14ac:dyDescent="0.35"/>
    <row r="333" s="30" customFormat="1" ht="18" x14ac:dyDescent="0.35"/>
    <row r="334" s="30" customFormat="1" ht="18" x14ac:dyDescent="0.35"/>
    <row r="335" s="30" customFormat="1" ht="18" x14ac:dyDescent="0.35"/>
    <row r="336" s="30" customFormat="1" ht="18" x14ac:dyDescent="0.35"/>
    <row r="337" s="30" customFormat="1" ht="18" x14ac:dyDescent="0.35"/>
    <row r="338" s="30" customFormat="1" ht="18" x14ac:dyDescent="0.35"/>
    <row r="339" s="30" customFormat="1" ht="18" x14ac:dyDescent="0.35"/>
    <row r="340" s="30" customFormat="1" ht="18" x14ac:dyDescent="0.35"/>
    <row r="341" s="30" customFormat="1" ht="18" x14ac:dyDescent="0.35"/>
    <row r="342" s="30" customFormat="1" ht="18" x14ac:dyDescent="0.35"/>
    <row r="343" s="30" customFormat="1" ht="18" x14ac:dyDescent="0.35"/>
    <row r="344" s="30" customFormat="1" ht="18" x14ac:dyDescent="0.35"/>
    <row r="345" s="30" customFormat="1" ht="18" x14ac:dyDescent="0.35"/>
    <row r="346" s="30" customFormat="1" ht="18" x14ac:dyDescent="0.35"/>
    <row r="347" s="30" customFormat="1" ht="18" x14ac:dyDescent="0.35"/>
    <row r="348" s="30" customFormat="1" ht="18" x14ac:dyDescent="0.35"/>
    <row r="349" s="30" customFormat="1" ht="18" x14ac:dyDescent="0.35"/>
    <row r="350" s="30" customFormat="1" ht="18" x14ac:dyDescent="0.35"/>
    <row r="351" s="30" customFormat="1" ht="18" x14ac:dyDescent="0.35"/>
    <row r="352" s="30" customFormat="1" ht="18" x14ac:dyDescent="0.35"/>
    <row r="353" s="30" customFormat="1" ht="18" x14ac:dyDescent="0.35"/>
    <row r="354" s="30" customFormat="1" ht="18" x14ac:dyDescent="0.35"/>
    <row r="355" s="30" customFormat="1" ht="18" x14ac:dyDescent="0.35"/>
    <row r="356" s="30" customFormat="1" ht="18" x14ac:dyDescent="0.35"/>
    <row r="357" s="30" customFormat="1" ht="18" x14ac:dyDescent="0.35"/>
    <row r="358" s="30" customFormat="1" ht="18" x14ac:dyDescent="0.35"/>
    <row r="359" s="30" customFormat="1" ht="18" x14ac:dyDescent="0.35"/>
    <row r="360" s="30" customFormat="1" ht="18" x14ac:dyDescent="0.35"/>
    <row r="361" s="30" customFormat="1" ht="18" x14ac:dyDescent="0.35"/>
    <row r="362" s="30" customFormat="1" ht="18" x14ac:dyDescent="0.35"/>
    <row r="363" s="30" customFormat="1" ht="18" x14ac:dyDescent="0.35"/>
    <row r="364" s="30" customFormat="1" ht="18" x14ac:dyDescent="0.35"/>
    <row r="365" s="30" customFormat="1" ht="18" x14ac:dyDescent="0.35"/>
    <row r="366" s="30" customFormat="1" ht="18" x14ac:dyDescent="0.35"/>
    <row r="367" s="30" customFormat="1" ht="18" x14ac:dyDescent="0.35"/>
    <row r="368" s="30" customFormat="1" ht="18" x14ac:dyDescent="0.35"/>
    <row r="369" s="30" customFormat="1" ht="18" x14ac:dyDescent="0.35"/>
    <row r="370" s="30" customFormat="1" ht="18" x14ac:dyDescent="0.35"/>
    <row r="371" s="30" customFormat="1" ht="18" x14ac:dyDescent="0.35"/>
    <row r="372" s="30" customFormat="1" ht="18" x14ac:dyDescent="0.35"/>
    <row r="373" s="30" customFormat="1" ht="18" x14ac:dyDescent="0.35"/>
    <row r="374" s="30" customFormat="1" ht="18" x14ac:dyDescent="0.35"/>
    <row r="375" s="30" customFormat="1" ht="18" x14ac:dyDescent="0.35"/>
    <row r="376" s="30" customFormat="1" ht="18" x14ac:dyDescent="0.35"/>
    <row r="377" s="30" customFormat="1" ht="18" x14ac:dyDescent="0.35"/>
    <row r="378" s="30" customFormat="1" ht="18" x14ac:dyDescent="0.35"/>
    <row r="379" s="30" customFormat="1" ht="18" x14ac:dyDescent="0.35"/>
    <row r="380" s="30" customFormat="1" ht="18" x14ac:dyDescent="0.35"/>
  </sheetData>
  <mergeCells count="19">
    <mergeCell ref="D56:L58"/>
    <mergeCell ref="D146:L147"/>
    <mergeCell ref="D270:L271"/>
    <mergeCell ref="D287:L288"/>
    <mergeCell ref="D163:L165"/>
    <mergeCell ref="D181:L183"/>
    <mergeCell ref="D199:L202"/>
    <mergeCell ref="D218:L222"/>
    <mergeCell ref="D238:L240"/>
    <mergeCell ref="D74:L75"/>
    <mergeCell ref="D91:L92"/>
    <mergeCell ref="D129:L130"/>
    <mergeCell ref="D256:L257"/>
    <mergeCell ref="D263:L264"/>
    <mergeCell ref="D108:L111"/>
    <mergeCell ref="D4:L5"/>
    <mergeCell ref="Q4:Y5"/>
    <mergeCell ref="D22:L23"/>
    <mergeCell ref="D39:L40"/>
  </mergeCells>
  <conditionalFormatting sqref="D7:L17">
    <cfRule type="cellIs" dxfId="18" priority="35" operator="equal">
      <formula>$C$6</formula>
    </cfRule>
    <cfRule type="colorScale" priority="36">
      <colorScale>
        <cfvo type="min"/>
        <cfvo type="max"/>
        <color rgb="FFFAB6E3"/>
        <color rgb="FFFFFF99"/>
      </colorScale>
    </cfRule>
  </conditionalFormatting>
  <conditionalFormatting sqref="D25:L35">
    <cfRule type="cellIs" dxfId="17" priority="33" operator="equal">
      <formula>$C$24</formula>
    </cfRule>
    <cfRule type="colorScale" priority="34">
      <colorScale>
        <cfvo type="min"/>
        <cfvo type="max"/>
        <color rgb="FFFAB6E3"/>
        <color rgb="FFFFFF99"/>
      </colorScale>
    </cfRule>
  </conditionalFormatting>
  <conditionalFormatting sqref="D42:L52">
    <cfRule type="cellIs" dxfId="16" priority="39" operator="equal">
      <formula>$C$41</formula>
    </cfRule>
    <cfRule type="colorScale" priority="40">
      <colorScale>
        <cfvo type="min"/>
        <cfvo type="max"/>
        <color rgb="FFFAB6E3"/>
        <color rgb="FFFFFF99"/>
      </colorScale>
    </cfRule>
  </conditionalFormatting>
  <conditionalFormatting sqref="D77:L87">
    <cfRule type="cellIs" dxfId="15" priority="63" operator="equal">
      <formula>$C$76</formula>
    </cfRule>
    <cfRule type="colorScale" priority="64">
      <colorScale>
        <cfvo type="min"/>
        <cfvo type="max"/>
        <color rgb="FFFAB6E3"/>
        <color rgb="FFFFFF99"/>
      </colorScale>
    </cfRule>
  </conditionalFormatting>
  <conditionalFormatting sqref="D94:L104">
    <cfRule type="cellIs" dxfId="14" priority="65" operator="equal">
      <formula>$C$93</formula>
    </cfRule>
    <cfRule type="colorScale" priority="66">
      <colorScale>
        <cfvo type="min"/>
        <cfvo type="max"/>
        <color rgb="FFFAB6E3"/>
        <color rgb="FFFFFF99"/>
      </colorScale>
    </cfRule>
  </conditionalFormatting>
  <conditionalFormatting sqref="D132:L142">
    <cfRule type="cellIs" dxfId="13" priority="31" operator="equal">
      <formula>$C$131</formula>
    </cfRule>
    <cfRule type="colorScale" priority="32">
      <colorScale>
        <cfvo type="min"/>
        <cfvo type="max"/>
        <color rgb="FFFAB6E3"/>
        <color rgb="FFFFFF99"/>
      </colorScale>
    </cfRule>
  </conditionalFormatting>
  <conditionalFormatting sqref="Q7:Y17">
    <cfRule type="cellIs" dxfId="12" priority="37" operator="equal">
      <formula>$P$6</formula>
    </cfRule>
    <cfRule type="colorScale" priority="38">
      <colorScale>
        <cfvo type="min"/>
        <cfvo type="max"/>
        <color rgb="FFFAB6E3"/>
        <color rgb="FFFFFF99"/>
      </colorScale>
    </cfRule>
  </conditionalFormatting>
  <conditionalFormatting sqref="D115:L125">
    <cfRule type="cellIs" dxfId="11" priority="9" operator="equal">
      <formula>$C$114</formula>
    </cfRule>
    <cfRule type="colorScale" priority="10">
      <colorScale>
        <cfvo type="min"/>
        <cfvo type="max"/>
        <color rgb="FFFAB6E3"/>
        <color rgb="FFFFFF99"/>
      </colorScale>
    </cfRule>
  </conditionalFormatting>
  <conditionalFormatting sqref="D60:L70">
    <cfRule type="cellIs" dxfId="10" priority="1" operator="equal">
      <formula>$C$59</formula>
    </cfRule>
    <cfRule type="colorScale" priority="2">
      <colorScale>
        <cfvo type="min"/>
        <cfvo type="max"/>
        <color rgb="FFFAB6E3"/>
        <color rgb="FFFFFF99"/>
      </colorScale>
    </cfRule>
  </conditionalFormatting>
  <conditionalFormatting sqref="D149:L159">
    <cfRule type="cellIs" dxfId="9" priority="13" operator="equal">
      <formula>$C$148</formula>
    </cfRule>
    <cfRule type="colorScale" priority="14">
      <colorScale>
        <cfvo type="min"/>
        <cfvo type="max"/>
        <color rgb="FFFAB6E3"/>
        <color rgb="FFFFFF99"/>
      </colorScale>
    </cfRule>
  </conditionalFormatting>
  <conditionalFormatting sqref="D273:L283">
    <cfRule type="cellIs" dxfId="8" priority="3" operator="equal">
      <formula>$C$272</formula>
    </cfRule>
    <cfRule type="colorScale" priority="4">
      <colorScale>
        <cfvo type="min"/>
        <cfvo type="max"/>
        <color rgb="FFFAB6E3"/>
        <color rgb="FFFFFF99"/>
      </colorScale>
    </cfRule>
  </conditionalFormatting>
  <conditionalFormatting sqref="D290:L300">
    <cfRule type="cellIs" dxfId="7" priority="21" operator="equal">
      <formula>$C$289</formula>
    </cfRule>
    <cfRule type="colorScale" priority="22">
      <colorScale>
        <cfvo type="min"/>
        <cfvo type="max"/>
        <color rgb="FFFAB6E3"/>
        <color rgb="FFFFFF99"/>
      </colorScale>
    </cfRule>
  </conditionalFormatting>
  <conditionalFormatting sqref="D185:L195">
    <cfRule type="cellIs" dxfId="6" priority="105" operator="equal">
      <formula>$C$184</formula>
    </cfRule>
    <cfRule type="colorScale" priority="106">
      <colorScale>
        <cfvo type="min"/>
        <cfvo type="max"/>
        <color rgb="FFFAB6E3"/>
        <color rgb="FFFFFF99"/>
      </colorScale>
    </cfRule>
  </conditionalFormatting>
  <conditionalFormatting sqref="D204:L214">
    <cfRule type="cellIs" dxfId="5" priority="127" operator="equal">
      <formula>$C$203</formula>
    </cfRule>
    <cfRule type="colorScale" priority="128">
      <colorScale>
        <cfvo type="min"/>
        <cfvo type="max"/>
        <color rgb="FFFAB6E3"/>
        <color rgb="FFFFFF99"/>
      </colorScale>
    </cfRule>
  </conditionalFormatting>
  <conditionalFormatting sqref="D167:L177">
    <cfRule type="cellIs" dxfId="4" priority="131" operator="equal">
      <formula>$C$166</formula>
    </cfRule>
    <cfRule type="colorScale" priority="132">
      <colorScale>
        <cfvo type="min"/>
        <cfvo type="max"/>
        <color rgb="FFFAB6E3"/>
        <color rgb="FFFFFF99"/>
      </colorScale>
    </cfRule>
  </conditionalFormatting>
  <conditionalFormatting sqref="D224:L234">
    <cfRule type="cellIs" dxfId="3" priority="139" operator="equal">
      <formula>$C$223</formula>
    </cfRule>
    <cfRule type="colorScale" priority="140">
      <colorScale>
        <cfvo type="min"/>
        <cfvo type="max"/>
        <color rgb="FFFAB6E3"/>
        <color rgb="FFFFFF99"/>
      </colorScale>
    </cfRule>
  </conditionalFormatting>
  <conditionalFormatting sqref="D242:L252">
    <cfRule type="cellIs" dxfId="2" priority="145" operator="equal">
      <formula>$C$241</formula>
    </cfRule>
    <cfRule type="colorScale" priority="146">
      <colorScale>
        <cfvo type="min"/>
        <cfvo type="max"/>
        <color rgb="FFFAB6E3"/>
        <color rgb="FFFFFF99"/>
      </colorScale>
    </cfRule>
  </conditionalFormatting>
  <conditionalFormatting sqref="D259:L259">
    <cfRule type="cellIs" dxfId="1" priority="149" operator="equal">
      <formula>$C$258</formula>
    </cfRule>
    <cfRule type="colorScale" priority="150">
      <colorScale>
        <cfvo type="min"/>
        <cfvo type="max"/>
        <color rgb="FFFAB6E3"/>
        <color rgb="FFFFFF99"/>
      </colorScale>
    </cfRule>
  </conditionalFormatting>
  <conditionalFormatting sqref="D266:L266">
    <cfRule type="cellIs" dxfId="0" priority="151" operator="equal">
      <formula>$C$265</formula>
    </cfRule>
    <cfRule type="colorScale" priority="152">
      <colorScale>
        <cfvo type="min"/>
        <cfvo type="max"/>
        <color rgb="FFFAB6E3"/>
        <color rgb="FFFFFF99"/>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Tables</vt:lpstr>
    </vt:vector>
  </TitlesOfParts>
  <Company>EasyValuations.com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Antony Milton</dc:creator>
  <cp:lastModifiedBy>Antony Milton</cp:lastModifiedBy>
  <cp:lastPrinted>2018-01-22T11:54:59Z</cp:lastPrinted>
  <dcterms:created xsi:type="dcterms:W3CDTF">2006-03-24T14:50:59Z</dcterms:created>
  <dcterms:modified xsi:type="dcterms:W3CDTF">2025-12-16T18:48:33Z</dcterms:modified>
</cp:coreProperties>
</file>