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8" documentId="8_{14C23EB0-E5A1-4105-842F-05154F8975F8}" xr6:coauthVersionLast="47" xr6:coauthVersionMax="47" xr10:uidLastSave="{4DD14456-EE0B-46C1-AE60-65ACC9E3FED4}"/>
  <bookViews>
    <workbookView xWindow="12" yWindow="0" windowWidth="23028" windowHeight="12240" xr2:uid="{00000000-000D-0000-FFFF-FFFF00000000}"/>
  </bookViews>
  <sheets>
    <sheet name="Sch13Long" sheetId="74" r:id="rId1"/>
  </sheets>
  <definedNames>
    <definedName name="bbb" localSheetId="0">#REF!</definedName>
    <definedName name="bbb">#REF!</definedName>
    <definedName name="bbbbbb">#REF!</definedName>
    <definedName name="BJBK" localSheetId="0">#REF!</definedName>
    <definedName name="BJBK">#REF!</definedName>
    <definedName name="Bongo" localSheetId="0">#REF!</definedName>
    <definedName name="Bongo">#REF!</definedName>
    <definedName name="bonho" localSheetId="0">#REF!</definedName>
    <definedName name="bonho">#REF!</definedName>
    <definedName name="Compound_interest_rate" localSheetId="0">#REF!</definedName>
    <definedName name="Compound_interest_rate">#REF!</definedName>
    <definedName name="Compound_interest_rate_with_tax" localSheetId="0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 localSheetId="0">#REF!</definedName>
    <definedName name="dffgfg">#REF!</definedName>
    <definedName name="dfsfdsfd">#REF!</definedName>
    <definedName name="FH" localSheetId="0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 localSheetId="0">#REF!</definedName>
    <definedName name="gsdgffsd">#REF!</definedName>
    <definedName name="hhkl" localSheetId="0">#REF!</definedName>
    <definedName name="hhkl">#REF!</definedName>
    <definedName name="int">#REF!</definedName>
    <definedName name="jhbbj" localSheetId="0">#REF!</definedName>
    <definedName name="jhbbj">#REF!</definedName>
    <definedName name="jjknljl">#REF!</definedName>
    <definedName name="JKHKJ" localSheetId="0">#REF!</definedName>
    <definedName name="JKHKJ">#REF!</definedName>
    <definedName name="lhhhk" localSheetId="0">#REF!</definedName>
    <definedName name="lhhhk">#REF!</definedName>
    <definedName name="loan_amount">#REF!</definedName>
    <definedName name="mmm" localSheetId="0">#REF!</definedName>
    <definedName name="mmm">#REF!</definedName>
    <definedName name="nknknkn">#REF!</definedName>
    <definedName name="nnn" localSheetId="0">#REF!</definedName>
    <definedName name="nnn">#REF!</definedName>
    <definedName name="nnnn" localSheetId="0">#REF!</definedName>
    <definedName name="nnnn">#REF!</definedName>
    <definedName name="nper">term*periods_per_year</definedName>
    <definedName name="periods_per_year">INDEX({12,24,26,52,26,52},MATCH(#REF!,frequency,0))</definedName>
    <definedName name="Rate_of_tax" localSheetId="0">#REF!</definedName>
    <definedName name="Rate_of_tax">#REF!</definedName>
    <definedName name="reerwwer">#REF!</definedName>
    <definedName name="rrwwrewr">#REF!</definedName>
    <definedName name="sddS" localSheetId="0">#REF!</definedName>
    <definedName name="sddS">#REF!</definedName>
    <definedName name="sdsdsd" localSheetId="0">#REF!</definedName>
    <definedName name="sdsdsd">#REF!</definedName>
    <definedName name="sfsafsd" localSheetId="0">#REF!</definedName>
    <definedName name="sfsafsd">#REF!</definedName>
    <definedName name="sgsdfgs">#REF!</definedName>
    <definedName name="Sinking_fund_effect" localSheetId="0">#REF!</definedName>
    <definedName name="Sinking_fund_effect">#REF!</definedName>
    <definedName name="Sinking_fund_rate" localSheetId="0">#REF!</definedName>
    <definedName name="Sinking_fund_rate">#REF!</definedName>
    <definedName name="start_rate">#REF!</definedName>
    <definedName name="Tax_effect" localSheetId="0">#REF!</definedName>
    <definedName name="Tax_effect">#REF!</definedName>
    <definedName name="term">#REF!</definedName>
    <definedName name="Unexpired" localSheetId="0">#REF!</definedName>
    <definedName name="Unexpired">#REF!</definedName>
    <definedName name="Unexpired_years" localSheetId="0">#REF!</definedName>
    <definedName name="Unexpired_years">#REF!</definedName>
    <definedName name="variable">IF(#REF!="Variable Rate",TRUE,FALSE)</definedName>
    <definedName name="vvv" localSheetId="0">#REF!</definedName>
    <definedName name="vvv">#REF!</definedName>
    <definedName name="wrewerwer">#REF!</definedName>
    <definedName name="xxx" localSheetId="0">#REF!</definedName>
    <definedName name="xxx">#REF!</definedName>
    <definedName name="xxxxxxx" localSheetId="0">#REF!</definedName>
    <definedName name="xxxxxxx">#REF!</definedName>
    <definedName name="Yield" localSheetId="0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74" l="1"/>
  <c r="K25" i="74" s="1"/>
  <c r="I62" i="74" l="1"/>
  <c r="K61" i="74"/>
  <c r="I57" i="74"/>
  <c r="F49" i="74"/>
  <c r="I48" i="74"/>
  <c r="F44" i="74"/>
  <c r="D49" i="74" s="1"/>
  <c r="K48" i="74" s="1"/>
  <c r="I43" i="74"/>
  <c r="F39" i="74"/>
  <c r="D44" i="74" s="1"/>
  <c r="K43" i="74" s="1"/>
  <c r="I38" i="74"/>
  <c r="F34" i="74"/>
  <c r="D39" i="74" s="1"/>
  <c r="K38" i="74" s="1"/>
  <c r="I33" i="74"/>
  <c r="F30" i="74"/>
  <c r="D30" i="74" s="1"/>
  <c r="K29" i="74" s="1"/>
  <c r="I29" i="74"/>
  <c r="K56" i="74"/>
  <c r="K15" i="74"/>
  <c r="L16" i="74" s="1"/>
  <c r="K16" i="74" l="1"/>
  <c r="F57" i="74" s="1"/>
  <c r="K57" i="74" s="1"/>
  <c r="M57" i="74" s="1"/>
  <c r="K39" i="74"/>
  <c r="K18" i="74"/>
  <c r="F62" i="74" s="1"/>
  <c r="K62" i="74" s="1"/>
  <c r="M62" i="74" s="1"/>
  <c r="M13" i="74"/>
  <c r="D34" i="74"/>
  <c r="D35" i="74" s="1"/>
  <c r="K35" i="74" s="1"/>
  <c r="K49" i="74"/>
  <c r="K30" i="74"/>
  <c r="M31" i="74" s="1"/>
  <c r="K44" i="74"/>
  <c r="K33" i="74" l="1"/>
  <c r="D40" i="74"/>
  <c r="K40" i="74" s="1"/>
  <c r="M41" i="74" s="1"/>
  <c r="K34" i="74"/>
  <c r="O62" i="74"/>
  <c r="D45" i="74" l="1"/>
  <c r="K45" i="74" s="1"/>
  <c r="M46" i="74" s="1"/>
  <c r="M36" i="74"/>
  <c r="D50" i="74" l="1"/>
  <c r="K50" i="74" s="1"/>
  <c r="M51" i="74" s="1"/>
  <c r="O52" i="74" s="1"/>
  <c r="O64" i="74" l="1"/>
  <c r="J59" i="74"/>
</calcChain>
</file>

<file path=xl/sharedStrings.xml><?xml version="1.0" encoding="utf-8"?>
<sst xmlns="http://schemas.openxmlformats.org/spreadsheetml/2006/main" count="70" uniqueCount="44">
  <si>
    <t xml:space="preserve">Years Purchase for </t>
  </si>
  <si>
    <t xml:space="preserve">PV of £1 in </t>
  </si>
  <si>
    <t>Valuing the Term</t>
  </si>
  <si>
    <t>Valuing the Reversion</t>
  </si>
  <si>
    <t xml:space="preserve">Ground rent @ </t>
  </si>
  <si>
    <t xml:space="preserve">Ground rent @  </t>
  </si>
  <si>
    <t>Relativity</t>
  </si>
  <si>
    <t>for</t>
  </si>
  <si>
    <t>@</t>
  </si>
  <si>
    <t>Less</t>
  </si>
  <si>
    <t>Date Lease Commences</t>
  </si>
  <si>
    <t xml:space="preserve">Date of Valuation </t>
  </si>
  <si>
    <t>Unexpired Term</t>
  </si>
  <si>
    <t>Capitalisation Rate</t>
  </si>
  <si>
    <t xml:space="preserve">Deferment Rate </t>
  </si>
  <si>
    <t xml:space="preserve">Freehold Value </t>
  </si>
  <si>
    <t>Value of Flat</t>
  </si>
  <si>
    <t>Lease Extension Valuation</t>
  </si>
  <si>
    <t>Subject to Contract &amp; Without Prejudice</t>
  </si>
  <si>
    <t>Lease Expiry Date</t>
  </si>
  <si>
    <t>Extension</t>
  </si>
  <si>
    <t>Extended Lease Expiry Date</t>
  </si>
  <si>
    <t>Existing Lease Value</t>
  </si>
  <si>
    <t>Loss of Reversion</t>
  </si>
  <si>
    <t>New Reversion</t>
  </si>
  <si>
    <t xml:space="preserve"> to </t>
  </si>
  <si>
    <t>PV of £1 deferred for</t>
  </si>
  <si>
    <t>Assessment of premium for a new lease (an additional 90 year term</t>
  </si>
  <si>
    <t>at a peppercorn ground rent), in accordance with Schedule 13 of the</t>
  </si>
  <si>
    <t>Leasehold Reform, Housing and Urban Development Act 1993, as</t>
  </si>
  <si>
    <t>amended by the Housing Act 1996 and the Commonhold and</t>
  </si>
  <si>
    <t>Leasehold Reform Act 2002</t>
  </si>
  <si>
    <t>Uplift for Freehold</t>
  </si>
  <si>
    <t>Long Leasehold Value</t>
  </si>
  <si>
    <t>Term of Lease - Years</t>
  </si>
  <si>
    <t>Term of Lease - Days</t>
  </si>
  <si>
    <t>Term of Lease - Months</t>
  </si>
  <si>
    <t xml:space="preserve">Total Value of Current Interest : </t>
  </si>
  <si>
    <t>As  the  ldld’s  interest  is  not  extinguished  (the  tenant  acquires  a  new  lease), whereas  the  ldld no longer enjoys ground rent,</t>
  </si>
  <si>
    <t>whereas  the  ldld no longer enjoys ground rent, he or she has an entitlement to possession of the flat at the end of the new term.</t>
  </si>
  <si>
    <t>Thus the ldld’s interest is merely diminished in value and it is the diminution in the value of the ldld’s int that attracts compensation.</t>
  </si>
  <si>
    <t>Schedule 13 - A New Lease for a Flat – Long Unexpired Term Valuation</t>
  </si>
  <si>
    <r>
      <t xml:space="preserve">As the unexpired term is over 80 years, the share of </t>
    </r>
    <r>
      <rPr>
        <b/>
        <sz val="23"/>
        <color rgb="FFFF0000"/>
        <rFont val="Arial"/>
        <family val="2"/>
      </rPr>
      <t>marriage value payable is taken to be nil</t>
    </r>
    <r>
      <rPr>
        <b/>
        <sz val="23"/>
        <color rgb="FF002060"/>
        <rFont val="Arial"/>
        <family val="2"/>
      </rPr>
      <t xml:space="preserve">. The  valuation  is  under  Schedule  13. </t>
    </r>
  </si>
  <si>
    <t>Flat +80yrs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</si>
</sst>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6" formatCode="_-&quot;£&quot;* #,##0_-;\-&quot;£&quot;* #,##0_-;_-&quot;£&quot;* &quot;-&quot;??_-;_-@_-"/>
    <numFmt numFmtId="167" formatCode="#,##0.0000"/>
    <numFmt numFmtId="168" formatCode="_-[$£-809]* #,##0_-;\-[$£-809]* #,##0_-;_-[$£-809]* &quot;-&quot;??_-;_-@_-"/>
    <numFmt numFmtId="169" formatCode="#,##0.00\ &quot;years&quot;"/>
    <numFmt numFmtId="170" formatCode="&quot;£&quot;#,##0"/>
    <numFmt numFmtId="172" formatCode="[$-F800]dddd\,\ mmmm\ dd\,\ yyyy"/>
    <numFmt numFmtId="174" formatCode="_-* #,##0.0000_-;\-* #,##0.0000_-;_-* &quot;-&quot;??_-;_-@_-"/>
    <numFmt numFmtId="175" formatCode="#,##0.00\ &quot; years&quot;"/>
    <numFmt numFmtId="176" formatCode="#,##0\ &quot; months&quot;"/>
    <numFmt numFmtId="177" formatCode="#,##0\ &quot; days&quot;"/>
    <numFmt numFmtId="178" formatCode="#,##0.000\ &quot;years&quot;"/>
  </numFmts>
  <fonts count="21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4"/>
      <color rgb="FF000000"/>
      <name val="Trebuchet MS"/>
      <family val="2"/>
    </font>
    <font>
      <u/>
      <sz val="14"/>
      <name val="Arial"/>
      <family val="2"/>
    </font>
    <font>
      <b/>
      <sz val="14"/>
      <color rgb="FF0070C0"/>
      <name val="Arial"/>
      <family val="2"/>
    </font>
    <font>
      <sz val="14"/>
      <color rgb="FFFF00FF"/>
      <name val="Arial"/>
      <family val="2"/>
    </font>
    <font>
      <b/>
      <sz val="14"/>
      <color rgb="FF7030A0"/>
      <name val="Arial"/>
      <family val="2"/>
    </font>
    <font>
      <b/>
      <u/>
      <sz val="23"/>
      <color rgb="FF3399FF"/>
      <name val="Arial"/>
      <family val="2"/>
    </font>
    <font>
      <b/>
      <sz val="14"/>
      <color theme="1"/>
      <name val="Arial"/>
      <family val="2"/>
    </font>
    <font>
      <sz val="12"/>
      <color rgb="FFFF0000"/>
      <name val="Arial"/>
      <family val="2"/>
    </font>
    <font>
      <b/>
      <sz val="14"/>
      <color rgb="FF3E0DF1"/>
      <name val="Arial"/>
      <family val="2"/>
    </font>
    <font>
      <b/>
      <sz val="12"/>
      <color rgb="FF3E0DF1"/>
      <name val="Arial"/>
      <family val="2"/>
    </font>
    <font>
      <b/>
      <sz val="23"/>
      <color rgb="FF002060"/>
      <name val="Arial"/>
      <family val="2"/>
    </font>
    <font>
      <b/>
      <sz val="23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8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3">
    <xf numFmtId="168" fontId="0" fillId="0" borderId="0" xfId="0"/>
    <xf numFmtId="168" fontId="4" fillId="0" borderId="0" xfId="0" applyFont="1"/>
    <xf numFmtId="164" fontId="2" fillId="3" borderId="0" xfId="0" applyNumberFormat="1" applyFont="1" applyFill="1"/>
    <xf numFmtId="168" fontId="2" fillId="3" borderId="0" xfId="0" applyFont="1" applyFill="1"/>
    <xf numFmtId="168" fontId="0" fillId="3" borderId="0" xfId="0" applyFill="1"/>
    <xf numFmtId="168" fontId="1" fillId="3" borderId="8" xfId="0" applyFont="1" applyFill="1" applyBorder="1"/>
    <xf numFmtId="168" fontId="0" fillId="3" borderId="9" xfId="0" applyFill="1" applyBorder="1"/>
    <xf numFmtId="168" fontId="0" fillId="3" borderId="6" xfId="0" applyFill="1" applyBorder="1"/>
    <xf numFmtId="168" fontId="0" fillId="3" borderId="7" xfId="0" applyFill="1" applyBorder="1"/>
    <xf numFmtId="168" fontId="2" fillId="3" borderId="9" xfId="0" applyFont="1" applyFill="1" applyBorder="1"/>
    <xf numFmtId="164" fontId="0" fillId="3" borderId="0" xfId="0" applyNumberFormat="1" applyFill="1"/>
    <xf numFmtId="168" fontId="8" fillId="3" borderId="0" xfId="0" applyFont="1" applyFill="1" applyAlignment="1">
      <alignment horizontal="center"/>
    </xf>
    <xf numFmtId="168" fontId="8" fillId="3" borderId="0" xfId="0" applyFont="1" applyFill="1"/>
    <xf numFmtId="164" fontId="6" fillId="3" borderId="0" xfId="0" applyNumberFormat="1" applyFont="1" applyFill="1"/>
    <xf numFmtId="168" fontId="6" fillId="3" borderId="0" xfId="0" applyFont="1" applyFill="1"/>
    <xf numFmtId="168" fontId="6" fillId="3" borderId="2" xfId="0" applyFont="1" applyFill="1" applyBorder="1"/>
    <xf numFmtId="168" fontId="6" fillId="3" borderId="0" xfId="0" applyFont="1" applyFill="1" applyAlignment="1">
      <alignment horizontal="right"/>
    </xf>
    <xf numFmtId="168" fontId="7" fillId="3" borderId="0" xfId="0" applyFont="1" applyFill="1"/>
    <xf numFmtId="6" fontId="6" fillId="3" borderId="2" xfId="0" applyNumberFormat="1" applyFont="1" applyFill="1" applyBorder="1"/>
    <xf numFmtId="170" fontId="6" fillId="3" borderId="0" xfId="0" applyNumberFormat="1" applyFont="1" applyFill="1"/>
    <xf numFmtId="170" fontId="6" fillId="3" borderId="3" xfId="0" applyNumberFormat="1" applyFont="1" applyFill="1" applyBorder="1"/>
    <xf numFmtId="167" fontId="6" fillId="3" borderId="2" xfId="0" applyNumberFormat="1" applyFont="1" applyFill="1" applyBorder="1"/>
    <xf numFmtId="3" fontId="6" fillId="3" borderId="2" xfId="0" applyNumberFormat="1" applyFont="1" applyFill="1" applyBorder="1"/>
    <xf numFmtId="167" fontId="6" fillId="3" borderId="2" xfId="0" applyNumberFormat="1" applyFont="1" applyFill="1" applyBorder="1" applyAlignment="1">
      <alignment horizontal="right"/>
    </xf>
    <xf numFmtId="44" fontId="6" fillId="3" borderId="3" xfId="0" applyNumberFormat="1" applyFont="1" applyFill="1" applyBorder="1"/>
    <xf numFmtId="167" fontId="12" fillId="3" borderId="2" xfId="0" applyNumberFormat="1" applyFont="1" applyFill="1" applyBorder="1"/>
    <xf numFmtId="175" fontId="7" fillId="3" borderId="0" xfId="1" applyNumberFormat="1" applyFont="1" applyFill="1" applyBorder="1" applyAlignment="1">
      <alignment horizontal="center"/>
    </xf>
    <xf numFmtId="168" fontId="5" fillId="3" borderId="5" xfId="0" applyFont="1" applyFill="1" applyBorder="1"/>
    <xf numFmtId="168" fontId="13" fillId="3" borderId="6" xfId="0" applyFont="1" applyFill="1" applyBorder="1"/>
    <xf numFmtId="164" fontId="0" fillId="3" borderId="6" xfId="0" applyNumberFormat="1" applyFill="1" applyBorder="1"/>
    <xf numFmtId="168" fontId="9" fillId="3" borderId="9" xfId="0" applyFont="1" applyFill="1" applyBorder="1" applyAlignment="1">
      <alignment vertical="center"/>
    </xf>
    <xf numFmtId="17" fontId="7" fillId="3" borderId="0" xfId="0" applyNumberFormat="1" applyFont="1" applyFill="1" applyAlignment="1">
      <alignment horizontal="left"/>
    </xf>
    <xf numFmtId="168" fontId="7" fillId="3" borderId="0" xfId="0" applyFont="1" applyFill="1" applyAlignment="1">
      <alignment horizontal="right"/>
    </xf>
    <xf numFmtId="166" fontId="7" fillId="3" borderId="0" xfId="2" applyNumberFormat="1" applyFont="1" applyFill="1" applyBorder="1" applyAlignment="1">
      <alignment horizontal="right"/>
    </xf>
    <xf numFmtId="170" fontId="9" fillId="3" borderId="9" xfId="0" applyNumberFormat="1" applyFont="1" applyFill="1" applyBorder="1" applyAlignment="1">
      <alignment vertical="center"/>
    </xf>
    <xf numFmtId="168" fontId="10" fillId="3" borderId="8" xfId="0" applyFont="1" applyFill="1" applyBorder="1"/>
    <xf numFmtId="168" fontId="6" fillId="3" borderId="8" xfId="0" applyFont="1" applyFill="1" applyBorder="1" applyAlignment="1">
      <alignment horizontal="left"/>
    </xf>
    <xf numFmtId="170" fontId="6" fillId="3" borderId="9" xfId="0" applyNumberFormat="1" applyFont="1" applyFill="1" applyBorder="1"/>
    <xf numFmtId="168" fontId="6" fillId="3" borderId="8" xfId="0" applyFont="1" applyFill="1" applyBorder="1"/>
    <xf numFmtId="174" fontId="6" fillId="3" borderId="9" xfId="1" applyNumberFormat="1" applyFont="1" applyFill="1" applyBorder="1"/>
    <xf numFmtId="170" fontId="6" fillId="3" borderId="21" xfId="0" applyNumberFormat="1" applyFont="1" applyFill="1" applyBorder="1"/>
    <xf numFmtId="170" fontId="7" fillId="3" borderId="9" xfId="0" applyNumberFormat="1" applyFont="1" applyFill="1" applyBorder="1"/>
    <xf numFmtId="168" fontId="6" fillId="3" borderId="6" xfId="0" applyFont="1" applyFill="1" applyBorder="1"/>
    <xf numFmtId="3" fontId="6" fillId="3" borderId="19" xfId="0" applyNumberFormat="1" applyFont="1" applyFill="1" applyBorder="1"/>
    <xf numFmtId="168" fontId="6" fillId="3" borderId="19" xfId="0" applyFont="1" applyFill="1" applyBorder="1"/>
    <xf numFmtId="170" fontId="6" fillId="3" borderId="17" xfId="0" applyNumberFormat="1" applyFont="1" applyFill="1" applyBorder="1"/>
    <xf numFmtId="164" fontId="6" fillId="3" borderId="6" xfId="0" applyNumberFormat="1" applyFont="1" applyFill="1" applyBorder="1"/>
    <xf numFmtId="170" fontId="6" fillId="3" borderId="7" xfId="0" applyNumberFormat="1" applyFont="1" applyFill="1" applyBorder="1"/>
    <xf numFmtId="168" fontId="5" fillId="3" borderId="0" xfId="0" applyFont="1" applyFill="1"/>
    <xf numFmtId="170" fontId="10" fillId="3" borderId="3" xfId="0" applyNumberFormat="1" applyFont="1" applyFill="1" applyBorder="1"/>
    <xf numFmtId="170" fontId="5" fillId="3" borderId="9" xfId="0" applyNumberFormat="1" applyFont="1" applyFill="1" applyBorder="1"/>
    <xf numFmtId="168" fontId="6" fillId="3" borderId="10" xfId="0" applyFont="1" applyFill="1" applyBorder="1"/>
    <xf numFmtId="168" fontId="6" fillId="3" borderId="11" xfId="0" applyFont="1" applyFill="1" applyBorder="1" applyAlignment="1">
      <alignment horizontal="right"/>
    </xf>
    <xf numFmtId="168" fontId="6" fillId="3" borderId="11" xfId="0" applyFont="1" applyFill="1" applyBorder="1"/>
    <xf numFmtId="168" fontId="6" fillId="3" borderId="20" xfId="0" applyFont="1" applyFill="1" applyBorder="1"/>
    <xf numFmtId="170" fontId="6" fillId="3" borderId="18" xfId="0" applyNumberFormat="1" applyFont="1" applyFill="1" applyBorder="1"/>
    <xf numFmtId="164" fontId="6" fillId="3" borderId="11" xfId="0" applyNumberFormat="1" applyFont="1" applyFill="1" applyBorder="1"/>
    <xf numFmtId="170" fontId="6" fillId="3" borderId="12" xfId="0" applyNumberFormat="1" applyFont="1" applyFill="1" applyBorder="1"/>
    <xf numFmtId="168" fontId="6" fillId="3" borderId="0" xfId="0" applyFont="1" applyFill="1" applyAlignment="1">
      <alignment horizontal="left"/>
    </xf>
    <xf numFmtId="164" fontId="6" fillId="3" borderId="2" xfId="0" applyNumberFormat="1" applyFont="1" applyFill="1" applyBorder="1"/>
    <xf numFmtId="169" fontId="7" fillId="3" borderId="0" xfId="0" applyNumberFormat="1" applyFont="1" applyFill="1"/>
    <xf numFmtId="168" fontId="7" fillId="3" borderId="8" xfId="0" applyFont="1" applyFill="1" applyBorder="1"/>
    <xf numFmtId="43" fontId="7" fillId="3" borderId="0" xfId="1" applyFont="1" applyFill="1" applyBorder="1"/>
    <xf numFmtId="9" fontId="8" fillId="3" borderId="0" xfId="3" applyFont="1" applyFill="1" applyBorder="1" applyAlignment="1">
      <alignment horizontal="left"/>
    </xf>
    <xf numFmtId="14" fontId="6" fillId="3" borderId="0" xfId="0" applyNumberFormat="1" applyFont="1" applyFill="1"/>
    <xf numFmtId="168" fontId="6" fillId="3" borderId="0" xfId="0" applyFont="1" applyFill="1" applyAlignment="1">
      <alignment horizontal="center"/>
    </xf>
    <xf numFmtId="8" fontId="6" fillId="3" borderId="2" xfId="2" applyNumberFormat="1" applyFont="1" applyFill="1" applyBorder="1"/>
    <xf numFmtId="169" fontId="7" fillId="3" borderId="0" xfId="0" applyNumberFormat="1" applyFont="1" applyFill="1" applyAlignment="1">
      <alignment horizontal="left"/>
    </xf>
    <xf numFmtId="169" fontId="6" fillId="3" borderId="0" xfId="0" applyNumberFormat="1" applyFont="1" applyFill="1" applyAlignment="1">
      <alignment horizontal="right"/>
    </xf>
    <xf numFmtId="168" fontId="10" fillId="3" borderId="5" xfId="0" applyFont="1" applyFill="1" applyBorder="1" applyAlignment="1">
      <alignment horizontal="left"/>
    </xf>
    <xf numFmtId="168" fontId="6" fillId="3" borderId="8" xfId="0" applyFont="1" applyFill="1" applyBorder="1" applyAlignment="1">
      <alignment horizontal="right"/>
    </xf>
    <xf numFmtId="169" fontId="6" fillId="3" borderId="0" xfId="0" applyNumberFormat="1" applyFont="1" applyFill="1"/>
    <xf numFmtId="166" fontId="6" fillId="3" borderId="3" xfId="2" applyNumberFormat="1" applyFont="1" applyFill="1" applyBorder="1" applyAlignment="1">
      <alignment horizontal="right"/>
    </xf>
    <xf numFmtId="166" fontId="6" fillId="3" borderId="3" xfId="0" applyNumberFormat="1" applyFont="1" applyFill="1" applyBorder="1"/>
    <xf numFmtId="10" fontId="11" fillId="5" borderId="13" xfId="3" applyNumberFormat="1" applyFont="1" applyFill="1" applyBorder="1"/>
    <xf numFmtId="10" fontId="6" fillId="3" borderId="0" xfId="3" applyNumberFormat="1" applyFont="1" applyFill="1" applyBorder="1"/>
    <xf numFmtId="178" fontId="7" fillId="3" borderId="0" xfId="0" applyNumberFormat="1" applyFont="1" applyFill="1" applyAlignment="1">
      <alignment horizontal="left"/>
    </xf>
    <xf numFmtId="10" fontId="11" fillId="6" borderId="13" xfId="3" applyNumberFormat="1" applyFont="1" applyFill="1" applyBorder="1"/>
    <xf numFmtId="168" fontId="2" fillId="3" borderId="0" xfId="0" applyFont="1" applyFill="1" applyAlignment="1">
      <alignment horizontal="center"/>
    </xf>
    <xf numFmtId="175" fontId="8" fillId="2" borderId="13" xfId="0" applyNumberFormat="1" applyFont="1" applyFill="1" applyBorder="1"/>
    <xf numFmtId="10" fontId="8" fillId="5" borderId="13" xfId="1" applyNumberFormat="1" applyFont="1" applyFill="1" applyBorder="1"/>
    <xf numFmtId="10" fontId="8" fillId="6" borderId="13" xfId="1" applyNumberFormat="1" applyFont="1" applyFill="1" applyBorder="1"/>
    <xf numFmtId="166" fontId="8" fillId="2" borderId="13" xfId="2" applyNumberFormat="1" applyFont="1" applyFill="1" applyBorder="1" applyAlignment="1">
      <alignment horizontal="right"/>
    </xf>
    <xf numFmtId="10" fontId="8" fillId="2" borderId="13" xfId="3" applyNumberFormat="1" applyFont="1" applyFill="1" applyBorder="1" applyAlignment="1">
      <alignment horizontal="right"/>
    </xf>
    <xf numFmtId="8" fontId="8" fillId="2" borderId="13" xfId="0" applyNumberFormat="1" applyFont="1" applyFill="1" applyBorder="1"/>
    <xf numFmtId="168" fontId="14" fillId="3" borderId="0" xfId="0" applyFont="1" applyFill="1" applyAlignment="1">
      <alignment horizontal="center"/>
    </xf>
    <xf numFmtId="168" fontId="13" fillId="3" borderId="6" xfId="0" applyFont="1" applyFill="1" applyBorder="1" applyAlignment="1">
      <alignment horizontal="right"/>
    </xf>
    <xf numFmtId="175" fontId="8" fillId="2" borderId="13" xfId="1" applyNumberFormat="1" applyFont="1" applyFill="1" applyBorder="1" applyAlignment="1">
      <alignment horizontal="center"/>
    </xf>
    <xf numFmtId="176" fontId="8" fillId="2" borderId="14" xfId="0" applyNumberFormat="1" applyFont="1" applyFill="1" applyBorder="1" applyAlignment="1">
      <alignment horizontal="center"/>
    </xf>
    <xf numFmtId="177" fontId="8" fillId="2" borderId="16" xfId="0" applyNumberFormat="1" applyFont="1" applyFill="1" applyBorder="1" applyAlignment="1">
      <alignment horizontal="center"/>
    </xf>
    <xf numFmtId="14" fontId="15" fillId="3" borderId="0" xfId="0" applyNumberFormat="1" applyFont="1" applyFill="1" applyAlignment="1">
      <alignment horizontal="left"/>
    </xf>
    <xf numFmtId="172" fontId="8" fillId="2" borderId="15" xfId="0" applyNumberFormat="1" applyFont="1" applyFill="1" applyBorder="1" applyAlignment="1">
      <alignment horizontal="center"/>
    </xf>
    <xf numFmtId="172" fontId="8" fillId="2" borderId="16" xfId="0" applyNumberFormat="1" applyFont="1" applyFill="1" applyBorder="1" applyAlignment="1">
      <alignment horizontal="center"/>
    </xf>
    <xf numFmtId="172" fontId="7" fillId="3" borderId="1" xfId="0" applyNumberFormat="1" applyFont="1" applyFill="1" applyBorder="1" applyAlignment="1">
      <alignment horizontal="center"/>
    </xf>
    <xf numFmtId="172" fontId="7" fillId="3" borderId="0" xfId="0" applyNumberFormat="1" applyFont="1" applyFill="1" applyAlignment="1">
      <alignment horizontal="center"/>
    </xf>
    <xf numFmtId="175" fontId="8" fillId="2" borderId="15" xfId="1" applyNumberFormat="1" applyFont="1" applyFill="1" applyBorder="1" applyAlignment="1">
      <alignment horizontal="center"/>
    </xf>
    <xf numFmtId="170" fontId="11" fillId="3" borderId="3" xfId="0" applyNumberFormat="1" applyFont="1" applyFill="1" applyBorder="1"/>
    <xf numFmtId="168" fontId="11" fillId="3" borderId="0" xfId="0" applyFont="1" applyFill="1"/>
    <xf numFmtId="168" fontId="11" fillId="3" borderId="0" xfId="0" applyFont="1" applyFill="1" applyAlignment="1">
      <alignment horizontal="right"/>
    </xf>
    <xf numFmtId="10" fontId="0" fillId="3" borderId="0" xfId="3" applyNumberFormat="1" applyFont="1" applyFill="1" applyBorder="1"/>
    <xf numFmtId="168" fontId="7" fillId="3" borderId="0" xfId="0" applyFont="1" applyFill="1" applyAlignment="1">
      <alignment horizontal="center"/>
    </xf>
    <xf numFmtId="43" fontId="7" fillId="3" borderId="0" xfId="1" applyFont="1" applyFill="1" applyBorder="1" applyAlignment="1">
      <alignment horizontal="left"/>
    </xf>
    <xf numFmtId="168" fontId="0" fillId="3" borderId="6" xfId="0" applyFill="1" applyBorder="1" applyAlignment="1">
      <alignment horizontal="center"/>
    </xf>
    <xf numFmtId="170" fontId="17" fillId="3" borderId="9" xfId="0" applyNumberFormat="1" applyFont="1" applyFill="1" applyBorder="1"/>
    <xf numFmtId="168" fontId="18" fillId="3" borderId="0" xfId="0" applyFont="1" applyFill="1" applyAlignment="1">
      <alignment horizontal="center"/>
    </xf>
    <xf numFmtId="168" fontId="0" fillId="4" borderId="0" xfId="0" applyFill="1"/>
    <xf numFmtId="168" fontId="2" fillId="4" borderId="0" xfId="0" applyFont="1" applyFill="1"/>
    <xf numFmtId="168" fontId="19" fillId="4" borderId="0" xfId="0" applyFont="1" applyFill="1" applyAlignment="1">
      <alignment horizontal="left"/>
    </xf>
    <xf numFmtId="168" fontId="16" fillId="0" borderId="0" xfId="0" applyFont="1" applyAlignment="1">
      <alignment horizontal="right"/>
    </xf>
    <xf numFmtId="168" fontId="20" fillId="4" borderId="4" xfId="0" applyFont="1" applyFill="1" applyBorder="1" applyAlignment="1">
      <alignment horizontal="left"/>
    </xf>
    <xf numFmtId="175" fontId="7" fillId="3" borderId="0" xfId="1" applyNumberFormat="1" applyFont="1" applyFill="1" applyBorder="1" applyAlignment="1">
      <alignment horizontal="left"/>
    </xf>
    <xf numFmtId="168" fontId="0" fillId="0" borderId="0" xfId="0"/>
    <xf numFmtId="168" fontId="0" fillId="0" borderId="9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3E0DF1"/>
      <color rgb="FF99FFCC"/>
      <color rgb="FFFF3399"/>
      <color rgb="FFCCFFCC"/>
      <color rgb="FFFFFFCC"/>
      <color rgb="FF990000"/>
      <color rgb="FFCC66FF"/>
      <color rgb="FFFFCCFF"/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00B050"/>
  </sheetPr>
  <dimension ref="B1:O65"/>
  <sheetViews>
    <sheetView tabSelected="1" topLeftCell="A4" zoomScale="65" zoomScaleNormal="65" workbookViewId="0">
      <selection activeCell="K24" sqref="K24"/>
    </sheetView>
  </sheetViews>
  <sheetFormatPr defaultRowHeight="13.2" x14ac:dyDescent="0.25"/>
  <cols>
    <col min="1" max="1" width="2.109375" customWidth="1"/>
    <col min="2" max="2" width="27.6640625" customWidth="1"/>
    <col min="3" max="3" width="13.88671875" customWidth="1"/>
    <col min="4" max="4" width="32.88671875" bestFit="1" customWidth="1"/>
    <col min="5" max="5" width="11.5546875" customWidth="1"/>
    <col min="6" max="6" width="44.44140625" customWidth="1"/>
    <col min="7" max="7" width="17.33203125" customWidth="1"/>
    <col min="8" max="8" width="11.5546875" bestFit="1" customWidth="1"/>
    <col min="9" max="9" width="17.109375" bestFit="1" customWidth="1"/>
    <col min="10" max="10" width="19" bestFit="1" customWidth="1"/>
    <col min="11" max="11" width="45.33203125" bestFit="1" customWidth="1"/>
    <col min="12" max="12" width="2.109375" customWidth="1"/>
    <col min="13" max="13" width="17.33203125" bestFit="1" customWidth="1"/>
    <col min="14" max="14" width="4.109375" customWidth="1"/>
    <col min="15" max="15" width="15.44140625" bestFit="1" customWidth="1"/>
  </cols>
  <sheetData>
    <row r="1" spans="2:15" ht="15" x14ac:dyDescent="0.25">
      <c r="B1" s="1"/>
      <c r="O1" s="108"/>
    </row>
    <row r="2" spans="2:15" ht="28.8" x14ac:dyDescent="0.5">
      <c r="B2" s="107" t="s">
        <v>42</v>
      </c>
      <c r="C2" s="105"/>
      <c r="D2" s="105"/>
      <c r="E2" s="105"/>
      <c r="F2" s="105"/>
      <c r="G2" s="106"/>
      <c r="H2" s="105"/>
      <c r="I2" s="105"/>
      <c r="J2" s="105"/>
      <c r="K2" s="105"/>
      <c r="L2" s="105"/>
      <c r="M2" s="105"/>
      <c r="N2" s="105"/>
      <c r="O2" s="105"/>
    </row>
    <row r="3" spans="2:15" ht="28.8" x14ac:dyDescent="0.5">
      <c r="B3" s="107" t="s">
        <v>38</v>
      </c>
      <c r="C3" s="105"/>
      <c r="D3" s="105"/>
      <c r="E3" s="105"/>
      <c r="F3" s="105"/>
      <c r="G3" s="106"/>
      <c r="H3" s="105"/>
      <c r="I3" s="105"/>
      <c r="J3" s="105"/>
      <c r="K3" s="105"/>
      <c r="L3" s="105"/>
      <c r="M3" s="105"/>
      <c r="N3" s="105"/>
      <c r="O3" s="105"/>
    </row>
    <row r="4" spans="2:15" ht="28.8" x14ac:dyDescent="0.5">
      <c r="B4" s="107" t="s">
        <v>39</v>
      </c>
      <c r="C4" s="105"/>
      <c r="D4" s="105"/>
      <c r="E4" s="105"/>
      <c r="F4" s="105"/>
      <c r="G4" s="106"/>
      <c r="H4" s="105"/>
      <c r="I4" s="105"/>
      <c r="J4" s="105"/>
      <c r="K4" s="105"/>
      <c r="L4" s="105"/>
      <c r="M4" s="105"/>
      <c r="N4" s="105"/>
      <c r="O4" s="105"/>
    </row>
    <row r="5" spans="2:15" ht="29.4" thickBot="1" x14ac:dyDescent="0.55000000000000004">
      <c r="B5" s="107" t="s">
        <v>40</v>
      </c>
      <c r="C5" s="105"/>
      <c r="D5" s="105"/>
      <c r="E5" s="105"/>
      <c r="F5" s="105"/>
      <c r="G5" s="106"/>
      <c r="H5" s="105"/>
      <c r="I5" s="105"/>
      <c r="J5" s="105"/>
      <c r="K5" s="105"/>
      <c r="L5" s="105"/>
      <c r="M5" s="105"/>
      <c r="N5" s="105"/>
      <c r="O5" s="105"/>
    </row>
    <row r="6" spans="2:15" ht="18" customHeight="1" x14ac:dyDescent="0.3">
      <c r="B6" s="27" t="s">
        <v>17</v>
      </c>
      <c r="C6" s="7"/>
      <c r="D6" s="7"/>
      <c r="E6" s="7"/>
      <c r="F6" s="102"/>
      <c r="G6" s="28"/>
      <c r="H6" s="7"/>
      <c r="I6" s="7"/>
      <c r="J6" s="7"/>
      <c r="K6" s="7"/>
      <c r="L6" s="7"/>
      <c r="M6" s="29"/>
      <c r="N6" s="86" t="s">
        <v>18</v>
      </c>
      <c r="O6" s="8"/>
    </row>
    <row r="7" spans="2:15" ht="18" customHeight="1" thickBot="1" x14ac:dyDescent="0.35">
      <c r="B7" s="61"/>
      <c r="C7" s="14"/>
      <c r="D7" s="14"/>
      <c r="E7" s="14"/>
      <c r="F7" s="17"/>
      <c r="G7" s="31"/>
      <c r="H7" s="4"/>
      <c r="I7" s="14"/>
      <c r="J7" s="26"/>
      <c r="K7" s="62"/>
      <c r="L7" s="14"/>
      <c r="M7" s="13"/>
      <c r="N7" s="13"/>
      <c r="O7" s="30"/>
    </row>
    <row r="8" spans="2:15" ht="29.4" thickBot="1" x14ac:dyDescent="0.55000000000000004">
      <c r="B8" s="109" t="s">
        <v>43</v>
      </c>
      <c r="C8" s="3"/>
      <c r="D8" s="3"/>
      <c r="E8" s="3"/>
      <c r="F8" s="85" t="s">
        <v>41</v>
      </c>
      <c r="G8" s="3"/>
      <c r="H8" s="3"/>
      <c r="I8" s="3"/>
      <c r="J8" s="3"/>
      <c r="K8" s="3"/>
      <c r="L8" s="3"/>
      <c r="M8" s="2"/>
      <c r="N8" s="2"/>
      <c r="O8" s="9"/>
    </row>
    <row r="9" spans="2:15" ht="15.6" x14ac:dyDescent="0.3">
      <c r="B9" s="5"/>
      <c r="C9" s="4"/>
      <c r="D9" s="4"/>
      <c r="E9" s="3"/>
      <c r="F9" s="104" t="s">
        <v>27</v>
      </c>
      <c r="G9" s="78"/>
      <c r="H9" s="4"/>
      <c r="I9" s="4"/>
      <c r="J9" s="4"/>
      <c r="K9" s="4"/>
      <c r="L9" s="4"/>
      <c r="M9" s="10"/>
      <c r="N9" s="10"/>
      <c r="O9" s="6"/>
    </row>
    <row r="10" spans="2:15" ht="18" x14ac:dyDescent="0.3">
      <c r="B10" s="61" t="s">
        <v>10</v>
      </c>
      <c r="C10" s="14"/>
      <c r="D10" s="14"/>
      <c r="E10" s="3"/>
      <c r="F10" s="104" t="s">
        <v>28</v>
      </c>
      <c r="G10" s="78"/>
      <c r="H10" s="4"/>
      <c r="I10" s="14"/>
      <c r="J10" s="14"/>
      <c r="K10" s="91">
        <v>24473</v>
      </c>
      <c r="L10" s="4"/>
      <c r="M10" s="10"/>
      <c r="N10" s="13"/>
      <c r="O10" s="30"/>
    </row>
    <row r="11" spans="2:15" ht="18" x14ac:dyDescent="0.3">
      <c r="B11" s="61" t="s">
        <v>34</v>
      </c>
      <c r="C11" s="14"/>
      <c r="D11" s="14"/>
      <c r="E11" s="3"/>
      <c r="F11" s="104" t="s">
        <v>29</v>
      </c>
      <c r="G11" s="78"/>
      <c r="H11" s="4"/>
      <c r="I11" s="17"/>
      <c r="J11" s="14"/>
      <c r="K11" s="95">
        <v>114</v>
      </c>
      <c r="L11" s="4"/>
      <c r="M11" s="10"/>
      <c r="N11" s="13"/>
      <c r="O11" s="30"/>
    </row>
    <row r="12" spans="2:15" ht="18" x14ac:dyDescent="0.3">
      <c r="B12" s="61" t="s">
        <v>36</v>
      </c>
      <c r="C12" s="14"/>
      <c r="D12" s="14"/>
      <c r="E12" s="3"/>
      <c r="F12" s="104" t="s">
        <v>30</v>
      </c>
      <c r="G12" s="78"/>
      <c r="H12" s="4"/>
      <c r="I12" s="17"/>
      <c r="J12" s="14"/>
      <c r="K12" s="88">
        <v>0</v>
      </c>
      <c r="L12" s="4"/>
      <c r="M12" s="10"/>
      <c r="N12" s="13"/>
      <c r="O12" s="30"/>
    </row>
    <row r="13" spans="2:15" ht="17.399999999999999" x14ac:dyDescent="0.3">
      <c r="B13" s="61" t="s">
        <v>35</v>
      </c>
      <c r="C13" s="14"/>
      <c r="D13" s="14"/>
      <c r="E13" s="3"/>
      <c r="F13" s="104" t="s">
        <v>31</v>
      </c>
      <c r="G13" s="78"/>
      <c r="H13" s="4"/>
      <c r="I13" s="17"/>
      <c r="J13" s="14"/>
      <c r="K13" s="89">
        <v>0</v>
      </c>
      <c r="L13" s="4"/>
      <c r="M13" s="110">
        <f>DATEDIF(K10,K15,"D")/365.25</f>
        <v>113.99863107460644</v>
      </c>
      <c r="N13" s="111"/>
      <c r="O13" s="112"/>
    </row>
    <row r="14" spans="2:15" ht="18" x14ac:dyDescent="0.3">
      <c r="B14" s="61" t="s">
        <v>11</v>
      </c>
      <c r="C14" s="14"/>
      <c r="D14" s="14"/>
      <c r="E14" s="3"/>
      <c r="F14" s="78"/>
      <c r="G14" s="78"/>
      <c r="H14" s="4"/>
      <c r="I14" s="17"/>
      <c r="J14" s="14"/>
      <c r="K14" s="92">
        <v>43067</v>
      </c>
      <c r="L14" s="4"/>
      <c r="M14" s="10"/>
      <c r="N14" s="13"/>
      <c r="O14" s="30"/>
    </row>
    <row r="15" spans="2:15" ht="18" x14ac:dyDescent="0.3">
      <c r="B15" s="61" t="s">
        <v>19</v>
      </c>
      <c r="C15" s="14"/>
      <c r="D15" s="14"/>
      <c r="E15" s="3"/>
      <c r="F15" s="78"/>
      <c r="G15" s="78"/>
      <c r="H15" s="4"/>
      <c r="I15" s="17"/>
      <c r="J15" s="14"/>
      <c r="K15" s="93">
        <f>DATE(YEAR(K10)+K11,MONTH(K10)+K12,DAY(K10)+K13-1)</f>
        <v>66111</v>
      </c>
      <c r="L15" s="4"/>
      <c r="M15" s="10"/>
      <c r="N15" s="13"/>
      <c r="O15" s="30"/>
    </row>
    <row r="16" spans="2:15" ht="18" x14ac:dyDescent="0.3">
      <c r="B16" s="61" t="s">
        <v>12</v>
      </c>
      <c r="C16" s="14"/>
      <c r="D16" s="14"/>
      <c r="E16" s="14"/>
      <c r="F16" s="17"/>
      <c r="G16" s="31"/>
      <c r="H16" s="4"/>
      <c r="I16" s="17"/>
      <c r="J16" s="14"/>
      <c r="K16" s="26">
        <f>DATEDIF(K14,K15,"D")/365.25</f>
        <v>63.091033538672143</v>
      </c>
      <c r="L16" s="90" t="str">
        <f>DATEDIF(K14,K15,"y")&amp;" years,"&amp; DATEDIF(K14,K15,"ym") &amp;" month(s), "&amp; DATEDIF(K14,K15,"md")&amp;" Days"</f>
        <v>63 years,1 month(s), 3 Days</v>
      </c>
      <c r="M16" s="4"/>
      <c r="N16" s="10"/>
      <c r="O16" s="30"/>
    </row>
    <row r="17" spans="2:15" ht="18" x14ac:dyDescent="0.3">
      <c r="B17" s="61" t="s">
        <v>20</v>
      </c>
      <c r="C17" s="14"/>
      <c r="D17" s="14"/>
      <c r="E17" s="14"/>
      <c r="F17" s="17"/>
      <c r="G17" s="31"/>
      <c r="H17" s="4"/>
      <c r="I17" s="62"/>
      <c r="J17" s="14"/>
      <c r="K17" s="87">
        <v>90</v>
      </c>
      <c r="L17" s="4"/>
      <c r="M17" s="4"/>
      <c r="N17" s="10"/>
      <c r="O17" s="30"/>
    </row>
    <row r="18" spans="2:15" ht="18" x14ac:dyDescent="0.3">
      <c r="B18" s="61" t="s">
        <v>21</v>
      </c>
      <c r="C18" s="14"/>
      <c r="D18" s="14"/>
      <c r="E18" s="14"/>
      <c r="F18" s="17"/>
      <c r="G18" s="31"/>
      <c r="H18" s="4"/>
      <c r="I18" s="62"/>
      <c r="J18" s="14"/>
      <c r="K18" s="93">
        <f>DATE(YEAR(K15)+K17,MONTH(K15),DAY(K15))</f>
        <v>98982</v>
      </c>
      <c r="L18" s="4"/>
      <c r="M18" s="4"/>
      <c r="N18" s="10"/>
      <c r="O18" s="30"/>
    </row>
    <row r="19" spans="2:15" ht="18" x14ac:dyDescent="0.3">
      <c r="B19" s="61" t="s">
        <v>13</v>
      </c>
      <c r="C19" s="14"/>
      <c r="D19" s="14"/>
      <c r="E19" s="14"/>
      <c r="F19" s="17"/>
      <c r="G19" s="31"/>
      <c r="H19" s="11"/>
      <c r="I19" s="17"/>
      <c r="J19" s="11"/>
      <c r="K19" s="80">
        <v>7.0000000000000007E-2</v>
      </c>
      <c r="L19" s="4"/>
      <c r="M19" s="4"/>
      <c r="N19" s="10"/>
      <c r="O19" s="30"/>
    </row>
    <row r="20" spans="2:15" ht="18" x14ac:dyDescent="0.3">
      <c r="B20" s="61" t="s">
        <v>14</v>
      </c>
      <c r="C20" s="14"/>
      <c r="D20" s="14"/>
      <c r="E20" s="14"/>
      <c r="F20" s="17"/>
      <c r="G20" s="31"/>
      <c r="H20" s="11"/>
      <c r="I20" s="17"/>
      <c r="J20" s="11"/>
      <c r="K20" s="81">
        <v>0.05</v>
      </c>
      <c r="L20" s="4"/>
      <c r="M20" s="4"/>
      <c r="N20" s="10"/>
      <c r="O20" s="30"/>
    </row>
    <row r="21" spans="2:15" ht="18" x14ac:dyDescent="0.3">
      <c r="B21" s="61" t="s">
        <v>15</v>
      </c>
      <c r="C21" s="14"/>
      <c r="D21" s="14"/>
      <c r="E21" s="14"/>
      <c r="F21" s="62"/>
      <c r="G21" s="101"/>
      <c r="H21" s="32"/>
      <c r="I21" s="17"/>
      <c r="J21" s="11"/>
      <c r="K21" s="100">
        <f>K23/(1-K22)</f>
        <v>252525.25252525252</v>
      </c>
      <c r="L21" s="4"/>
      <c r="M21" s="4"/>
      <c r="N21" s="10"/>
      <c r="O21" s="30"/>
    </row>
    <row r="22" spans="2:15" ht="18" x14ac:dyDescent="0.3">
      <c r="B22" s="61" t="s">
        <v>32</v>
      </c>
      <c r="C22" s="14"/>
      <c r="D22" s="14"/>
      <c r="E22" s="14"/>
      <c r="F22" s="62"/>
      <c r="G22" s="31"/>
      <c r="H22" s="63"/>
      <c r="I22" s="17"/>
      <c r="J22" s="32"/>
      <c r="K22" s="83">
        <v>0.01</v>
      </c>
      <c r="L22" s="4"/>
      <c r="M22" s="4"/>
      <c r="N22" s="10"/>
      <c r="O22" s="30"/>
    </row>
    <row r="23" spans="2:15" ht="18" x14ac:dyDescent="0.3">
      <c r="B23" s="61" t="s">
        <v>33</v>
      </c>
      <c r="C23" s="14"/>
      <c r="D23" s="14"/>
      <c r="E23" s="14"/>
      <c r="F23" s="62"/>
      <c r="G23" s="101"/>
      <c r="H23" s="63"/>
      <c r="I23" s="17"/>
      <c r="J23" s="32"/>
      <c r="K23" s="82">
        <v>250000</v>
      </c>
      <c r="L23" s="4"/>
      <c r="M23" s="10"/>
      <c r="N23" s="13"/>
      <c r="O23" s="30"/>
    </row>
    <row r="24" spans="2:15" ht="18" x14ac:dyDescent="0.3">
      <c r="B24" s="61" t="s">
        <v>6</v>
      </c>
      <c r="C24" s="14"/>
      <c r="D24" s="14"/>
      <c r="E24" s="14"/>
      <c r="F24" s="62"/>
      <c r="G24" s="31"/>
      <c r="H24" s="11"/>
      <c r="I24" s="14"/>
      <c r="J24" s="11"/>
      <c r="K24" s="83">
        <v>0.88</v>
      </c>
      <c r="L24" s="4"/>
      <c r="M24" s="10"/>
      <c r="N24" s="13"/>
      <c r="O24" s="34"/>
    </row>
    <row r="25" spans="2:15" ht="18" x14ac:dyDescent="0.3">
      <c r="B25" s="61" t="s">
        <v>22</v>
      </c>
      <c r="C25" s="14"/>
      <c r="D25" s="14"/>
      <c r="E25" s="14"/>
      <c r="F25" s="62"/>
      <c r="G25" s="14"/>
      <c r="H25" s="14"/>
      <c r="I25" s="14"/>
      <c r="J25" s="14"/>
      <c r="K25" s="33">
        <f>K21*K24</f>
        <v>222222.22222222222</v>
      </c>
      <c r="L25" s="4"/>
      <c r="M25" s="99"/>
      <c r="N25" s="13"/>
      <c r="O25" s="34"/>
    </row>
    <row r="26" spans="2:15" ht="18" x14ac:dyDescent="0.3">
      <c r="B26" s="61"/>
      <c r="C26" s="14"/>
      <c r="D26" s="14"/>
      <c r="E26" s="14"/>
      <c r="F26" s="62"/>
      <c r="G26" s="14"/>
      <c r="H26" s="14"/>
      <c r="I26" s="4"/>
      <c r="J26" s="4"/>
      <c r="K26" s="14"/>
      <c r="L26" s="4"/>
      <c r="M26" s="10"/>
      <c r="N26" s="13"/>
      <c r="O26" s="34"/>
    </row>
    <row r="27" spans="2:15" ht="18" x14ac:dyDescent="0.3">
      <c r="B27" s="35" t="s">
        <v>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3"/>
      <c r="N27" s="13"/>
      <c r="O27" s="34"/>
    </row>
    <row r="28" spans="2:15" ht="18" x14ac:dyDescent="0.3">
      <c r="B28" s="35"/>
      <c r="C28" s="14"/>
      <c r="D28" s="14"/>
      <c r="E28" s="14"/>
      <c r="F28" s="64"/>
      <c r="G28" s="14"/>
      <c r="H28" s="14"/>
      <c r="I28" s="14"/>
      <c r="J28" s="14"/>
      <c r="K28" s="14"/>
      <c r="L28" s="14"/>
      <c r="M28" s="19"/>
      <c r="N28" s="13"/>
      <c r="O28" s="34"/>
    </row>
    <row r="29" spans="2:15" ht="17.399999999999999" x14ac:dyDescent="0.3">
      <c r="B29" s="36" t="s">
        <v>4</v>
      </c>
      <c r="C29" s="14"/>
      <c r="D29" s="84">
        <v>50</v>
      </c>
      <c r="E29" s="65" t="s">
        <v>7</v>
      </c>
      <c r="F29" s="79">
        <v>114</v>
      </c>
      <c r="G29" s="14"/>
      <c r="H29" s="14" t="s">
        <v>8</v>
      </c>
      <c r="I29" s="74">
        <f>K19</f>
        <v>7.0000000000000007E-2</v>
      </c>
      <c r="J29" s="14"/>
      <c r="K29" s="66">
        <f>IF(D30&gt;0,D29,0)</f>
        <v>50</v>
      </c>
      <c r="L29" s="15"/>
      <c r="M29" s="20"/>
      <c r="N29" s="13"/>
      <c r="O29" s="37"/>
    </row>
    <row r="30" spans="2:15" ht="17.399999999999999" x14ac:dyDescent="0.3">
      <c r="B30" s="36" t="s">
        <v>0</v>
      </c>
      <c r="C30" s="14"/>
      <c r="D30" s="67">
        <f>IF(ISNUMBER(DATEDIF(K14,F30,"d")/365.25),DATEDIF(K14,F30,"d")/365.25,0)</f>
        <v>63.093771389459278</v>
      </c>
      <c r="E30" s="65" t="s">
        <v>25</v>
      </c>
      <c r="F30" s="94">
        <f>DATE(YEAR(K$10)+INT(F29),MONTH(K$10)+MOD(F29,1)*12,DAY(K$10)+MOD(MOD(F29,1)*12,1)*365/12)</f>
        <v>66112</v>
      </c>
      <c r="G30" s="14"/>
      <c r="H30" s="14"/>
      <c r="I30" s="75"/>
      <c r="J30" s="14"/>
      <c r="K30" s="23">
        <f>IF(ISNUMBER(1/(I29+((0%/(((1+(0%))^F29)-1))/(1-0%)))),(1/(I29+((0%/(((1+(0%))^F29)-1))/(1-0%)))),((1-(POWER(1+I29,-D30)))/I29))</f>
        <v>14.085742553708354</v>
      </c>
      <c r="L30" s="15"/>
      <c r="M30" s="20"/>
      <c r="N30" s="13"/>
      <c r="O30" s="37"/>
    </row>
    <row r="31" spans="2:15" ht="17.399999999999999" x14ac:dyDescent="0.3">
      <c r="B31" s="38"/>
      <c r="C31" s="14"/>
      <c r="D31" s="67"/>
      <c r="E31" s="14"/>
      <c r="F31" s="67"/>
      <c r="G31" s="14"/>
      <c r="H31" s="14"/>
      <c r="I31" s="75"/>
      <c r="J31" s="14"/>
      <c r="K31" s="22"/>
      <c r="L31" s="15"/>
      <c r="M31" s="72">
        <f>IF(ISNUMBER(K29*K30),K29*K30,0)</f>
        <v>704.28712768541766</v>
      </c>
      <c r="N31" s="59"/>
      <c r="O31" s="37"/>
    </row>
    <row r="32" spans="2:15" ht="17.399999999999999" x14ac:dyDescent="0.3">
      <c r="B32" s="38"/>
      <c r="C32" s="14"/>
      <c r="D32" s="14"/>
      <c r="E32" s="14"/>
      <c r="F32" s="14"/>
      <c r="G32" s="14"/>
      <c r="H32" s="14"/>
      <c r="I32" s="75"/>
      <c r="J32" s="14"/>
      <c r="K32" s="22"/>
      <c r="L32" s="15"/>
      <c r="M32" s="73"/>
      <c r="N32" s="13"/>
      <c r="O32" s="37"/>
    </row>
    <row r="33" spans="2:15" ht="17.399999999999999" x14ac:dyDescent="0.3">
      <c r="B33" s="36" t="s">
        <v>4</v>
      </c>
      <c r="C33" s="16"/>
      <c r="D33" s="84">
        <v>0</v>
      </c>
      <c r="E33" s="65" t="s">
        <v>7</v>
      </c>
      <c r="F33" s="79">
        <v>0</v>
      </c>
      <c r="G33" s="14"/>
      <c r="H33" s="14" t="s">
        <v>8</v>
      </c>
      <c r="I33" s="74">
        <f>K$19</f>
        <v>7.0000000000000007E-2</v>
      </c>
      <c r="J33" s="14"/>
      <c r="K33" s="66">
        <f>IF(D34&gt;0,D33,0)</f>
        <v>0</v>
      </c>
      <c r="L33" s="15"/>
      <c r="M33" s="73"/>
      <c r="N33" s="13"/>
      <c r="O33" s="37"/>
    </row>
    <row r="34" spans="2:15" ht="17.399999999999999" x14ac:dyDescent="0.3">
      <c r="B34" s="36" t="s">
        <v>0</v>
      </c>
      <c r="C34" s="14"/>
      <c r="D34" s="67">
        <f>IF(F30&gt;K14,F33,(F34-K14)/365.25)</f>
        <v>0</v>
      </c>
      <c r="E34" s="65" t="s">
        <v>25</v>
      </c>
      <c r="F34" s="94">
        <f>DATE(YEAR(K$10)+INT(F29+F33),MONTH(K$10)+MOD(F29+F33,1)*12,DAY(K$10)+MOD(MOD(F29+F33,1)*12,1)*365/12)</f>
        <v>66112</v>
      </c>
      <c r="G34" s="14"/>
      <c r="H34" s="14"/>
      <c r="I34" s="14"/>
      <c r="J34" s="14"/>
      <c r="K34" s="23">
        <f>IF(ISNUMBER(1/(I33+((0%/(((1+(0%))^F33)-1))/(1-0%)))),(1/(I33+((0%/(((1+(0%))^F33)-1))/(1-0%)))),((1-(POWER(1+I33,-D34)))/I33))</f>
        <v>0</v>
      </c>
      <c r="L34" s="15"/>
      <c r="M34" s="73"/>
      <c r="N34" s="13"/>
      <c r="O34" s="39"/>
    </row>
    <row r="35" spans="2:15" ht="17.399999999999999" x14ac:dyDescent="0.3">
      <c r="B35" s="36" t="s">
        <v>26</v>
      </c>
      <c r="C35" s="14"/>
      <c r="D35" s="67">
        <f>IF(F29&gt;M7,D34+D30,(F34-M7)/365.25)</f>
        <v>63.093771389459278</v>
      </c>
      <c r="E35" s="14"/>
      <c r="F35" s="68"/>
      <c r="G35" s="14"/>
      <c r="H35" s="14"/>
      <c r="I35" s="75"/>
      <c r="J35" s="14"/>
      <c r="K35" s="23">
        <f>IF(D35&gt;0,IF(D35&lt;=K11,SUM(1/(POWER(1+I33,D30))),1),1)</f>
        <v>1.3998021240415107E-2</v>
      </c>
      <c r="L35" s="15"/>
      <c r="M35" s="73"/>
      <c r="N35" s="13"/>
      <c r="O35" s="39"/>
    </row>
    <row r="36" spans="2:15" ht="17.399999999999999" x14ac:dyDescent="0.3">
      <c r="B36" s="36"/>
      <c r="C36" s="14"/>
      <c r="D36" s="17"/>
      <c r="E36" s="14"/>
      <c r="F36" s="76"/>
      <c r="G36" s="14"/>
      <c r="H36" s="14"/>
      <c r="I36" s="75"/>
      <c r="J36" s="14"/>
      <c r="K36" s="25"/>
      <c r="L36" s="15"/>
      <c r="M36" s="72">
        <f>IF(ISNUMBER(K33*K34*K35),K33*K34*K35,0)</f>
        <v>0</v>
      </c>
      <c r="N36" s="13"/>
      <c r="O36" s="39"/>
    </row>
    <row r="37" spans="2:15" ht="17.399999999999999" x14ac:dyDescent="0.3">
      <c r="B37" s="36"/>
      <c r="C37" s="14"/>
      <c r="D37" s="17"/>
      <c r="E37" s="14"/>
      <c r="F37" s="14"/>
      <c r="G37" s="14"/>
      <c r="H37" s="14"/>
      <c r="I37" s="75"/>
      <c r="J37" s="14"/>
      <c r="K37" s="22"/>
      <c r="L37" s="15"/>
      <c r="M37" s="73"/>
      <c r="N37" s="13"/>
      <c r="O37" s="37"/>
    </row>
    <row r="38" spans="2:15" ht="17.399999999999999" x14ac:dyDescent="0.3">
      <c r="B38" s="36" t="s">
        <v>4</v>
      </c>
      <c r="C38" s="16"/>
      <c r="D38" s="84">
        <v>0</v>
      </c>
      <c r="E38" s="65" t="s">
        <v>7</v>
      </c>
      <c r="F38" s="79">
        <v>0</v>
      </c>
      <c r="G38" s="14"/>
      <c r="H38" s="14" t="s">
        <v>8</v>
      </c>
      <c r="I38" s="74">
        <f>K$19</f>
        <v>7.0000000000000007E-2</v>
      </c>
      <c r="J38" s="14"/>
      <c r="K38" s="66">
        <f>IF(D39&gt;0,D38,0)</f>
        <v>0</v>
      </c>
      <c r="L38" s="15"/>
      <c r="M38" s="73"/>
      <c r="N38" s="13"/>
      <c r="O38" s="37"/>
    </row>
    <row r="39" spans="2:15" ht="17.399999999999999" x14ac:dyDescent="0.3">
      <c r="B39" s="36" t="s">
        <v>0</v>
      </c>
      <c r="C39" s="14"/>
      <c r="D39" s="67">
        <f>IF(F34&gt;K14,F38,(F39-K14)/365.25)</f>
        <v>0</v>
      </c>
      <c r="E39" s="65" t="s">
        <v>25</v>
      </c>
      <c r="F39" s="94">
        <f>DATE(YEAR(K$10)+INT(F29+F33+F38),MONTH(K$10)+MOD(F29+F33+F38,1)*12,DAY(K$10)+MOD(MOD(F29+F33+F38,1)*12,1)*365/12)</f>
        <v>66112</v>
      </c>
      <c r="G39" s="14"/>
      <c r="H39" s="14"/>
      <c r="I39" s="14"/>
      <c r="J39" s="14"/>
      <c r="K39" s="23">
        <f>IF(ISNUMBER(1/(I38+((0%/(((1+(0%))^F38)-1))/(1-0%)))),(1/(I38+((0%/(((1+(0%))^F38)-1))/(1-0%)))),((1-(POWER(1+I38,-D39)))/I38))</f>
        <v>0</v>
      </c>
      <c r="L39" s="15"/>
      <c r="M39" s="73"/>
      <c r="N39" s="13"/>
      <c r="O39" s="39"/>
    </row>
    <row r="40" spans="2:15" ht="17.399999999999999" x14ac:dyDescent="0.3">
      <c r="B40" s="36" t="s">
        <v>26</v>
      </c>
      <c r="C40" s="14"/>
      <c r="D40" s="67">
        <f>IF(F34&gt;K14,D39+D35,(F39-K14)/365.25)</f>
        <v>63.093771389459278</v>
      </c>
      <c r="E40" s="14"/>
      <c r="F40" s="14"/>
      <c r="G40" s="14"/>
      <c r="H40" s="14"/>
      <c r="I40" s="75"/>
      <c r="J40" s="14"/>
      <c r="K40" s="23">
        <f>IF(D40&gt;0,IF(D40&lt;=K11,SUM(1/(POWER(1+I38,D35))),1),1)</f>
        <v>1.3998021240415107E-2</v>
      </c>
      <c r="L40" s="15"/>
      <c r="M40" s="73"/>
      <c r="N40" s="13"/>
      <c r="O40" s="37"/>
    </row>
    <row r="41" spans="2:15" ht="17.399999999999999" x14ac:dyDescent="0.3">
      <c r="B41" s="36"/>
      <c r="C41" s="14"/>
      <c r="D41" s="17"/>
      <c r="E41" s="14"/>
      <c r="F41" s="67"/>
      <c r="G41" s="14"/>
      <c r="H41" s="14"/>
      <c r="I41" s="75"/>
      <c r="J41" s="14"/>
      <c r="K41" s="22"/>
      <c r="L41" s="15"/>
      <c r="M41" s="72">
        <f>IF(ISNUMBER(K38*K39*K40),K38*K39*K40,0)</f>
        <v>0</v>
      </c>
      <c r="N41" s="13"/>
      <c r="O41" s="37"/>
    </row>
    <row r="42" spans="2:15" ht="17.399999999999999" x14ac:dyDescent="0.3">
      <c r="B42" s="36"/>
      <c r="C42" s="14"/>
      <c r="D42" s="14"/>
      <c r="E42" s="14"/>
      <c r="F42" s="14"/>
      <c r="G42" s="14"/>
      <c r="H42" s="14"/>
      <c r="I42" s="75"/>
      <c r="J42" s="14"/>
      <c r="K42" s="22"/>
      <c r="L42" s="15"/>
      <c r="M42" s="73"/>
      <c r="N42" s="13"/>
      <c r="O42" s="37"/>
    </row>
    <row r="43" spans="2:15" ht="17.399999999999999" x14ac:dyDescent="0.3">
      <c r="B43" s="36" t="s">
        <v>4</v>
      </c>
      <c r="C43" s="16"/>
      <c r="D43" s="84">
        <v>0</v>
      </c>
      <c r="E43" s="65" t="s">
        <v>7</v>
      </c>
      <c r="F43" s="79">
        <v>0</v>
      </c>
      <c r="G43" s="14"/>
      <c r="H43" s="14" t="s">
        <v>8</v>
      </c>
      <c r="I43" s="74">
        <f>K$19</f>
        <v>7.0000000000000007E-2</v>
      </c>
      <c r="J43" s="14"/>
      <c r="K43" s="66">
        <f>IF(D44&gt;0,D43,0)</f>
        <v>0</v>
      </c>
      <c r="L43" s="15"/>
      <c r="M43" s="73"/>
      <c r="N43" s="13"/>
      <c r="O43" s="37"/>
    </row>
    <row r="44" spans="2:15" ht="17.399999999999999" x14ac:dyDescent="0.3">
      <c r="B44" s="36" t="s">
        <v>0</v>
      </c>
      <c r="C44" s="14"/>
      <c r="D44" s="67">
        <f>IF(F39&gt;K19,F43,(F44-K19)/365.25)</f>
        <v>0</v>
      </c>
      <c r="E44" s="65" t="s">
        <v>25</v>
      </c>
      <c r="F44" s="94">
        <f>DATE(YEAR(K$10)+INT(F29+F33+F38+F43),MONTH(K$10)+MOD(F29+F33+F38+F43,1)*12,DAY(K$10)+MOD(MOD(F29+F33+F38+F43,1)*12,1)*365/12)</f>
        <v>66112</v>
      </c>
      <c r="G44" s="14"/>
      <c r="H44" s="14"/>
      <c r="I44" s="14"/>
      <c r="J44" s="14"/>
      <c r="K44" s="23">
        <f>IF(ISNUMBER(1/(I43+((0%/(((1+(0%))^F43)-1))/(1-0%)))),(1/(I43+((0%/(((1+(0%))^F43)-1))/(1-0%)))),((1-(POWER(1+I43,-D44)))/I43))</f>
        <v>0</v>
      </c>
      <c r="L44" s="15"/>
      <c r="M44" s="73"/>
      <c r="N44" s="13"/>
      <c r="O44" s="37"/>
    </row>
    <row r="45" spans="2:15" ht="17.399999999999999" x14ac:dyDescent="0.3">
      <c r="B45" s="36" t="s">
        <v>26</v>
      </c>
      <c r="C45" s="14"/>
      <c r="D45" s="67">
        <f>IF(F39&gt;K19,D44+D40,(F44-K19)/365.25)</f>
        <v>63.093771389459278</v>
      </c>
      <c r="E45" s="14"/>
      <c r="F45" s="14"/>
      <c r="G45" s="14"/>
      <c r="H45" s="14"/>
      <c r="I45" s="75"/>
      <c r="J45" s="14"/>
      <c r="K45" s="23">
        <f>IF(D45&gt;0,IF(D45&lt;=K11,SUM(1/(POWER(1+I43,D40))),1),1)</f>
        <v>1.3998021240415107E-2</v>
      </c>
      <c r="L45" s="15"/>
      <c r="M45" s="73"/>
      <c r="N45" s="13"/>
      <c r="O45" s="37"/>
    </row>
    <row r="46" spans="2:15" ht="17.399999999999999" x14ac:dyDescent="0.3">
      <c r="B46" s="36"/>
      <c r="C46" s="14"/>
      <c r="D46" s="17"/>
      <c r="E46" s="14"/>
      <c r="F46" s="67"/>
      <c r="G46" s="14"/>
      <c r="H46" s="14"/>
      <c r="I46" s="75"/>
      <c r="J46" s="14"/>
      <c r="K46" s="22"/>
      <c r="L46" s="15"/>
      <c r="M46" s="72">
        <f>IF(ISNUMBER(K43*K44*K45),K43*K44*K45,0)</f>
        <v>0</v>
      </c>
      <c r="N46" s="13"/>
      <c r="O46" s="37"/>
    </row>
    <row r="47" spans="2:15" ht="17.399999999999999" x14ac:dyDescent="0.3">
      <c r="B47" s="38"/>
      <c r="C47" s="14"/>
      <c r="D47" s="17"/>
      <c r="E47" s="14"/>
      <c r="F47" s="14"/>
      <c r="G47" s="14"/>
      <c r="H47" s="14"/>
      <c r="I47" s="75"/>
      <c r="J47" s="14"/>
      <c r="K47" s="22"/>
      <c r="L47" s="15"/>
      <c r="M47" s="73"/>
      <c r="N47" s="13"/>
      <c r="O47" s="37"/>
    </row>
    <row r="48" spans="2:15" ht="17.399999999999999" x14ac:dyDescent="0.3">
      <c r="B48" s="36" t="s">
        <v>5</v>
      </c>
      <c r="C48" s="16"/>
      <c r="D48" s="84">
        <v>0</v>
      </c>
      <c r="E48" s="65" t="s">
        <v>7</v>
      </c>
      <c r="F48" s="79">
        <v>0</v>
      </c>
      <c r="G48" s="14"/>
      <c r="H48" s="14" t="s">
        <v>8</v>
      </c>
      <c r="I48" s="74">
        <f>K$19</f>
        <v>7.0000000000000007E-2</v>
      </c>
      <c r="J48" s="14"/>
      <c r="K48" s="66">
        <f>IF(D49&gt;0,D48,0)</f>
        <v>0</v>
      </c>
      <c r="L48" s="15"/>
      <c r="M48" s="73"/>
      <c r="N48" s="13"/>
      <c r="O48" s="37"/>
    </row>
    <row r="49" spans="2:15" ht="17.399999999999999" x14ac:dyDescent="0.3">
      <c r="B49" s="36" t="s">
        <v>0</v>
      </c>
      <c r="C49" s="14"/>
      <c r="D49" s="67">
        <f>IF(F44&gt;K24,F48,(F49-K24)/365.25)</f>
        <v>0</v>
      </c>
      <c r="E49" s="65" t="s">
        <v>25</v>
      </c>
      <c r="F49" s="94">
        <f>DATE(YEAR(K$10)+INT(F29+F33+F38+F43+F48),MONTH(K$10)+MOD(F29+F33+F38+F43+F48,1)*12,DAY(K$10)+MOD(MOD(F29+F33+F38+F43+F48,1)*12,1)*365/12)</f>
        <v>66112</v>
      </c>
      <c r="G49" s="14"/>
      <c r="H49" s="14"/>
      <c r="I49" s="14"/>
      <c r="J49" s="14"/>
      <c r="K49" s="23">
        <f>IF(ISNUMBER(1/(I48+((0%/(((1+(0%))^F48)-1))/(1-0%)))),(1/(I48+((0%/(((1+(0%))^F48)-1))/(1-0%)))),((1-(POWER(1+I48,-D49)))/I48))</f>
        <v>0</v>
      </c>
      <c r="L49" s="15"/>
      <c r="M49" s="73"/>
      <c r="N49" s="13"/>
      <c r="O49" s="37"/>
    </row>
    <row r="50" spans="2:15" ht="17.399999999999999" x14ac:dyDescent="0.3">
      <c r="B50" s="36" t="s">
        <v>26</v>
      </c>
      <c r="C50" s="14"/>
      <c r="D50" s="67">
        <f>IF(F44&gt;K24,D49+D45,(F49-K24)/365.25)</f>
        <v>63.093771389459278</v>
      </c>
      <c r="E50" s="14"/>
      <c r="F50" s="67"/>
      <c r="G50" s="14"/>
      <c r="H50" s="14"/>
      <c r="I50" s="14"/>
      <c r="J50" s="14"/>
      <c r="K50" s="23">
        <f>IF(D50&gt;0,IF(D50&lt;=K11,SUM(1/(POWER(1+I48,D45))),1),1)</f>
        <v>1.3998021240415107E-2</v>
      </c>
      <c r="L50" s="15"/>
      <c r="M50" s="73"/>
      <c r="N50" s="13"/>
      <c r="O50" s="37"/>
    </row>
    <row r="51" spans="2:15" ht="17.399999999999999" x14ac:dyDescent="0.3">
      <c r="B51" s="36"/>
      <c r="C51" s="14"/>
      <c r="D51" s="17"/>
      <c r="E51" s="14"/>
      <c r="F51" s="14"/>
      <c r="G51" s="14"/>
      <c r="H51" s="14"/>
      <c r="I51" s="14"/>
      <c r="J51" s="14"/>
      <c r="K51" s="22"/>
      <c r="L51" s="15"/>
      <c r="M51" s="72">
        <f>IF(ISNUMBER(K48*K49*K50),K48*K49*K50,0)</f>
        <v>0</v>
      </c>
      <c r="N51" s="13"/>
      <c r="O51" s="40"/>
    </row>
    <row r="52" spans="2:15" ht="17.399999999999999" x14ac:dyDescent="0.3">
      <c r="B52" s="38"/>
      <c r="C52" s="14"/>
      <c r="D52" s="14"/>
      <c r="E52" s="14"/>
      <c r="F52" s="14"/>
      <c r="G52" s="14"/>
      <c r="H52" s="14"/>
      <c r="I52" s="14"/>
      <c r="J52" s="14"/>
      <c r="K52" s="22"/>
      <c r="L52" s="15"/>
      <c r="M52" s="24"/>
      <c r="N52" s="13"/>
      <c r="O52" s="41">
        <f>SUM(M31:M51)</f>
        <v>704.28712768541766</v>
      </c>
    </row>
    <row r="53" spans="2:15" ht="18" thickBot="1" x14ac:dyDescent="0.35">
      <c r="B53" s="38"/>
      <c r="C53" s="14"/>
      <c r="D53" s="14"/>
      <c r="E53" s="14"/>
      <c r="F53" s="14"/>
      <c r="G53" s="14"/>
      <c r="H53" s="14"/>
      <c r="I53" s="14"/>
      <c r="J53" s="14"/>
      <c r="K53" s="22"/>
      <c r="L53" s="15"/>
      <c r="M53" s="20"/>
      <c r="N53" s="13"/>
      <c r="O53" s="37"/>
    </row>
    <row r="54" spans="2:15" ht="17.399999999999999" x14ac:dyDescent="0.3">
      <c r="B54" s="69" t="s">
        <v>3</v>
      </c>
      <c r="C54" s="42"/>
      <c r="D54" s="42"/>
      <c r="E54" s="42"/>
      <c r="F54" s="42"/>
      <c r="G54" s="42"/>
      <c r="H54" s="42"/>
      <c r="I54" s="42"/>
      <c r="J54" s="42"/>
      <c r="K54" s="43"/>
      <c r="L54" s="44"/>
      <c r="M54" s="45"/>
      <c r="N54" s="46"/>
      <c r="O54" s="47"/>
    </row>
    <row r="55" spans="2:15" ht="17.399999999999999" x14ac:dyDescent="0.3">
      <c r="B55" s="38"/>
      <c r="C55" s="14"/>
      <c r="D55" s="17" t="s">
        <v>23</v>
      </c>
      <c r="E55" s="14"/>
      <c r="F55" s="14"/>
      <c r="G55" s="14"/>
      <c r="H55" s="14"/>
      <c r="I55" s="14"/>
      <c r="J55" s="14"/>
      <c r="K55" s="22"/>
      <c r="L55" s="15"/>
      <c r="M55" s="20"/>
      <c r="N55" s="13"/>
      <c r="O55" s="37"/>
    </row>
    <row r="56" spans="2:15" ht="17.399999999999999" x14ac:dyDescent="0.3">
      <c r="B56" s="70"/>
      <c r="C56" s="14"/>
      <c r="D56" s="58" t="s">
        <v>16</v>
      </c>
      <c r="E56" s="16"/>
      <c r="F56" s="12"/>
      <c r="G56" s="71"/>
      <c r="H56" s="14"/>
      <c r="I56" s="14"/>
      <c r="J56" s="14"/>
      <c r="K56" s="22">
        <f>K21</f>
        <v>252525.25252525252</v>
      </c>
      <c r="L56" s="18"/>
      <c r="M56" s="20"/>
      <c r="N56" s="13"/>
      <c r="O56" s="37"/>
    </row>
    <row r="57" spans="2:15" ht="17.399999999999999" x14ac:dyDescent="0.3">
      <c r="B57" s="38"/>
      <c r="C57" s="16"/>
      <c r="D57" s="58" t="s">
        <v>1</v>
      </c>
      <c r="E57" s="16"/>
      <c r="F57" s="60">
        <f>K16</f>
        <v>63.091033538672143</v>
      </c>
      <c r="G57" s="71"/>
      <c r="H57" s="14" t="s">
        <v>8</v>
      </c>
      <c r="I57" s="77">
        <f>K$20</f>
        <v>0.05</v>
      </c>
      <c r="J57" s="14"/>
      <c r="K57" s="21">
        <f>SUM(1/(POWER(1+I57,F57)))</f>
        <v>4.6041050237669717E-2</v>
      </c>
      <c r="L57" s="15"/>
      <c r="M57" s="20">
        <f>SUM(K56*K57)</f>
        <v>11626.527837795384</v>
      </c>
      <c r="N57" s="13"/>
      <c r="O57" s="37"/>
    </row>
    <row r="58" spans="2:15" ht="17.399999999999999" x14ac:dyDescent="0.3">
      <c r="B58" s="38"/>
      <c r="C58" s="16"/>
      <c r="D58" s="58"/>
      <c r="E58" s="16"/>
      <c r="F58" s="12"/>
      <c r="G58" s="71"/>
      <c r="H58" s="14"/>
      <c r="I58" s="75"/>
      <c r="J58" s="14"/>
      <c r="K58" s="21"/>
      <c r="L58" s="15"/>
      <c r="M58" s="20"/>
      <c r="N58" s="13"/>
      <c r="O58" s="37"/>
    </row>
    <row r="59" spans="2:15" ht="17.399999999999999" x14ac:dyDescent="0.3">
      <c r="B59" s="38"/>
      <c r="C59" s="16"/>
      <c r="D59" s="48" t="s">
        <v>9</v>
      </c>
      <c r="E59" s="16"/>
      <c r="F59" s="12"/>
      <c r="G59" s="71"/>
      <c r="H59" s="14"/>
      <c r="I59" s="98" t="s">
        <v>37</v>
      </c>
      <c r="J59" s="97">
        <f>O52+M57</f>
        <v>12330.814965480802</v>
      </c>
      <c r="K59" s="21"/>
      <c r="L59" s="15"/>
      <c r="M59" s="96"/>
      <c r="N59" s="13"/>
      <c r="O59" s="41"/>
    </row>
    <row r="60" spans="2:15" ht="17.399999999999999" x14ac:dyDescent="0.3">
      <c r="B60" s="38"/>
      <c r="C60" s="16"/>
      <c r="D60" s="17" t="s">
        <v>24</v>
      </c>
      <c r="E60" s="14"/>
      <c r="F60" s="14"/>
      <c r="G60" s="14"/>
      <c r="H60" s="14"/>
      <c r="I60" s="75"/>
      <c r="J60" s="14"/>
      <c r="K60" s="22"/>
      <c r="L60" s="15"/>
      <c r="M60" s="20"/>
      <c r="N60" s="13"/>
      <c r="O60" s="37"/>
    </row>
    <row r="61" spans="2:15" ht="17.399999999999999" x14ac:dyDescent="0.3">
      <c r="B61" s="38"/>
      <c r="C61" s="16"/>
      <c r="D61" s="58" t="s">
        <v>16</v>
      </c>
      <c r="E61" s="16"/>
      <c r="F61" s="12"/>
      <c r="G61" s="71"/>
      <c r="H61" s="14"/>
      <c r="I61" s="75"/>
      <c r="J61" s="14"/>
      <c r="K61" s="22">
        <f>K23</f>
        <v>250000</v>
      </c>
      <c r="L61" s="18"/>
      <c r="M61" s="20"/>
      <c r="N61" s="13"/>
      <c r="O61" s="37"/>
    </row>
    <row r="62" spans="2:15" ht="17.399999999999999" x14ac:dyDescent="0.3">
      <c r="B62" s="38"/>
      <c r="C62" s="16"/>
      <c r="D62" s="58" t="s">
        <v>1</v>
      </c>
      <c r="E62" s="16"/>
      <c r="F62" s="60">
        <f>DATEDIF(K14,K18,"D")/365.25</f>
        <v>153.08692676249143</v>
      </c>
      <c r="G62" s="71"/>
      <c r="H62" s="14" t="s">
        <v>8</v>
      </c>
      <c r="I62" s="77">
        <f>K$20</f>
        <v>0.05</v>
      </c>
      <c r="J62" s="14"/>
      <c r="K62" s="21">
        <f>SUM(1/(POWER(1+I62,F62)))</f>
        <v>5.7042076289704716E-4</v>
      </c>
      <c r="L62" s="15"/>
      <c r="M62" s="49">
        <f>SUM(K61*K62)</f>
        <v>142.6051907242618</v>
      </c>
      <c r="N62" s="13"/>
      <c r="O62" s="41">
        <f>M57-M62</f>
        <v>11483.922647071122</v>
      </c>
    </row>
    <row r="63" spans="2:15" ht="17.399999999999999" x14ac:dyDescent="0.3">
      <c r="B63" s="38"/>
      <c r="C63" s="16"/>
      <c r="D63" s="58"/>
      <c r="E63" s="16"/>
      <c r="F63" s="60"/>
      <c r="G63" s="71"/>
      <c r="H63" s="14"/>
      <c r="I63" s="14"/>
      <c r="J63" s="14"/>
      <c r="K63" s="21"/>
      <c r="L63" s="15"/>
      <c r="M63" s="49"/>
      <c r="N63" s="13"/>
      <c r="O63" s="50"/>
    </row>
    <row r="64" spans="2:15" ht="17.399999999999999" x14ac:dyDescent="0.3">
      <c r="B64" s="38"/>
      <c r="C64" s="16"/>
      <c r="D64" s="58"/>
      <c r="E64" s="16"/>
      <c r="F64" s="60"/>
      <c r="G64" s="71"/>
      <c r="H64" s="14"/>
      <c r="I64" s="14"/>
      <c r="J64" s="14"/>
      <c r="K64" s="21"/>
      <c r="L64" s="15"/>
      <c r="M64" s="49"/>
      <c r="N64" s="13"/>
      <c r="O64" s="103">
        <f>O52+O62</f>
        <v>12188.20977475654</v>
      </c>
    </row>
    <row r="65" spans="2:15" ht="18" thickBot="1" x14ac:dyDescent="0.35">
      <c r="B65" s="51"/>
      <c r="C65" s="52"/>
      <c r="D65" s="53"/>
      <c r="E65" s="53"/>
      <c r="F65" s="53"/>
      <c r="G65" s="53"/>
      <c r="H65" s="53"/>
      <c r="I65" s="53"/>
      <c r="J65" s="53"/>
      <c r="K65" s="54"/>
      <c r="L65" s="54"/>
      <c r="M65" s="55"/>
      <c r="N65" s="56"/>
      <c r="O65" s="57"/>
    </row>
  </sheetData>
  <mergeCells count="1">
    <mergeCell ref="M13: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Sch13Long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2026-01-24T21:45:49Z</dcterms:modified>
</cp:coreProperties>
</file>