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0" documentId="8_{7890DCCD-9697-4E79-A00F-1490FE6237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ual Rate" sheetId="59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1" i="59" l="1"/>
  <c r="B140" i="59"/>
  <c r="B139" i="59"/>
  <c r="B138" i="59"/>
  <c r="B137" i="59"/>
  <c r="B135" i="59"/>
  <c r="B152" i="59"/>
  <c r="B151" i="59" s="1"/>
  <c r="B150" i="59" s="1"/>
  <c r="B149" i="59" s="1"/>
  <c r="B148" i="59" s="1"/>
  <c r="B158" i="59"/>
  <c r="B157" i="59"/>
  <c r="B156" i="59"/>
  <c r="B155" i="59"/>
  <c r="B154" i="59"/>
  <c r="G147" i="59"/>
  <c r="H147" i="59" s="1"/>
  <c r="I147" i="59" s="1"/>
  <c r="E147" i="59"/>
  <c r="D147" i="59" s="1"/>
  <c r="C147" i="59" s="1"/>
  <c r="G130" i="59"/>
  <c r="E130" i="59"/>
  <c r="H5" i="59"/>
  <c r="D56" i="59"/>
  <c r="H123" i="59" l="1"/>
  <c r="B159" i="59"/>
  <c r="C118" i="59"/>
  <c r="G118" i="59" s="1"/>
  <c r="G115" i="59"/>
  <c r="G111" i="59"/>
  <c r="G109" i="59"/>
  <c r="B146" i="59"/>
  <c r="C102" i="59"/>
  <c r="G102" i="59" s="1"/>
  <c r="G95" i="59"/>
  <c r="H130" i="59"/>
  <c r="I130" i="59" s="1"/>
  <c r="B129" i="59"/>
  <c r="B128" i="59"/>
  <c r="C87" i="59"/>
  <c r="G87" i="59" s="1"/>
  <c r="G80" i="59"/>
  <c r="C72" i="59"/>
  <c r="C71" i="59"/>
  <c r="C73" i="59" s="1"/>
  <c r="D60" i="59"/>
  <c r="H59" i="59"/>
  <c r="F59" i="59"/>
  <c r="E59" i="59"/>
  <c r="H58" i="59"/>
  <c r="E58" i="59"/>
  <c r="E56" i="59"/>
  <c r="E57" i="59" s="1"/>
  <c r="D55" i="59"/>
  <c r="E54" i="59"/>
  <c r="E55" i="59" s="1"/>
  <c r="D53" i="59"/>
  <c r="F52" i="59"/>
  <c r="H52" i="59" s="1"/>
  <c r="E52" i="59"/>
  <c r="H51" i="59"/>
  <c r="E51" i="59"/>
  <c r="C37" i="59"/>
  <c r="D15" i="59"/>
  <c r="E15" i="59" s="1"/>
  <c r="D13" i="59"/>
  <c r="H12" i="59"/>
  <c r="F12" i="59"/>
  <c r="E12" i="59"/>
  <c r="H11" i="59"/>
  <c r="E11" i="59"/>
  <c r="E9" i="59"/>
  <c r="E10" i="59" s="1"/>
  <c r="D8" i="59"/>
  <c r="H7" i="59"/>
  <c r="H8" i="59" s="1"/>
  <c r="E7" i="59"/>
  <c r="E8" i="59" s="1"/>
  <c r="D6" i="59"/>
  <c r="F5" i="59"/>
  <c r="E5" i="59"/>
  <c r="E6" i="59" s="1"/>
  <c r="H4" i="59"/>
  <c r="E4" i="59"/>
  <c r="E13" i="59" l="1"/>
  <c r="E60" i="59"/>
  <c r="H13" i="59"/>
  <c r="C20" i="59" s="1"/>
  <c r="C38" i="59" s="1"/>
  <c r="H60" i="59"/>
  <c r="H6" i="59"/>
  <c r="E53" i="59"/>
  <c r="H9" i="59"/>
  <c r="H10" i="59" s="1"/>
  <c r="G76" i="59" s="1"/>
  <c r="G78" i="59" s="1"/>
  <c r="H80" i="59" s="1"/>
  <c r="D10" i="59"/>
  <c r="D16" i="59" s="1"/>
  <c r="E16" i="59" s="1"/>
  <c r="G106" i="59"/>
  <c r="G108" i="59" s="1"/>
  <c r="G110" i="59" s="1"/>
  <c r="H111" i="59" s="1"/>
  <c r="H53" i="59"/>
  <c r="C21" i="59"/>
  <c r="C34" i="59"/>
  <c r="C117" i="59"/>
  <c r="G117" i="59" s="1"/>
  <c r="G119" i="59" s="1"/>
  <c r="C101" i="59"/>
  <c r="G101" i="59" s="1"/>
  <c r="G103" i="59" s="1"/>
  <c r="C86" i="59"/>
  <c r="G86" i="59" s="1"/>
  <c r="G88" i="59" s="1"/>
  <c r="D57" i="59"/>
  <c r="D63" i="59" s="1"/>
  <c r="E63" i="59" s="1"/>
  <c r="D62" i="59"/>
  <c r="E62" i="59" s="1"/>
  <c r="C40" i="59" l="1"/>
  <c r="C41" i="59" s="1"/>
  <c r="D17" i="59"/>
  <c r="E17" i="59" s="1"/>
  <c r="G112" i="59"/>
  <c r="G114" i="59" s="1"/>
  <c r="G116" i="59" s="1"/>
  <c r="H118" i="59" s="1"/>
  <c r="D64" i="59"/>
  <c r="E64" i="59" s="1"/>
  <c r="C45" i="59"/>
  <c r="C46" i="59" s="1"/>
  <c r="F61" i="59"/>
  <c r="H61" i="59" s="1"/>
  <c r="F14" i="59"/>
  <c r="H14" i="59" s="1"/>
  <c r="F56" i="59" l="1"/>
  <c r="H56" i="59" s="1"/>
  <c r="H57" i="59" s="1"/>
  <c r="G82" i="59" s="1"/>
  <c r="G84" i="59" s="1"/>
  <c r="H87" i="59" s="1"/>
  <c r="F54" i="59"/>
  <c r="H54" i="59" s="1"/>
  <c r="H55" i="59" s="1"/>
  <c r="H17" i="59"/>
  <c r="G91" i="59"/>
  <c r="G93" i="59" s="1"/>
  <c r="H95" i="59" s="1"/>
  <c r="G97" i="59" l="1"/>
  <c r="G99" i="59" s="1"/>
  <c r="H102" i="59" s="1"/>
  <c r="H120" i="59" s="1"/>
  <c r="H124" i="59" s="1"/>
  <c r="H125" i="59" s="1"/>
  <c r="H64" i="59"/>
  <c r="H126" i="59" l="1"/>
  <c r="B130" i="59"/>
  <c r="B147" i="59"/>
  <c r="C130" i="59"/>
  <c r="D130" i="59"/>
  <c r="B134" i="59"/>
  <c r="B133" i="59"/>
  <c r="B132" i="59" s="1"/>
  <c r="B131" i="59" s="1"/>
</calcChain>
</file>

<file path=xl/sharedStrings.xml><?xml version="1.0" encoding="utf-8"?>
<sst xmlns="http://schemas.openxmlformats.org/spreadsheetml/2006/main" count="125" uniqueCount="66">
  <si>
    <t>Less</t>
  </si>
  <si>
    <t>Say</t>
  </si>
  <si>
    <t>Rent</t>
  </si>
  <si>
    <t>Floor</t>
  </si>
  <si>
    <t>Yield</t>
  </si>
  <si>
    <t>Workshop</t>
  </si>
  <si>
    <t xml:space="preserve">Annual insert = 1 / Qtrly = 4 / Monthly = 12 </t>
  </si>
  <si>
    <t>Reversion</t>
  </si>
  <si>
    <t>Area</t>
  </si>
  <si>
    <t>GIA - sq.ft</t>
  </si>
  <si>
    <t>GIA - sq.m</t>
  </si>
  <si>
    <t>Rent - sq.ft</t>
  </si>
  <si>
    <t>Warehouse, Office and Ancillary</t>
  </si>
  <si>
    <t>Mezzanine Offices</t>
  </si>
  <si>
    <t>Offices Nos. 5 &amp; 6</t>
  </si>
  <si>
    <t>Landlord</t>
  </si>
  <si>
    <t>Studios - Ground Floor</t>
  </si>
  <si>
    <t>Studios - Upper Floor</t>
  </si>
  <si>
    <t>Less: ArtHub Management Fee @</t>
  </si>
  <si>
    <t xml:space="preserve">Total Gross Internal Area Office Building: </t>
  </si>
  <si>
    <t xml:space="preserve">Total Gross Internal Area (GIA) Warehouse &amp; Office Building: </t>
  </si>
  <si>
    <t xml:space="preserve">Gross Income: </t>
  </si>
  <si>
    <t xml:space="preserve">Rates: </t>
  </si>
  <si>
    <t xml:space="preserve">HL&amp;P: </t>
  </si>
  <si>
    <t xml:space="preserve">Water: </t>
  </si>
  <si>
    <t xml:space="preserve">Building Insurance (part only): </t>
  </si>
  <si>
    <t>% Income :</t>
  </si>
  <si>
    <t xml:space="preserve">Total Expenditure: </t>
  </si>
  <si>
    <t xml:space="preserve">Less - Non Recoverable Major Works: </t>
  </si>
  <si>
    <t xml:space="preserve">Net Income: </t>
  </si>
  <si>
    <t>Valuation of Leaseold Interest</t>
  </si>
  <si>
    <t xml:space="preserve">Valuation Date: </t>
  </si>
  <si>
    <t xml:space="preserve">Lease Commencement Date: </t>
  </si>
  <si>
    <t>Term</t>
  </si>
  <si>
    <t xml:space="preserve">Lease Expiry Date: </t>
  </si>
  <si>
    <t xml:space="preserve">Expired Term: </t>
  </si>
  <si>
    <t xml:space="preserve">Unexpired Term: </t>
  </si>
  <si>
    <t>IRI lease with Schedule of Condition</t>
  </si>
  <si>
    <t>IR Terms</t>
  </si>
  <si>
    <t>Sinking Fund</t>
  </si>
  <si>
    <t>Tax</t>
  </si>
  <si>
    <t>YP</t>
  </si>
  <si>
    <t>PV</t>
  </si>
  <si>
    <t>Dilapidations v Industrial Rent</t>
  </si>
  <si>
    <t>IRI lease with Schedule of Condition - Lease Outside the Act</t>
  </si>
  <si>
    <t>Dilapidations v Industrial Yield</t>
  </si>
  <si>
    <t>Ground Rent</t>
  </si>
  <si>
    <t xml:space="preserve">Deduct Essential Works (Fire &amp; Sprinkler System): </t>
  </si>
  <si>
    <t xml:space="preserve">Dilapidations Liability: </t>
  </si>
  <si>
    <t>VAT on Works @</t>
  </si>
  <si>
    <t>Less Costs</t>
  </si>
  <si>
    <t>Maintenance, Gen Reparis</t>
  </si>
  <si>
    <t>BritishWines</t>
  </si>
  <si>
    <t>Wembley Co Ltd</t>
  </si>
  <si>
    <t>December 2026 Valuation - Term</t>
  </si>
  <si>
    <t xml:space="preserve">Total Gross Internal Area (GIA) British Wines: </t>
  </si>
  <si>
    <t xml:space="preserve">Space Management (Artists): </t>
  </si>
  <si>
    <t xml:space="preserve">Property Management: </t>
  </si>
  <si>
    <t xml:space="preserve">Total Gross Int Area (GIA) Warehouse &amp; Office Bldg: </t>
  </si>
  <si>
    <t>British Wines</t>
  </si>
  <si>
    <t>December 2026 Valuation - Reversion</t>
  </si>
  <si>
    <t>Artists</t>
  </si>
  <si>
    <t>5 - 9 Woolwich Hill, SE8 7BB</t>
  </si>
  <si>
    <t>May 2026 Valuation</t>
  </si>
  <si>
    <t>Less: Artist Management Fee @</t>
  </si>
  <si>
    <t>Ground Floor (British Wines)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</si>
</sst>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_-;\-* #,##0_-;_-* &quot;-&quot;??_-;_-@_-"/>
    <numFmt numFmtId="166" formatCode="_-* #,##0.00000_-;\-* #,##0.00000_-;_-* &quot;-&quot;??_-;_-@_-"/>
    <numFmt numFmtId="167" formatCode="_(* #,##0_);_(* \(#,##0\);_(* &quot;-&quot;??_);_(@_)"/>
    <numFmt numFmtId="168" formatCode="_-[$£-809]* #,##0_-;\-[$£-809]* #,##0_-;_-[$£-809]* &quot;-&quot;??_-;_-@_-"/>
    <numFmt numFmtId="169" formatCode="#,##0.00\ &quot;years&quot;"/>
    <numFmt numFmtId="170" formatCode="#,##0\ &quot;years&quot;"/>
    <numFmt numFmtId="171" formatCode="#,##0\ &quot;sqm&quot;"/>
    <numFmt numFmtId="172" formatCode="#,##0\ &quot;sq.ft&quot;"/>
    <numFmt numFmtId="173" formatCode="_-* #,##0.000000_-;\-* #,##0.000000_-;_-* &quot;-&quot;??_-;_-@_-"/>
    <numFmt numFmtId="174" formatCode="_-* #,##0.0000_-;\-* #,##0.0000_-;_-* &quot;-&quot;??_-;_-@_-"/>
    <numFmt numFmtId="175" formatCode="#,##0\ &quot; months&quot;"/>
    <numFmt numFmtId="176" formatCode="#,##0\ &quot; days&quot;"/>
    <numFmt numFmtId="177" formatCode="&quot;£&quot;#,##0.00\ &quot;/sq.ft&quot;"/>
    <numFmt numFmtId="178" formatCode="0.000000"/>
    <numFmt numFmtId="179" formatCode="_-[$£-809]* #,##0.00_-;\-[$£-809]* #,##0.00_-;_-[$£-809]* &quot;-&quot;??_-;_-@_-"/>
    <numFmt numFmtId="180" formatCode="[$-409]d\-mmm\-yy;@"/>
    <numFmt numFmtId="181" formatCode="&quot;£&quot;#,##0.0\ &quot;/sq.ft&quot;"/>
    <numFmt numFmtId="182" formatCode="&quot;£&quot;#,##0\ &quot;/Qtr&quot;"/>
    <numFmt numFmtId="183" formatCode="&quot;£&quot;#,##0.00"/>
    <numFmt numFmtId="184" formatCode="[$£-809]#,##0;\-[$£-809]#,##0"/>
    <numFmt numFmtId="187" formatCode="&quot;£&quot;#,##0"/>
  </numFmts>
  <fonts count="38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FF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0"/>
      <color rgb="FF0070C0"/>
      <name val="Arial"/>
      <family val="2"/>
    </font>
    <font>
      <b/>
      <sz val="18"/>
      <color indexed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7030A0"/>
      <name val="Arial"/>
      <family val="2"/>
    </font>
    <font>
      <u val="singleAccounting"/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rgb="FFFF0000"/>
      <name val="Trebuchet MS"/>
      <family val="2"/>
    </font>
    <font>
      <b/>
      <u/>
      <sz val="11"/>
      <color rgb="FF7030A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rgb="FFFF00FF"/>
      <name val="Arial"/>
      <family val="2"/>
    </font>
    <font>
      <b/>
      <sz val="12"/>
      <color theme="0"/>
      <name val="Calibri"/>
      <family val="2"/>
      <scheme val="minor"/>
    </font>
    <font>
      <b/>
      <u val="singleAccounting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68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168" fontId="0" fillId="0" borderId="0" xfId="0"/>
    <xf numFmtId="168" fontId="0" fillId="3" borderId="0" xfId="0" applyFill="1"/>
    <xf numFmtId="10" fontId="12" fillId="6" borderId="9" xfId="3" applyNumberFormat="1" applyFont="1" applyFill="1" applyBorder="1" applyAlignment="1">
      <alignment horizontal="center"/>
    </xf>
    <xf numFmtId="10" fontId="12" fillId="6" borderId="0" xfId="3" applyNumberFormat="1" applyFont="1" applyFill="1" applyBorder="1" applyAlignment="1">
      <alignment horizontal="center"/>
    </xf>
    <xf numFmtId="9" fontId="13" fillId="6" borderId="0" xfId="3" applyFont="1" applyFill="1" applyBorder="1" applyAlignment="1">
      <alignment horizontal="center"/>
    </xf>
    <xf numFmtId="10" fontId="12" fillId="6" borderId="10" xfId="3" applyNumberFormat="1" applyFont="1" applyFill="1" applyBorder="1" applyAlignment="1">
      <alignment horizontal="center"/>
    </xf>
    <xf numFmtId="10" fontId="12" fillId="9" borderId="16" xfId="3" applyNumberFormat="1" applyFont="1" applyFill="1" applyBorder="1" applyAlignment="1">
      <alignment horizontal="right"/>
    </xf>
    <xf numFmtId="10" fontId="12" fillId="9" borderId="17" xfId="3" applyNumberFormat="1" applyFont="1" applyFill="1" applyBorder="1" applyAlignment="1">
      <alignment horizontal="right"/>
    </xf>
    <xf numFmtId="164" fontId="14" fillId="10" borderId="26" xfId="2" applyNumberFormat="1" applyFont="1" applyFill="1" applyBorder="1" applyAlignment="1">
      <alignment horizontal="right" vertical="center"/>
    </xf>
    <xf numFmtId="164" fontId="14" fillId="10" borderId="27" xfId="2" applyNumberFormat="1" applyFont="1" applyFill="1" applyBorder="1" applyAlignment="1">
      <alignment horizontal="right" vertical="center"/>
    </xf>
    <xf numFmtId="164" fontId="14" fillId="10" borderId="28" xfId="2" applyNumberFormat="1" applyFont="1" applyFill="1" applyBorder="1" applyAlignment="1">
      <alignment horizontal="right" vertical="center"/>
    </xf>
    <xf numFmtId="164" fontId="14" fillId="10" borderId="29" xfId="2" applyNumberFormat="1" applyFont="1" applyFill="1" applyBorder="1" applyAlignment="1">
      <alignment horizontal="right" vertical="center"/>
    </xf>
    <xf numFmtId="164" fontId="14" fillId="10" borderId="30" xfId="2" applyNumberFormat="1" applyFont="1" applyFill="1" applyBorder="1" applyAlignment="1">
      <alignment horizontal="right" vertical="center"/>
    </xf>
    <xf numFmtId="164" fontId="14" fillId="10" borderId="31" xfId="2" applyNumberFormat="1" applyFont="1" applyFill="1" applyBorder="1" applyAlignment="1">
      <alignment horizontal="right" vertical="center"/>
    </xf>
    <xf numFmtId="164" fontId="14" fillId="10" borderId="32" xfId="2" applyNumberFormat="1" applyFont="1" applyFill="1" applyBorder="1" applyAlignment="1">
      <alignment horizontal="right" vertical="center"/>
    </xf>
    <xf numFmtId="164" fontId="14" fillId="10" borderId="33" xfId="2" applyNumberFormat="1" applyFont="1" applyFill="1" applyBorder="1" applyAlignment="1">
      <alignment horizontal="right" vertical="center"/>
    </xf>
    <xf numFmtId="164" fontId="14" fillId="10" borderId="34" xfId="2" applyNumberFormat="1" applyFont="1" applyFill="1" applyBorder="1" applyAlignment="1">
      <alignment horizontal="right" vertical="center"/>
    </xf>
    <xf numFmtId="168" fontId="11" fillId="7" borderId="16" xfId="0" applyFont="1" applyFill="1" applyBorder="1"/>
    <xf numFmtId="168" fontId="11" fillId="7" borderId="17" xfId="0" applyFont="1" applyFill="1" applyBorder="1"/>
    <xf numFmtId="168" fontId="0" fillId="5" borderId="2" xfId="0" applyFill="1" applyBorder="1"/>
    <xf numFmtId="168" fontId="0" fillId="5" borderId="0" xfId="0" applyFill="1"/>
    <xf numFmtId="168" fontId="0" fillId="5" borderId="1" xfId="0" applyFill="1" applyBorder="1"/>
    <xf numFmtId="168" fontId="0" fillId="3" borderId="13" xfId="0" applyFill="1" applyBorder="1"/>
    <xf numFmtId="9" fontId="0" fillId="0" borderId="0" xfId="3" applyFont="1"/>
    <xf numFmtId="168" fontId="24" fillId="13" borderId="38" xfId="0" applyFont="1" applyFill="1" applyBorder="1" applyAlignment="1">
      <alignment horizontal="center"/>
    </xf>
    <xf numFmtId="168" fontId="24" fillId="13" borderId="21" xfId="0" applyFont="1" applyFill="1" applyBorder="1" applyAlignment="1">
      <alignment horizontal="center"/>
    </xf>
    <xf numFmtId="10" fontId="6" fillId="2" borderId="23" xfId="3" applyNumberFormat="1" applyFont="1" applyFill="1" applyBorder="1" applyAlignment="1">
      <alignment horizontal="center"/>
    </xf>
    <xf numFmtId="168" fontId="0" fillId="14" borderId="2" xfId="0" applyFill="1" applyBorder="1"/>
    <xf numFmtId="168" fontId="0" fillId="14" borderId="1" xfId="0" applyFill="1" applyBorder="1"/>
    <xf numFmtId="10" fontId="9" fillId="2" borderId="17" xfId="3" applyNumberFormat="1" applyFont="1" applyFill="1" applyBorder="1"/>
    <xf numFmtId="5" fontId="30" fillId="8" borderId="25" xfId="2" applyNumberFormat="1" applyFont="1" applyFill="1" applyBorder="1" applyAlignment="1">
      <alignment horizontal="center"/>
    </xf>
    <xf numFmtId="5" fontId="31" fillId="2" borderId="5" xfId="2" applyNumberFormat="1" applyFont="1" applyFill="1" applyBorder="1" applyAlignment="1">
      <alignment horizontal="center"/>
    </xf>
    <xf numFmtId="170" fontId="6" fillId="2" borderId="23" xfId="0" applyNumberFormat="1" applyFont="1" applyFill="1" applyBorder="1" applyAlignment="1">
      <alignment horizontal="center"/>
    </xf>
    <xf numFmtId="176" fontId="6" fillId="2" borderId="23" xfId="0" applyNumberFormat="1" applyFont="1" applyFill="1" applyBorder="1" applyAlignment="1">
      <alignment horizontal="center"/>
    </xf>
    <xf numFmtId="168" fontId="24" fillId="13" borderId="21" xfId="0" applyFont="1" applyFill="1" applyBorder="1" applyAlignment="1">
      <alignment horizontal="right"/>
    </xf>
    <xf numFmtId="168" fontId="24" fillId="13" borderId="35" xfId="0" applyFont="1" applyFill="1" applyBorder="1" applyAlignment="1">
      <alignment horizontal="right"/>
    </xf>
    <xf numFmtId="168" fontId="2" fillId="3" borderId="41" xfId="0" applyFont="1" applyFill="1" applyBorder="1" applyAlignment="1">
      <alignment horizontal="center"/>
    </xf>
    <xf numFmtId="168" fontId="2" fillId="3" borderId="0" xfId="0" applyFont="1" applyFill="1" applyAlignment="1">
      <alignment horizontal="right"/>
    </xf>
    <xf numFmtId="172" fontId="9" fillId="3" borderId="24" xfId="1" applyNumberFormat="1" applyFont="1" applyFill="1" applyBorder="1" applyAlignment="1">
      <alignment horizontal="center"/>
    </xf>
    <xf numFmtId="171" fontId="12" fillId="3" borderId="0" xfId="0" applyNumberFormat="1" applyFont="1" applyFill="1"/>
    <xf numFmtId="177" fontId="9" fillId="3" borderId="24" xfId="1" applyNumberFormat="1" applyFont="1" applyFill="1" applyBorder="1" applyAlignment="1">
      <alignment horizontal="center"/>
    </xf>
    <xf numFmtId="10" fontId="6" fillId="3" borderId="0" xfId="3" applyNumberFormat="1" applyFont="1" applyFill="1" applyBorder="1"/>
    <xf numFmtId="168" fontId="12" fillId="3" borderId="10" xfId="0" applyFont="1" applyFill="1" applyBorder="1"/>
    <xf numFmtId="168" fontId="2" fillId="3" borderId="42" xfId="0" applyFont="1" applyFill="1" applyBorder="1" applyAlignment="1">
      <alignment horizontal="center"/>
    </xf>
    <xf numFmtId="172" fontId="9" fillId="3" borderId="37" xfId="1" applyNumberFormat="1" applyFont="1" applyFill="1" applyBorder="1" applyAlignment="1">
      <alignment horizontal="center"/>
    </xf>
    <xf numFmtId="171" fontId="26" fillId="3" borderId="0" xfId="0" applyNumberFormat="1" applyFont="1" applyFill="1"/>
    <xf numFmtId="177" fontId="5" fillId="3" borderId="37" xfId="1" applyNumberFormat="1" applyFont="1" applyFill="1" applyBorder="1" applyAlignment="1">
      <alignment horizontal="center"/>
    </xf>
    <xf numFmtId="168" fontId="25" fillId="3" borderId="10" xfId="0" applyFont="1" applyFill="1" applyBorder="1"/>
    <xf numFmtId="168" fontId="33" fillId="3" borderId="9" xfId="0" applyFont="1" applyFill="1" applyBorder="1" applyAlignment="1">
      <alignment horizontal="center"/>
    </xf>
    <xf numFmtId="168" fontId="22" fillId="3" borderId="0" xfId="0" applyFont="1" applyFill="1" applyAlignment="1">
      <alignment horizontal="center"/>
    </xf>
    <xf numFmtId="172" fontId="7" fillId="3" borderId="0" xfId="1" applyNumberFormat="1" applyFont="1" applyFill="1" applyBorder="1" applyAlignment="1">
      <alignment horizontal="center"/>
    </xf>
    <xf numFmtId="171" fontId="17" fillId="3" borderId="0" xfId="0" applyNumberFormat="1" applyFont="1" applyFill="1"/>
    <xf numFmtId="177" fontId="15" fillId="3" borderId="0" xfId="1" applyNumberFormat="1" applyFont="1" applyFill="1" applyBorder="1" applyAlignment="1">
      <alignment horizontal="center"/>
    </xf>
    <xf numFmtId="168" fontId="17" fillId="3" borderId="10" xfId="0" applyFont="1" applyFill="1" applyBorder="1"/>
    <xf numFmtId="168" fontId="2" fillId="3" borderId="39" xfId="0" applyFont="1" applyFill="1" applyBorder="1" applyAlignment="1">
      <alignment horizontal="center"/>
    </xf>
    <xf numFmtId="172" fontId="12" fillId="3" borderId="23" xfId="1" applyNumberFormat="1" applyFont="1" applyFill="1" applyBorder="1" applyAlignment="1">
      <alignment horizontal="center"/>
    </xf>
    <xf numFmtId="177" fontId="9" fillId="3" borderId="23" xfId="1" applyNumberFormat="1" applyFont="1" applyFill="1" applyBorder="1" applyAlignment="1">
      <alignment horizontal="center"/>
    </xf>
    <xf numFmtId="177" fontId="7" fillId="3" borderId="0" xfId="1" applyNumberFormat="1" applyFont="1" applyFill="1" applyBorder="1" applyAlignment="1">
      <alignment horizontal="center"/>
    </xf>
    <xf numFmtId="179" fontId="0" fillId="0" borderId="0" xfId="0" applyNumberFormat="1"/>
    <xf numFmtId="168" fontId="2" fillId="3" borderId="40" xfId="0" applyFont="1" applyFill="1" applyBorder="1" applyAlignment="1">
      <alignment horizontal="center"/>
    </xf>
    <xf numFmtId="172" fontId="9" fillId="3" borderId="36" xfId="1" applyNumberFormat="1" applyFont="1" applyFill="1" applyBorder="1" applyAlignment="1">
      <alignment horizontal="center"/>
    </xf>
    <xf numFmtId="177" fontId="9" fillId="3" borderId="36" xfId="1" applyNumberFormat="1" applyFont="1" applyFill="1" applyBorder="1" applyAlignment="1">
      <alignment horizontal="center"/>
    </xf>
    <xf numFmtId="177" fontId="12" fillId="3" borderId="37" xfId="1" applyNumberFormat="1" applyFont="1" applyFill="1" applyBorder="1" applyAlignment="1">
      <alignment horizontal="center"/>
    </xf>
    <xf numFmtId="168" fontId="11" fillId="3" borderId="0" xfId="0" applyFont="1" applyFill="1" applyAlignment="1">
      <alignment horizontal="right"/>
    </xf>
    <xf numFmtId="10" fontId="8" fillId="3" borderId="23" xfId="3" applyNumberFormat="1" applyFont="1" applyFill="1" applyBorder="1" applyAlignment="1">
      <alignment horizontal="right"/>
    </xf>
    <xf numFmtId="168" fontId="23" fillId="3" borderId="0" xfId="0" applyFont="1" applyFill="1" applyAlignment="1">
      <alignment horizontal="right"/>
    </xf>
    <xf numFmtId="172" fontId="18" fillId="3" borderId="0" xfId="1" applyNumberFormat="1" applyFont="1" applyFill="1" applyBorder="1" applyAlignment="1">
      <alignment horizontal="center"/>
    </xf>
    <xf numFmtId="171" fontId="23" fillId="3" borderId="0" xfId="0" applyNumberFormat="1" applyFont="1" applyFill="1"/>
    <xf numFmtId="168" fontId="33" fillId="3" borderId="11" xfId="0" applyFont="1" applyFill="1" applyBorder="1" applyAlignment="1">
      <alignment horizontal="left"/>
    </xf>
    <xf numFmtId="168" fontId="23" fillId="3" borderId="12" xfId="0" applyFont="1" applyFill="1" applyBorder="1" applyAlignment="1">
      <alignment horizontal="right"/>
    </xf>
    <xf numFmtId="172" fontId="18" fillId="3" borderId="12" xfId="1" applyNumberFormat="1" applyFont="1" applyFill="1" applyBorder="1" applyAlignment="1">
      <alignment horizontal="center"/>
    </xf>
    <xf numFmtId="171" fontId="23" fillId="3" borderId="12" xfId="0" applyNumberFormat="1" applyFont="1" applyFill="1" applyBorder="1"/>
    <xf numFmtId="177" fontId="18" fillId="3" borderId="12" xfId="1" applyNumberFormat="1" applyFont="1" applyFill="1" applyBorder="1" applyAlignment="1">
      <alignment horizontal="center"/>
    </xf>
    <xf numFmtId="168" fontId="0" fillId="3" borderId="12" xfId="0" applyFill="1" applyBorder="1"/>
    <xf numFmtId="168" fontId="23" fillId="3" borderId="13" xfId="0" applyFont="1" applyFill="1" applyBorder="1"/>
    <xf numFmtId="177" fontId="9" fillId="3" borderId="7" xfId="1" applyNumberFormat="1" applyFont="1" applyFill="1" applyBorder="1" applyAlignment="1">
      <alignment horizontal="center"/>
    </xf>
    <xf numFmtId="168" fontId="12" fillId="3" borderId="8" xfId="0" applyFont="1" applyFill="1" applyBorder="1"/>
    <xf numFmtId="168" fontId="25" fillId="3" borderId="0" xfId="1" applyNumberFormat="1" applyFont="1" applyFill="1" applyBorder="1" applyAlignment="1">
      <alignment horizontal="center"/>
    </xf>
    <xf numFmtId="177" fontId="12" fillId="3" borderId="0" xfId="1" applyNumberFormat="1" applyFont="1" applyFill="1" applyBorder="1" applyAlignment="1">
      <alignment horizontal="right"/>
    </xf>
    <xf numFmtId="168" fontId="20" fillId="3" borderId="0" xfId="1" applyNumberFormat="1" applyFont="1" applyFill="1" applyBorder="1" applyAlignment="1">
      <alignment horizontal="center"/>
    </xf>
    <xf numFmtId="165" fontId="0" fillId="0" borderId="0" xfId="1" applyNumberFormat="1" applyFont="1"/>
    <xf numFmtId="168" fontId="9" fillId="3" borderId="23" xfId="1" applyNumberFormat="1" applyFont="1" applyFill="1" applyBorder="1" applyAlignment="1">
      <alignment horizontal="center"/>
    </xf>
    <xf numFmtId="10" fontId="17" fillId="3" borderId="0" xfId="3" applyNumberFormat="1" applyFont="1" applyFill="1" applyBorder="1" applyAlignment="1">
      <alignment horizontal="center"/>
    </xf>
    <xf numFmtId="168" fontId="12" fillId="3" borderId="0" xfId="1" applyNumberFormat="1" applyFont="1" applyFill="1" applyBorder="1" applyAlignment="1">
      <alignment horizontal="center"/>
    </xf>
    <xf numFmtId="168" fontId="12" fillId="3" borderId="12" xfId="1" applyNumberFormat="1" applyFont="1" applyFill="1" applyBorder="1" applyAlignment="1">
      <alignment horizontal="center"/>
    </xf>
    <xf numFmtId="177" fontId="22" fillId="3" borderId="23" xfId="1" applyNumberFormat="1" applyFont="1" applyFill="1" applyBorder="1" applyAlignment="1">
      <alignment horizontal="center"/>
    </xf>
    <xf numFmtId="177" fontId="8" fillId="3" borderId="0" xfId="1" applyNumberFormat="1" applyFont="1" applyFill="1" applyBorder="1" applyAlignment="1">
      <alignment horizontal="center"/>
    </xf>
    <xf numFmtId="177" fontId="21" fillId="3" borderId="0" xfId="1" applyNumberFormat="1" applyFont="1" applyFill="1" applyBorder="1" applyAlignment="1">
      <alignment horizontal="center"/>
    </xf>
    <xf numFmtId="168" fontId="1" fillId="14" borderId="18" xfId="0" applyFont="1" applyFill="1" applyBorder="1"/>
    <xf numFmtId="168" fontId="0" fillId="14" borderId="19" xfId="0" applyFill="1" applyBorder="1"/>
    <xf numFmtId="168" fontId="1" fillId="14" borderId="14" xfId="0" applyFont="1" applyFill="1" applyBorder="1"/>
    <xf numFmtId="168" fontId="35" fillId="14" borderId="1" xfId="0" applyFont="1" applyFill="1" applyBorder="1"/>
    <xf numFmtId="168" fontId="0" fillId="14" borderId="15" xfId="0" applyFill="1" applyBorder="1"/>
    <xf numFmtId="168" fontId="3" fillId="5" borderId="18" xfId="0" applyFont="1" applyFill="1" applyBorder="1" applyAlignment="1">
      <alignment horizontal="right"/>
    </xf>
    <xf numFmtId="180" fontId="6" fillId="2" borderId="23" xfId="0" applyNumberFormat="1" applyFont="1" applyFill="1" applyBorder="1" applyAlignment="1">
      <alignment horizontal="center"/>
    </xf>
    <xf numFmtId="168" fontId="3" fillId="5" borderId="2" xfId="0" applyFont="1" applyFill="1" applyBorder="1" applyAlignment="1">
      <alignment horizontal="right"/>
    </xf>
    <xf numFmtId="165" fontId="6" fillId="2" borderId="23" xfId="1" applyNumberFormat="1" applyFont="1" applyFill="1" applyBorder="1" applyAlignment="1">
      <alignment horizontal="center"/>
    </xf>
    <xf numFmtId="168" fontId="3" fillId="5" borderId="3" xfId="0" applyFont="1" applyFill="1" applyBorder="1" applyAlignment="1">
      <alignment horizontal="right"/>
    </xf>
    <xf numFmtId="168" fontId="0" fillId="5" borderId="4" xfId="0" applyFill="1" applyBorder="1"/>
    <xf numFmtId="175" fontId="6" fillId="2" borderId="22" xfId="0" applyNumberFormat="1" applyFont="1" applyFill="1" applyBorder="1" applyAlignment="1">
      <alignment horizontal="center"/>
    </xf>
    <xf numFmtId="180" fontId="2" fillId="5" borderId="23" xfId="0" applyNumberFormat="1" applyFont="1" applyFill="1" applyBorder="1" applyAlignment="1">
      <alignment horizontal="center"/>
    </xf>
    <xf numFmtId="169" fontId="2" fillId="5" borderId="23" xfId="0" applyNumberFormat="1" applyFont="1" applyFill="1" applyBorder="1" applyAlignment="1">
      <alignment horizontal="center"/>
    </xf>
    <xf numFmtId="168" fontId="3" fillId="5" borderId="14" xfId="0" applyFont="1" applyFill="1" applyBorder="1" applyAlignment="1">
      <alignment horizontal="right"/>
    </xf>
    <xf numFmtId="168" fontId="0" fillId="5" borderId="15" xfId="0" applyFill="1" applyBorder="1"/>
    <xf numFmtId="168" fontId="3" fillId="11" borderId="20" xfId="0" applyFont="1" applyFill="1" applyBorder="1" applyAlignment="1">
      <alignment horizontal="right"/>
    </xf>
    <xf numFmtId="169" fontId="2" fillId="11" borderId="21" xfId="0" applyNumberFormat="1" applyFont="1" applyFill="1" applyBorder="1" applyAlignment="1">
      <alignment horizontal="center"/>
    </xf>
    <xf numFmtId="168" fontId="0" fillId="11" borderId="21" xfId="0" applyFill="1" applyBorder="1"/>
    <xf numFmtId="168" fontId="0" fillId="11" borderId="22" xfId="0" applyFill="1" applyBorder="1"/>
    <xf numFmtId="168" fontId="7" fillId="12" borderId="23" xfId="0" applyFont="1" applyFill="1" applyBorder="1"/>
    <xf numFmtId="168" fontId="0" fillId="12" borderId="2" xfId="0" applyFill="1" applyBorder="1"/>
    <xf numFmtId="168" fontId="0" fillId="12" borderId="19" xfId="0" applyFill="1" applyBorder="1"/>
    <xf numFmtId="168" fontId="3" fillId="12" borderId="3" xfId="0" applyFont="1" applyFill="1" applyBorder="1"/>
    <xf numFmtId="168" fontId="0" fillId="12" borderId="0" xfId="0" applyFill="1"/>
    <xf numFmtId="168" fontId="2" fillId="12" borderId="23" xfId="0" applyFont="1" applyFill="1" applyBorder="1"/>
    <xf numFmtId="168" fontId="0" fillId="12" borderId="4" xfId="0" applyFill="1" applyBorder="1"/>
    <xf numFmtId="168" fontId="1" fillId="12" borderId="3" xfId="0" applyFont="1" applyFill="1" applyBorder="1"/>
    <xf numFmtId="168" fontId="3" fillId="12" borderId="0" xfId="0" applyFont="1" applyFill="1"/>
    <xf numFmtId="168" fontId="2" fillId="12" borderId="3" xfId="0" applyFont="1" applyFill="1" applyBorder="1"/>
    <xf numFmtId="168" fontId="3" fillId="12" borderId="0" xfId="0" applyFont="1" applyFill="1" applyAlignment="1">
      <alignment horizontal="center"/>
    </xf>
    <xf numFmtId="168" fontId="3" fillId="12" borderId="4" xfId="0" applyFont="1" applyFill="1" applyBorder="1" applyAlignment="1">
      <alignment horizontal="center"/>
    </xf>
    <xf numFmtId="169" fontId="6" fillId="2" borderId="23" xfId="3" applyNumberFormat="1" applyFont="1" applyFill="1" applyBorder="1" applyAlignment="1">
      <alignment horizontal="center"/>
    </xf>
    <xf numFmtId="173" fontId="27" fillId="12" borderId="0" xfId="1" applyNumberFormat="1" applyFont="1" applyFill="1" applyBorder="1"/>
    <xf numFmtId="168" fontId="2" fillId="12" borderId="4" xfId="0" applyFont="1" applyFill="1" applyBorder="1"/>
    <xf numFmtId="168" fontId="2" fillId="12" borderId="0" xfId="0" applyFont="1" applyFill="1"/>
    <xf numFmtId="168" fontId="10" fillId="12" borderId="3" xfId="0" applyFont="1" applyFill="1" applyBorder="1"/>
    <xf numFmtId="168" fontId="6" fillId="12" borderId="4" xfId="0" applyFont="1" applyFill="1" applyBorder="1"/>
    <xf numFmtId="169" fontId="21" fillId="12" borderId="23" xfId="3" applyNumberFormat="1" applyFont="1" applyFill="1" applyBorder="1" applyAlignment="1">
      <alignment horizontal="center"/>
    </xf>
    <xf numFmtId="174" fontId="3" fillId="12" borderId="0" xfId="1" applyNumberFormat="1" applyFont="1" applyFill="1" applyBorder="1"/>
    <xf numFmtId="166" fontId="6" fillId="12" borderId="4" xfId="1" applyNumberFormat="1" applyFont="1" applyFill="1" applyBorder="1"/>
    <xf numFmtId="169" fontId="2" fillId="12" borderId="23" xfId="3" applyNumberFormat="1" applyFont="1" applyFill="1" applyBorder="1" applyAlignment="1">
      <alignment horizontal="center"/>
    </xf>
    <xf numFmtId="173" fontId="3" fillId="12" borderId="0" xfId="1" applyNumberFormat="1" applyFont="1" applyFill="1" applyBorder="1"/>
    <xf numFmtId="168" fontId="0" fillId="12" borderId="14" xfId="0" applyFill="1" applyBorder="1"/>
    <xf numFmtId="168" fontId="0" fillId="12" borderId="1" xfId="0" applyFill="1" applyBorder="1"/>
    <xf numFmtId="178" fontId="3" fillId="12" borderId="1" xfId="0" applyNumberFormat="1" applyFont="1" applyFill="1" applyBorder="1"/>
    <xf numFmtId="168" fontId="0" fillId="12" borderId="15" xfId="0" applyFill="1" applyBorder="1"/>
    <xf numFmtId="181" fontId="12" fillId="9" borderId="16" xfId="3" applyNumberFormat="1" applyFont="1" applyFill="1" applyBorder="1" applyAlignment="1">
      <alignment horizontal="right"/>
    </xf>
    <xf numFmtId="181" fontId="9" fillId="2" borderId="5" xfId="3" applyNumberFormat="1" applyFont="1" applyFill="1" applyBorder="1"/>
    <xf numFmtId="168" fontId="3" fillId="12" borderId="2" xfId="0" applyFont="1" applyFill="1" applyBorder="1"/>
    <xf numFmtId="168" fontId="6" fillId="12" borderId="19" xfId="0" applyFont="1" applyFill="1" applyBorder="1"/>
    <xf numFmtId="182" fontId="6" fillId="2" borderId="23" xfId="3" applyNumberFormat="1" applyFont="1" applyFill="1" applyBorder="1" applyAlignment="1">
      <alignment horizontal="center"/>
    </xf>
    <xf numFmtId="168" fontId="19" fillId="12" borderId="0" xfId="0" applyFont="1" applyFill="1"/>
    <xf numFmtId="168" fontId="37" fillId="12" borderId="4" xfId="0" applyFont="1" applyFill="1" applyBorder="1"/>
    <xf numFmtId="178" fontId="0" fillId="12" borderId="0" xfId="0" applyNumberFormat="1" applyFill="1"/>
    <xf numFmtId="168" fontId="3" fillId="12" borderId="0" xfId="0" applyFont="1" applyFill="1" applyAlignment="1">
      <alignment horizontal="right"/>
    </xf>
    <xf numFmtId="168" fontId="6" fillId="2" borderId="23" xfId="0" applyFont="1" applyFill="1" applyBorder="1"/>
    <xf numFmtId="168" fontId="3" fillId="12" borderId="14" xfId="0" applyFont="1" applyFill="1" applyBorder="1"/>
    <xf numFmtId="168" fontId="3" fillId="12" borderId="1" xfId="0" applyFont="1" applyFill="1" applyBorder="1"/>
    <xf numFmtId="168" fontId="2" fillId="12" borderId="1" xfId="0" applyFont="1" applyFill="1" applyBorder="1" applyAlignment="1">
      <alignment horizontal="right"/>
    </xf>
    <xf numFmtId="168" fontId="2" fillId="12" borderId="15" xfId="0" applyFont="1" applyFill="1" applyBorder="1"/>
    <xf numFmtId="168" fontId="32" fillId="2" borderId="6" xfId="0" applyFont="1" applyFill="1" applyBorder="1" applyAlignment="1">
      <alignment horizontal="center"/>
    </xf>
    <xf numFmtId="168" fontId="28" fillId="0" borderId="7" xfId="0" applyFont="1" applyBorder="1" applyAlignment="1">
      <alignment horizontal="center"/>
    </xf>
    <xf numFmtId="168" fontId="28" fillId="0" borderId="8" xfId="0" applyFont="1" applyBorder="1" applyAlignment="1">
      <alignment horizontal="center"/>
    </xf>
    <xf numFmtId="167" fontId="16" fillId="6" borderId="6" xfId="1" applyNumberFormat="1" applyFont="1" applyFill="1" applyBorder="1" applyAlignment="1">
      <alignment horizontal="center"/>
    </xf>
    <xf numFmtId="168" fontId="0" fillId="0" borderId="7" xfId="0" applyBorder="1" applyAlignment="1">
      <alignment horizontal="center"/>
    </xf>
    <xf numFmtId="168" fontId="0" fillId="0" borderId="8" xfId="0" applyBorder="1" applyAlignment="1">
      <alignment horizontal="center"/>
    </xf>
    <xf numFmtId="168" fontId="12" fillId="3" borderId="0" xfId="0" applyFont="1" applyFill="1" applyAlignment="1">
      <alignment horizontal="right"/>
    </xf>
    <xf numFmtId="172" fontId="2" fillId="3" borderId="0" xfId="1" applyNumberFormat="1" applyFont="1" applyFill="1" applyBorder="1" applyAlignment="1">
      <alignment horizontal="center"/>
    </xf>
    <xf numFmtId="168" fontId="12" fillId="3" borderId="12" xfId="0" applyFont="1" applyFill="1" applyBorder="1" applyAlignment="1">
      <alignment horizontal="right"/>
    </xf>
    <xf numFmtId="172" fontId="2" fillId="3" borderId="12" xfId="1" applyNumberFormat="1" applyFont="1" applyFill="1" applyBorder="1" applyAlignment="1">
      <alignment horizontal="center"/>
    </xf>
    <xf numFmtId="171" fontId="12" fillId="3" borderId="12" xfId="0" applyNumberFormat="1" applyFont="1" applyFill="1" applyBorder="1"/>
    <xf numFmtId="172" fontId="9" fillId="3" borderId="6" xfId="1" applyNumberFormat="1" applyFont="1" applyFill="1" applyBorder="1" applyAlignment="1">
      <alignment horizontal="right"/>
    </xf>
    <xf numFmtId="171" fontId="33" fillId="3" borderId="9" xfId="0" applyNumberFormat="1" applyFont="1" applyFill="1" applyBorder="1" applyAlignment="1">
      <alignment horizontal="right"/>
    </xf>
    <xf numFmtId="171" fontId="34" fillId="3" borderId="9" xfId="0" applyNumberFormat="1" applyFont="1" applyFill="1" applyBorder="1" applyAlignment="1">
      <alignment horizontal="right"/>
    </xf>
    <xf numFmtId="9" fontId="17" fillId="3" borderId="9" xfId="3" applyFont="1" applyFill="1" applyBorder="1"/>
    <xf numFmtId="171" fontId="34" fillId="3" borderId="11" xfId="0" applyNumberFormat="1" applyFont="1" applyFill="1" applyBorder="1" applyAlignment="1">
      <alignment horizontal="right"/>
    </xf>
    <xf numFmtId="184" fontId="12" fillId="2" borderId="5" xfId="3" applyNumberFormat="1" applyFont="1" applyFill="1" applyBorder="1" applyAlignment="1">
      <alignment horizontal="center"/>
    </xf>
    <xf numFmtId="184" fontId="9" fillId="2" borderId="5" xfId="3" applyNumberFormat="1" applyFont="1" applyFill="1" applyBorder="1" applyAlignment="1">
      <alignment horizontal="center"/>
    </xf>
    <xf numFmtId="183" fontId="36" fillId="4" borderId="6" xfId="3" applyNumberFormat="1" applyFont="1" applyFill="1" applyBorder="1" applyAlignment="1">
      <alignment horizontal="center"/>
    </xf>
    <xf numFmtId="187" fontId="29" fillId="4" borderId="9" xfId="2" applyNumberFormat="1" applyFont="1" applyFill="1" applyBorder="1" applyAlignment="1">
      <alignment horizontal="center"/>
    </xf>
    <xf numFmtId="187" fontId="2" fillId="0" borderId="5" xfId="2" applyNumberFormat="1" applyFont="1" applyBorder="1" applyAlignment="1">
      <alignment horizontal="center"/>
    </xf>
    <xf numFmtId="5" fontId="29" fillId="4" borderId="9" xfId="2" applyNumberFormat="1" applyFont="1" applyFill="1" applyBorder="1" applyAlignment="1">
      <alignment horizontal="center"/>
    </xf>
    <xf numFmtId="5" fontId="2" fillId="0" borderId="5" xfId="2" applyNumberFormat="1" applyFont="1" applyBorder="1" applyAlignment="1">
      <alignment horizontal="center"/>
    </xf>
    <xf numFmtId="10" fontId="9" fillId="2" borderId="5" xfId="3" applyNumberFormat="1" applyFont="1" applyFill="1" applyBorder="1"/>
    <xf numFmtId="10" fontId="36" fillId="4" borderId="6" xfId="3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9FF99"/>
  </sheetPr>
  <dimension ref="B1:M159"/>
  <sheetViews>
    <sheetView tabSelected="1" workbookViewId="0">
      <selection activeCell="B1" sqref="B1"/>
    </sheetView>
  </sheetViews>
  <sheetFormatPr defaultRowHeight="13.2" x14ac:dyDescent="0.25"/>
  <cols>
    <col min="1" max="1" width="2.33203125" customWidth="1"/>
    <col min="2" max="2" width="34.44140625" customWidth="1"/>
    <col min="3" max="3" width="30.77734375" bestFit="1" customWidth="1"/>
    <col min="4" max="5" width="11.6640625" bestFit="1" customWidth="1"/>
    <col min="6" max="6" width="11.88671875" bestFit="1" customWidth="1"/>
    <col min="7" max="7" width="11.88671875" customWidth="1"/>
    <col min="8" max="9" width="10.6640625" bestFit="1" customWidth="1"/>
    <col min="10" max="10" width="9.6640625" bestFit="1" customWidth="1"/>
    <col min="11" max="14" width="9.88671875" bestFit="1" customWidth="1"/>
    <col min="15" max="17" width="10.88671875" bestFit="1" customWidth="1"/>
    <col min="18" max="18" width="9.88671875" bestFit="1" customWidth="1"/>
  </cols>
  <sheetData>
    <row r="1" spans="2:13" ht="13.8" thickBot="1" x14ac:dyDescent="0.3"/>
    <row r="2" spans="2:13" ht="23.4" x14ac:dyDescent="0.45">
      <c r="B2" s="149" t="s">
        <v>54</v>
      </c>
      <c r="C2" s="150"/>
      <c r="D2" s="150"/>
      <c r="E2" s="150"/>
      <c r="F2" s="150"/>
      <c r="G2" s="150"/>
      <c r="H2" s="151"/>
    </row>
    <row r="3" spans="2:13" ht="14.4" x14ac:dyDescent="0.3">
      <c r="B3" s="24" t="s">
        <v>3</v>
      </c>
      <c r="C3" s="34" t="s">
        <v>8</v>
      </c>
      <c r="D3" s="25" t="s">
        <v>9</v>
      </c>
      <c r="E3" s="34" t="s">
        <v>10</v>
      </c>
      <c r="F3" s="25" t="s">
        <v>11</v>
      </c>
      <c r="G3" s="25"/>
      <c r="H3" s="35" t="s">
        <v>2</v>
      </c>
    </row>
    <row r="4" spans="2:13" ht="14.4" x14ac:dyDescent="0.3">
      <c r="B4" s="36" t="s">
        <v>52</v>
      </c>
      <c r="C4" s="37" t="s">
        <v>12</v>
      </c>
      <c r="D4" s="38">
        <v>8678</v>
      </c>
      <c r="E4" s="39">
        <f>D4/10.7639</f>
        <v>806.21336132814315</v>
      </c>
      <c r="F4" s="40">
        <v>8.4086444007858461</v>
      </c>
      <c r="G4" s="41">
        <v>1</v>
      </c>
      <c r="H4" s="42">
        <f>(F4*D4)</f>
        <v>72970.216110019566</v>
      </c>
    </row>
    <row r="5" spans="2:13" ht="16.2" x14ac:dyDescent="0.45">
      <c r="B5" s="43" t="s">
        <v>52</v>
      </c>
      <c r="C5" s="37" t="s">
        <v>13</v>
      </c>
      <c r="D5" s="44">
        <v>225</v>
      </c>
      <c r="E5" s="45">
        <f>D5/10.7639</f>
        <v>20.903204228950475</v>
      </c>
      <c r="F5" s="46">
        <f>F4*G5</f>
        <v>8.5768172888015624</v>
      </c>
      <c r="G5" s="41">
        <v>1.02</v>
      </c>
      <c r="H5" s="47">
        <f>(F5*D5)</f>
        <v>1929.7838899803514</v>
      </c>
    </row>
    <row r="6" spans="2:13" ht="14.4" x14ac:dyDescent="0.3">
      <c r="B6" s="48"/>
      <c r="C6" s="49"/>
      <c r="D6" s="50">
        <f>SUM(D4:D5)</f>
        <v>8903</v>
      </c>
      <c r="E6" s="51">
        <f>SUM(E4:E5)</f>
        <v>827.11656555709362</v>
      </c>
      <c r="F6" s="52"/>
      <c r="G6" s="41"/>
      <c r="H6" s="53">
        <f>SUM(H4:H5)</f>
        <v>74899.999999999913</v>
      </c>
    </row>
    <row r="7" spans="2:13" ht="16.2" x14ac:dyDescent="0.45">
      <c r="B7" s="54" t="s">
        <v>52</v>
      </c>
      <c r="C7" s="37" t="s">
        <v>14</v>
      </c>
      <c r="D7" s="55">
        <v>459</v>
      </c>
      <c r="E7" s="45">
        <f>D7/10.7639</f>
        <v>42.642536627058966</v>
      </c>
      <c r="F7" s="56">
        <v>5.0932561143930961</v>
      </c>
      <c r="G7" s="41"/>
      <c r="H7" s="47">
        <f>(F7*D7)</f>
        <v>2337.8045565064313</v>
      </c>
    </row>
    <row r="8" spans="2:13" ht="14.4" x14ac:dyDescent="0.3">
      <c r="B8" s="48"/>
      <c r="C8" s="37"/>
      <c r="D8" s="50">
        <f>SUM(D7)</f>
        <v>459</v>
      </c>
      <c r="E8" s="51">
        <f>SUM(E7)</f>
        <v>42.642536627058966</v>
      </c>
      <c r="F8" s="57"/>
      <c r="G8" s="41"/>
      <c r="H8" s="53">
        <f>SUM(H7)</f>
        <v>2337.8045565064313</v>
      </c>
      <c r="M8" s="58"/>
    </row>
    <row r="9" spans="2:13" ht="16.2" x14ac:dyDescent="0.45">
      <c r="B9" s="54" t="s">
        <v>53</v>
      </c>
      <c r="C9" s="37" t="s">
        <v>5</v>
      </c>
      <c r="D9" s="55">
        <v>1898</v>
      </c>
      <c r="E9" s="45">
        <f>D9/10.7639</f>
        <v>176.33014056243556</v>
      </c>
      <c r="F9" s="56">
        <v>5.2684093175936564</v>
      </c>
      <c r="G9" s="41"/>
      <c r="H9" s="47">
        <f>(F9*D9)</f>
        <v>9999.4408847927607</v>
      </c>
    </row>
    <row r="10" spans="2:13" ht="14.4" x14ac:dyDescent="0.3">
      <c r="B10" s="48"/>
      <c r="C10" s="37"/>
      <c r="D10" s="50">
        <f>SUM(D9)</f>
        <v>1898</v>
      </c>
      <c r="E10" s="51">
        <f>SUM(E9)</f>
        <v>176.33014056243556</v>
      </c>
      <c r="F10" s="57"/>
      <c r="G10" s="41"/>
      <c r="H10" s="53">
        <f>SUM(H9)</f>
        <v>9999.4408847927607</v>
      </c>
    </row>
    <row r="11" spans="2:13" ht="14.4" x14ac:dyDescent="0.3">
      <c r="B11" s="59" t="s">
        <v>15</v>
      </c>
      <c r="C11" s="37" t="s">
        <v>16</v>
      </c>
      <c r="D11" s="60">
        <v>1409.2716739537573</v>
      </c>
      <c r="E11" s="39">
        <f>D11/10.7639</f>
        <v>130.92574939880132</v>
      </c>
      <c r="F11" s="61">
        <v>16.459714581434145</v>
      </c>
      <c r="G11" s="41"/>
      <c r="H11" s="42">
        <f>(F11*D11)</f>
        <v>23196.209520978766</v>
      </c>
    </row>
    <row r="12" spans="2:13" ht="16.2" x14ac:dyDescent="0.45">
      <c r="B12" s="43" t="s">
        <v>15</v>
      </c>
      <c r="C12" s="37" t="s">
        <v>17</v>
      </c>
      <c r="D12" s="44">
        <v>8133.622200046244</v>
      </c>
      <c r="E12" s="45">
        <f>D12/10.7639</f>
        <v>755.63895986085379</v>
      </c>
      <c r="F12" s="62">
        <f>F11</f>
        <v>16.459714581434145</v>
      </c>
      <c r="G12" s="41"/>
      <c r="H12" s="47">
        <f>(F12*D12)</f>
        <v>133877.09992597764</v>
      </c>
    </row>
    <row r="13" spans="2:13" ht="14.4" x14ac:dyDescent="0.3">
      <c r="B13" s="48"/>
      <c r="C13" s="37"/>
      <c r="D13" s="50">
        <f>SUM(D11:D12)</f>
        <v>9542.8938740000012</v>
      </c>
      <c r="E13" s="51">
        <f>SUM(E11:E12)</f>
        <v>886.56470925965505</v>
      </c>
      <c r="F13" s="52"/>
      <c r="G13" s="1"/>
      <c r="H13" s="53">
        <f>SUM(H11:H12)</f>
        <v>157073.30944695641</v>
      </c>
    </row>
    <row r="14" spans="2:13" ht="16.2" x14ac:dyDescent="0.45">
      <c r="B14" s="48"/>
      <c r="C14" s="49"/>
      <c r="D14" s="49"/>
      <c r="E14" s="155" t="s">
        <v>18</v>
      </c>
      <c r="F14" s="64">
        <f>C38</f>
        <v>0.59695055977453892</v>
      </c>
      <c r="G14" s="49"/>
      <c r="H14" s="47">
        <f>(1-F14)*H13</f>
        <v>63308.309446956409</v>
      </c>
    </row>
    <row r="15" spans="2:13" ht="16.2" x14ac:dyDescent="0.45">
      <c r="B15" s="48"/>
      <c r="C15" s="155" t="s">
        <v>55</v>
      </c>
      <c r="D15" s="156">
        <f>D6</f>
        <v>8903</v>
      </c>
      <c r="E15" s="39">
        <f>D15/10.7639</f>
        <v>827.11656555709362</v>
      </c>
      <c r="F15" s="67"/>
      <c r="G15" s="49"/>
      <c r="H15" s="47"/>
    </row>
    <row r="16" spans="2:13" ht="16.2" x14ac:dyDescent="0.45">
      <c r="B16" s="48"/>
      <c r="C16" s="155" t="s">
        <v>19</v>
      </c>
      <c r="D16" s="156">
        <f>D8+D10+D13</f>
        <v>11899.893874000001</v>
      </c>
      <c r="E16" s="39">
        <f>D16/10.7639</f>
        <v>1105.5373864491496</v>
      </c>
      <c r="F16" s="67"/>
      <c r="G16" s="49"/>
      <c r="H16" s="47"/>
    </row>
    <row r="17" spans="2:11" ht="15" thickBot="1" x14ac:dyDescent="0.35">
      <c r="B17" s="68"/>
      <c r="C17" s="157" t="s">
        <v>20</v>
      </c>
      <c r="D17" s="158">
        <f>D6+D8+D10+D13</f>
        <v>20802.893874000001</v>
      </c>
      <c r="E17" s="159">
        <f>D17/10.7639</f>
        <v>1932.6539520062433</v>
      </c>
      <c r="F17" s="72"/>
      <c r="G17" s="73"/>
      <c r="H17" s="74">
        <f>H6+H8+H10+H14</f>
        <v>150545.55488825549</v>
      </c>
    </row>
    <row r="18" spans="2:11" ht="13.8" thickBot="1" x14ac:dyDescent="0.3"/>
    <row r="19" spans="2:11" ht="14.4" x14ac:dyDescent="0.3">
      <c r="B19" s="160"/>
      <c r="C19" s="75"/>
      <c r="D19" s="76"/>
    </row>
    <row r="20" spans="2:11" ht="16.2" x14ac:dyDescent="0.45">
      <c r="B20" s="161" t="s">
        <v>21</v>
      </c>
      <c r="C20" s="77">
        <f>H13</f>
        <v>157073.30944695641</v>
      </c>
      <c r="D20" s="53"/>
      <c r="K20" s="58"/>
    </row>
    <row r="21" spans="2:11" ht="14.4" x14ac:dyDescent="0.3">
      <c r="B21" s="161"/>
      <c r="C21" s="78">
        <f>C20/D13</f>
        <v>16.459714581434145</v>
      </c>
      <c r="D21" s="53"/>
      <c r="K21" s="58"/>
    </row>
    <row r="22" spans="2:11" ht="16.2" x14ac:dyDescent="0.45">
      <c r="B22" s="162"/>
      <c r="C22" s="79"/>
      <c r="D22" s="47"/>
    </row>
    <row r="23" spans="2:11" ht="16.2" x14ac:dyDescent="0.45">
      <c r="B23" s="162" t="s">
        <v>22</v>
      </c>
      <c r="C23" s="81">
        <v>18540</v>
      </c>
      <c r="D23" s="47"/>
      <c r="K23" s="80"/>
    </row>
    <row r="24" spans="2:11" ht="16.2" x14ac:dyDescent="0.45">
      <c r="B24" s="162"/>
      <c r="C24" s="79"/>
      <c r="D24" s="47"/>
    </row>
    <row r="25" spans="2:11" ht="16.2" x14ac:dyDescent="0.45">
      <c r="B25" s="162" t="s">
        <v>23</v>
      </c>
      <c r="C25" s="81">
        <v>10000</v>
      </c>
      <c r="D25" s="47"/>
    </row>
    <row r="26" spans="2:11" ht="16.2" x14ac:dyDescent="0.45">
      <c r="B26" s="162"/>
      <c r="C26" s="79"/>
      <c r="D26" s="47"/>
    </row>
    <row r="27" spans="2:11" ht="16.2" x14ac:dyDescent="0.45">
      <c r="B27" s="162" t="s">
        <v>24</v>
      </c>
      <c r="C27" s="81">
        <v>725</v>
      </c>
      <c r="D27" s="47"/>
    </row>
    <row r="28" spans="2:11" ht="16.2" x14ac:dyDescent="0.45">
      <c r="B28" s="162"/>
      <c r="C28" s="79"/>
      <c r="D28" s="47"/>
    </row>
    <row r="29" spans="2:11" ht="16.2" x14ac:dyDescent="0.45">
      <c r="B29" s="162" t="s">
        <v>25</v>
      </c>
      <c r="C29" s="81">
        <v>4000</v>
      </c>
      <c r="D29" s="47"/>
    </row>
    <row r="30" spans="2:11" ht="16.2" x14ac:dyDescent="0.45">
      <c r="B30" s="162"/>
      <c r="C30" s="79"/>
      <c r="D30" s="47"/>
    </row>
    <row r="31" spans="2:11" ht="16.2" x14ac:dyDescent="0.45">
      <c r="B31" s="162" t="s">
        <v>51</v>
      </c>
      <c r="C31" s="81">
        <v>13500</v>
      </c>
      <c r="D31" s="47"/>
    </row>
    <row r="32" spans="2:11" ht="16.2" x14ac:dyDescent="0.45">
      <c r="B32" s="162"/>
      <c r="C32" s="79"/>
      <c r="D32" s="47"/>
    </row>
    <row r="33" spans="2:11" ht="16.2" x14ac:dyDescent="0.45">
      <c r="B33" s="162" t="s">
        <v>56</v>
      </c>
      <c r="C33" s="81">
        <v>35000</v>
      </c>
      <c r="D33" s="47"/>
    </row>
    <row r="34" spans="2:11" ht="16.2" x14ac:dyDescent="0.45">
      <c r="B34" s="163" t="s">
        <v>26</v>
      </c>
      <c r="C34" s="82">
        <f>C33/C20</f>
        <v>0.22282589017340013</v>
      </c>
      <c r="D34" s="47"/>
    </row>
    <row r="35" spans="2:11" ht="16.2" x14ac:dyDescent="0.45">
      <c r="B35" s="162" t="s">
        <v>57</v>
      </c>
      <c r="C35" s="81">
        <v>12000</v>
      </c>
      <c r="D35" s="47"/>
      <c r="K35" s="23"/>
    </row>
    <row r="36" spans="2:11" ht="16.2" x14ac:dyDescent="0.45">
      <c r="B36" s="162"/>
      <c r="C36" s="79"/>
      <c r="D36" s="47"/>
    </row>
    <row r="37" spans="2:11" ht="16.2" x14ac:dyDescent="0.45">
      <c r="B37" s="161" t="s">
        <v>27</v>
      </c>
      <c r="C37" s="83">
        <f>(C23+C25+C27+C29+C31+C33+C35)</f>
        <v>93765</v>
      </c>
      <c r="D37" s="47"/>
    </row>
    <row r="38" spans="2:11" ht="16.2" x14ac:dyDescent="0.45">
      <c r="B38" s="163" t="s">
        <v>26</v>
      </c>
      <c r="C38" s="82">
        <f>C37/C20</f>
        <v>0.59695055977453892</v>
      </c>
      <c r="D38" s="47"/>
    </row>
    <row r="39" spans="2:11" ht="16.2" x14ac:dyDescent="0.45">
      <c r="B39" s="162"/>
      <c r="C39" s="79"/>
      <c r="D39" s="47"/>
    </row>
    <row r="40" spans="2:11" ht="16.2" x14ac:dyDescent="0.45">
      <c r="B40" s="161"/>
      <c r="C40" s="77">
        <f>C20-C37</f>
        <v>63308.309446956409</v>
      </c>
      <c r="D40" s="47"/>
    </row>
    <row r="41" spans="2:11" ht="16.2" x14ac:dyDescent="0.45">
      <c r="B41" s="162"/>
      <c r="C41" s="78">
        <f>C40/D13</f>
        <v>6.6340787483178918</v>
      </c>
      <c r="D41" s="47"/>
    </row>
    <row r="42" spans="2:11" ht="16.2" x14ac:dyDescent="0.45">
      <c r="B42" s="162"/>
      <c r="C42" s="79"/>
      <c r="D42" s="47"/>
    </row>
    <row r="43" spans="2:11" ht="16.2" x14ac:dyDescent="0.45">
      <c r="B43" s="162" t="s">
        <v>28</v>
      </c>
      <c r="C43" s="81">
        <v>10000</v>
      </c>
      <c r="D43" s="47"/>
    </row>
    <row r="44" spans="2:11" ht="16.2" x14ac:dyDescent="0.45">
      <c r="B44" s="162"/>
      <c r="C44" s="79"/>
      <c r="D44" s="47"/>
    </row>
    <row r="45" spans="2:11" ht="16.2" x14ac:dyDescent="0.45">
      <c r="B45" s="161" t="s">
        <v>29</v>
      </c>
      <c r="C45" s="77">
        <f>C40-C43</f>
        <v>53308.309446956409</v>
      </c>
      <c r="D45" s="53"/>
    </row>
    <row r="46" spans="2:11" ht="14.4" x14ac:dyDescent="0.3">
      <c r="B46" s="162"/>
      <c r="C46" s="78">
        <f>C45/D15</f>
        <v>5.9876793717798957</v>
      </c>
      <c r="D46" s="53"/>
    </row>
    <row r="47" spans="2:11" ht="15" thickBot="1" x14ac:dyDescent="0.35">
      <c r="B47" s="164"/>
      <c r="C47" s="84"/>
      <c r="D47" s="22"/>
    </row>
    <row r="48" spans="2:11" ht="13.8" thickBot="1" x14ac:dyDescent="0.3"/>
    <row r="49" spans="2:11" ht="23.4" x14ac:dyDescent="0.45">
      <c r="B49" s="149" t="s">
        <v>60</v>
      </c>
      <c r="C49" s="150"/>
      <c r="D49" s="150"/>
      <c r="E49" s="150"/>
      <c r="F49" s="150"/>
      <c r="G49" s="150"/>
      <c r="H49" s="151"/>
    </row>
    <row r="50" spans="2:11" ht="14.4" x14ac:dyDescent="0.3">
      <c r="B50" s="24" t="s">
        <v>3</v>
      </c>
      <c r="C50" s="34" t="s">
        <v>8</v>
      </c>
      <c r="D50" s="25" t="s">
        <v>9</v>
      </c>
      <c r="E50" s="34" t="s">
        <v>10</v>
      </c>
      <c r="F50" s="25" t="s">
        <v>11</v>
      </c>
      <c r="G50" s="25"/>
      <c r="H50" s="35" t="s">
        <v>2</v>
      </c>
    </row>
    <row r="51" spans="2:11" ht="14.4" x14ac:dyDescent="0.3">
      <c r="B51" s="36" t="s">
        <v>59</v>
      </c>
      <c r="C51" s="37" t="s">
        <v>12</v>
      </c>
      <c r="D51" s="38">
        <v>8678</v>
      </c>
      <c r="E51" s="39">
        <f>D51/10.7639</f>
        <v>806.21336132814315</v>
      </c>
      <c r="F51" s="40">
        <v>8.5</v>
      </c>
      <c r="G51" s="41">
        <v>1</v>
      </c>
      <c r="H51" s="42">
        <f>(F51*D51)</f>
        <v>73763</v>
      </c>
    </row>
    <row r="52" spans="2:11" ht="16.2" x14ac:dyDescent="0.45">
      <c r="B52" s="43" t="s">
        <v>59</v>
      </c>
      <c r="C52" s="37" t="s">
        <v>13</v>
      </c>
      <c r="D52" s="44">
        <v>225</v>
      </c>
      <c r="E52" s="45">
        <f>D52/10.7639</f>
        <v>20.903204228950475</v>
      </c>
      <c r="F52" s="46">
        <f>F51*G52</f>
        <v>8.67</v>
      </c>
      <c r="G52" s="41">
        <v>1.02</v>
      </c>
      <c r="H52" s="47">
        <f>(F52*D52)</f>
        <v>1950.75</v>
      </c>
    </row>
    <row r="53" spans="2:11" ht="14.4" x14ac:dyDescent="0.3">
      <c r="B53" s="48"/>
      <c r="C53" s="49"/>
      <c r="D53" s="50">
        <f>SUM(D51:D52)</f>
        <v>8903</v>
      </c>
      <c r="E53" s="51">
        <f>SUM(E51:E52)</f>
        <v>827.11656555709362</v>
      </c>
      <c r="F53" s="52"/>
      <c r="G53" s="41"/>
      <c r="H53" s="53">
        <f>SUM(H51:H52)</f>
        <v>75713.75</v>
      </c>
    </row>
    <row r="54" spans="2:11" ht="16.2" x14ac:dyDescent="0.45">
      <c r="B54" s="54" t="s">
        <v>59</v>
      </c>
      <c r="C54" s="37" t="s">
        <v>14</v>
      </c>
      <c r="D54" s="55">
        <v>459</v>
      </c>
      <c r="E54" s="45">
        <f>D54/10.7639</f>
        <v>42.642536627058966</v>
      </c>
      <c r="F54" s="85">
        <f>C46</f>
        <v>5.9876793717798957</v>
      </c>
      <c r="G54" s="41"/>
      <c r="H54" s="47">
        <f>(F54*D54)</f>
        <v>2748.3448316469721</v>
      </c>
    </row>
    <row r="55" spans="2:11" ht="14.4" x14ac:dyDescent="0.3">
      <c r="B55" s="48"/>
      <c r="C55" s="37"/>
      <c r="D55" s="50">
        <f>SUM(D54)</f>
        <v>459</v>
      </c>
      <c r="E55" s="51">
        <f>SUM(E54)</f>
        <v>42.642536627058966</v>
      </c>
      <c r="F55" s="86"/>
      <c r="G55" s="41"/>
      <c r="H55" s="53">
        <f>SUM(H54)</f>
        <v>2748.3448316469721</v>
      </c>
    </row>
    <row r="56" spans="2:11" ht="16.2" x14ac:dyDescent="0.45">
      <c r="B56" s="54" t="s">
        <v>53</v>
      </c>
      <c r="C56" s="37" t="s">
        <v>5</v>
      </c>
      <c r="D56" s="55">
        <f>D9</f>
        <v>1898</v>
      </c>
      <c r="E56" s="45">
        <f>D56/10.7639</f>
        <v>176.33014056243556</v>
      </c>
      <c r="F56" s="85">
        <f>C46</f>
        <v>5.9876793717798957</v>
      </c>
      <c r="G56" s="41"/>
      <c r="H56" s="47">
        <f>(F56*D56)</f>
        <v>11364.615447638242</v>
      </c>
    </row>
    <row r="57" spans="2:11" ht="14.4" x14ac:dyDescent="0.3">
      <c r="B57" s="48"/>
      <c r="C57" s="37"/>
      <c r="D57" s="50">
        <f>SUM(D56)</f>
        <v>1898</v>
      </c>
      <c r="E57" s="51">
        <f>SUM(E56)</f>
        <v>176.33014056243556</v>
      </c>
      <c r="F57" s="87"/>
      <c r="G57" s="41"/>
      <c r="H57" s="53">
        <f>SUM(H56)</f>
        <v>11364.615447638242</v>
      </c>
    </row>
    <row r="58" spans="2:11" ht="14.4" x14ac:dyDescent="0.3">
      <c r="B58" s="59" t="s">
        <v>15</v>
      </c>
      <c r="C58" s="37" t="s">
        <v>16</v>
      </c>
      <c r="D58" s="60">
        <v>1409.2716739537573</v>
      </c>
      <c r="E58" s="39">
        <f>D58/10.7639</f>
        <v>130.92574939880132</v>
      </c>
      <c r="F58" s="61">
        <v>16.459714581434145</v>
      </c>
      <c r="G58" s="41"/>
      <c r="H58" s="42">
        <f>(F58*D58)</f>
        <v>23196.209520978766</v>
      </c>
    </row>
    <row r="59" spans="2:11" ht="16.2" x14ac:dyDescent="0.45">
      <c r="B59" s="43" t="s">
        <v>15</v>
      </c>
      <c r="C59" s="37" t="s">
        <v>17</v>
      </c>
      <c r="D59" s="44">
        <v>8133.622200046244</v>
      </c>
      <c r="E59" s="45">
        <f>D59/10.7639</f>
        <v>755.63895986085379</v>
      </c>
      <c r="F59" s="62">
        <f>F58</f>
        <v>16.459714581434145</v>
      </c>
      <c r="G59" s="41"/>
      <c r="H59" s="47">
        <f>(F59*D59)</f>
        <v>133877.09992597764</v>
      </c>
    </row>
    <row r="60" spans="2:11" ht="14.4" x14ac:dyDescent="0.3">
      <c r="B60" s="48"/>
      <c r="C60" s="37"/>
      <c r="D60" s="50">
        <f>SUM(D58:D59)</f>
        <v>9542.8938740000012</v>
      </c>
      <c r="E60" s="51">
        <f>SUM(E58:E59)</f>
        <v>886.56470925965505</v>
      </c>
      <c r="F60" s="52"/>
      <c r="G60" s="1"/>
      <c r="H60" s="53">
        <f>SUM(H58:H59)</f>
        <v>157073.30944695641</v>
      </c>
      <c r="J60" s="80"/>
    </row>
    <row r="61" spans="2:11" ht="14.4" x14ac:dyDescent="0.3">
      <c r="B61" s="48"/>
      <c r="C61" s="49"/>
      <c r="D61" s="49"/>
      <c r="E61" s="63" t="s">
        <v>64</v>
      </c>
      <c r="F61" s="64">
        <f>C38</f>
        <v>0.59695055977453892</v>
      </c>
      <c r="G61" s="49"/>
      <c r="H61" s="42">
        <f>(1-F61)*H60</f>
        <v>63308.309446956409</v>
      </c>
    </row>
    <row r="62" spans="2:11" ht="16.2" x14ac:dyDescent="0.45">
      <c r="B62" s="48"/>
      <c r="C62" s="65" t="s">
        <v>55</v>
      </c>
      <c r="D62" s="66">
        <f>D53</f>
        <v>8903</v>
      </c>
      <c r="E62" s="67">
        <f>D62/10.7639</f>
        <v>827.11656555709362</v>
      </c>
      <c r="F62" s="67"/>
      <c r="G62" s="49"/>
      <c r="H62" s="47"/>
    </row>
    <row r="63" spans="2:11" ht="16.2" x14ac:dyDescent="0.45">
      <c r="B63" s="48"/>
      <c r="C63" s="65" t="s">
        <v>19</v>
      </c>
      <c r="D63" s="66">
        <f>D55+D57+D60</f>
        <v>11899.893874000001</v>
      </c>
      <c r="E63" s="67">
        <f>D63/10.7639</f>
        <v>1105.5373864491496</v>
      </c>
      <c r="F63" s="67"/>
      <c r="G63" s="49"/>
      <c r="H63" s="47"/>
    </row>
    <row r="64" spans="2:11" ht="15" thickBot="1" x14ac:dyDescent="0.35">
      <c r="B64" s="68"/>
      <c r="C64" s="69" t="s">
        <v>58</v>
      </c>
      <c r="D64" s="70">
        <f>D53+D55+D57+D60</f>
        <v>20802.893874000001</v>
      </c>
      <c r="E64" s="71">
        <f>D64/10.7639</f>
        <v>1932.6539520062433</v>
      </c>
      <c r="F64" s="72"/>
      <c r="G64" s="73"/>
      <c r="H64" s="74">
        <f>H53+H55+H57+H61</f>
        <v>153135.01972624162</v>
      </c>
      <c r="K64" s="23"/>
    </row>
    <row r="66" spans="2:8" x14ac:dyDescent="0.25">
      <c r="B66" s="88" t="s">
        <v>30</v>
      </c>
      <c r="C66" s="27"/>
      <c r="D66" s="27"/>
      <c r="E66" s="27"/>
      <c r="F66" s="27"/>
      <c r="G66" s="27"/>
      <c r="H66" s="89"/>
    </row>
    <row r="67" spans="2:8" ht="15.6" x14ac:dyDescent="0.3">
      <c r="B67" s="90" t="s">
        <v>62</v>
      </c>
      <c r="C67" s="28"/>
      <c r="D67" s="91" t="s">
        <v>63</v>
      </c>
      <c r="E67" s="28"/>
      <c r="F67" s="28"/>
      <c r="G67" s="28"/>
      <c r="H67" s="92"/>
    </row>
    <row r="68" spans="2:8" x14ac:dyDescent="0.25">
      <c r="B68" s="93" t="s">
        <v>31</v>
      </c>
      <c r="C68" s="94">
        <v>43830</v>
      </c>
      <c r="D68" s="19"/>
      <c r="E68" s="19"/>
      <c r="F68" s="19"/>
      <c r="G68" s="95" t="s">
        <v>6</v>
      </c>
      <c r="H68" s="96">
        <v>4</v>
      </c>
    </row>
    <row r="69" spans="2:8" x14ac:dyDescent="0.25">
      <c r="B69" s="97" t="s">
        <v>32</v>
      </c>
      <c r="C69" s="94">
        <v>14329</v>
      </c>
      <c r="D69" s="20"/>
      <c r="E69" s="20"/>
      <c r="F69" s="20"/>
      <c r="G69" s="20"/>
      <c r="H69" s="98"/>
    </row>
    <row r="70" spans="2:8" x14ac:dyDescent="0.25">
      <c r="B70" s="97" t="s">
        <v>33</v>
      </c>
      <c r="C70" s="32">
        <v>99</v>
      </c>
      <c r="D70" s="99">
        <v>0</v>
      </c>
      <c r="E70" s="33">
        <v>0</v>
      </c>
      <c r="F70" s="20"/>
      <c r="G70" s="20"/>
      <c r="H70" s="98"/>
    </row>
    <row r="71" spans="2:8" x14ac:dyDescent="0.25">
      <c r="B71" s="97" t="s">
        <v>34</v>
      </c>
      <c r="C71" s="100">
        <f>DATE(YEAR(C69)+C70,MONTH(C69)+D70,DAY(C69)+E70)</f>
        <v>50489</v>
      </c>
      <c r="D71" s="20"/>
      <c r="E71" s="20"/>
      <c r="F71" s="20"/>
      <c r="G71" s="20"/>
      <c r="H71" s="98"/>
    </row>
    <row r="72" spans="2:8" x14ac:dyDescent="0.25">
      <c r="B72" s="97" t="s">
        <v>35</v>
      </c>
      <c r="C72" s="101">
        <f>DATEDIF(C69,C68,"D")/365.25</f>
        <v>80.769336071184114</v>
      </c>
      <c r="D72" s="20"/>
      <c r="E72" s="20"/>
      <c r="F72" s="20"/>
      <c r="G72" s="20"/>
      <c r="H72" s="98"/>
    </row>
    <row r="73" spans="2:8" x14ac:dyDescent="0.25">
      <c r="B73" s="102" t="s">
        <v>36</v>
      </c>
      <c r="C73" s="101">
        <f>DATEDIF(C68,C71,"D")/365.25</f>
        <v>18.231348391512661</v>
      </c>
      <c r="D73" s="21"/>
      <c r="E73" s="21"/>
      <c r="F73" s="21"/>
      <c r="G73" s="21"/>
      <c r="H73" s="103"/>
    </row>
    <row r="74" spans="2:8" x14ac:dyDescent="0.25">
      <c r="B74" s="104"/>
      <c r="C74" s="105"/>
      <c r="D74" s="106"/>
      <c r="E74" s="106"/>
      <c r="F74" s="106"/>
      <c r="G74" s="106"/>
      <c r="H74" s="107"/>
    </row>
    <row r="75" spans="2:8" x14ac:dyDescent="0.25">
      <c r="B75" s="108" t="s">
        <v>53</v>
      </c>
      <c r="C75" s="109"/>
      <c r="D75" s="109"/>
      <c r="E75" s="109"/>
      <c r="F75" s="109"/>
      <c r="G75" s="109"/>
      <c r="H75" s="110"/>
    </row>
    <row r="76" spans="2:8" x14ac:dyDescent="0.25">
      <c r="B76" s="111" t="s">
        <v>37</v>
      </c>
      <c r="C76" s="112"/>
      <c r="D76" s="112"/>
      <c r="E76" s="112"/>
      <c r="F76" s="112"/>
      <c r="G76" s="113">
        <f>H10</f>
        <v>9999.4408847927607</v>
      </c>
      <c r="H76" s="114"/>
    </row>
    <row r="77" spans="2:8" x14ac:dyDescent="0.25">
      <c r="B77" s="115" t="s">
        <v>0</v>
      </c>
      <c r="C77" s="112"/>
      <c r="D77" s="112"/>
      <c r="E77" s="112"/>
      <c r="F77" s="112"/>
      <c r="G77" s="116"/>
      <c r="H77" s="114"/>
    </row>
    <row r="78" spans="2:8" x14ac:dyDescent="0.25">
      <c r="B78" s="111" t="s">
        <v>38</v>
      </c>
      <c r="C78" s="26">
        <v>0.1</v>
      </c>
      <c r="D78" s="112"/>
      <c r="E78" s="112"/>
      <c r="F78" s="112"/>
      <c r="G78" s="116">
        <f>G76*(1-C78)</f>
        <v>8999.4967963134841</v>
      </c>
      <c r="H78" s="114"/>
    </row>
    <row r="79" spans="2:8" x14ac:dyDescent="0.25">
      <c r="B79" s="117"/>
      <c r="C79" s="112"/>
      <c r="D79" s="118" t="s">
        <v>4</v>
      </c>
      <c r="E79" s="118" t="s">
        <v>39</v>
      </c>
      <c r="F79" s="118" t="s">
        <v>40</v>
      </c>
      <c r="G79" s="118"/>
      <c r="H79" s="119"/>
    </row>
    <row r="80" spans="2:8" x14ac:dyDescent="0.25">
      <c r="B80" s="111" t="s">
        <v>41</v>
      </c>
      <c r="C80" s="120">
        <v>1</v>
      </c>
      <c r="D80" s="26">
        <v>0.15</v>
      </c>
      <c r="E80" s="26">
        <v>0.03</v>
      </c>
      <c r="F80" s="26">
        <v>0.4</v>
      </c>
      <c r="G80" s="121">
        <f>(1/((H68*(1-(1+(((1+(D80/1))^(1/1))-1))^-(1/H68)))+((H68*(1-(1+E80)^(-(1/H68))))/(((1+E80)^C80)-1))*(1/(1-F80))))</f>
        <v>0.56387218877584122</v>
      </c>
      <c r="H80" s="122">
        <f>G80*G78</f>
        <v>5074.5659564184552</v>
      </c>
    </row>
    <row r="81" spans="2:8" x14ac:dyDescent="0.25">
      <c r="B81" s="117"/>
      <c r="C81" s="112"/>
      <c r="D81" s="123"/>
      <c r="E81" s="112"/>
      <c r="F81" s="112"/>
      <c r="G81" s="112"/>
      <c r="H81" s="114"/>
    </row>
    <row r="82" spans="2:8" x14ac:dyDescent="0.25">
      <c r="B82" s="124" t="s">
        <v>7</v>
      </c>
      <c r="C82" s="112"/>
      <c r="D82" s="112"/>
      <c r="E82" s="112"/>
      <c r="F82" s="112"/>
      <c r="G82" s="113">
        <f>H57</f>
        <v>11364.615447638242</v>
      </c>
      <c r="H82" s="125"/>
    </row>
    <row r="83" spans="2:8" x14ac:dyDescent="0.25">
      <c r="B83" s="115" t="s">
        <v>0</v>
      </c>
      <c r="C83" s="112"/>
      <c r="D83" s="112"/>
      <c r="E83" s="112"/>
      <c r="F83" s="112"/>
      <c r="G83" s="116"/>
      <c r="H83" s="125"/>
    </row>
    <row r="84" spans="2:8" x14ac:dyDescent="0.25">
      <c r="B84" s="111" t="s">
        <v>38</v>
      </c>
      <c r="C84" s="26">
        <v>0.1</v>
      </c>
      <c r="D84" s="118"/>
      <c r="E84" s="118"/>
      <c r="F84" s="118"/>
      <c r="G84" s="116">
        <f>G82*(1-C84)</f>
        <v>10228.153902874417</v>
      </c>
      <c r="H84" s="125"/>
    </row>
    <row r="85" spans="2:8" x14ac:dyDescent="0.25">
      <c r="B85" s="117"/>
      <c r="C85" s="112"/>
      <c r="D85" s="118" t="s">
        <v>4</v>
      </c>
      <c r="E85" s="118" t="s">
        <v>39</v>
      </c>
      <c r="F85" s="118" t="s">
        <v>40</v>
      </c>
      <c r="G85" s="118"/>
      <c r="H85" s="119"/>
    </row>
    <row r="86" spans="2:8" x14ac:dyDescent="0.25">
      <c r="B86" s="111" t="s">
        <v>41</v>
      </c>
      <c r="C86" s="126">
        <f>C73</f>
        <v>18.231348391512661</v>
      </c>
      <c r="D86" s="26">
        <v>0.15</v>
      </c>
      <c r="E86" s="26">
        <v>0.03</v>
      </c>
      <c r="F86" s="26">
        <v>0.4</v>
      </c>
      <c r="G86" s="127">
        <f>(1/((H68*(1-(1+(((1+(D86/1))^(1/1))-1))^-(1/H68)))+((H68*(1-(1+E86)^(-(1/H68))))/(((1+E86)^C86)-1))*(1/(1-F86))))</f>
        <v>4.8524555144066195</v>
      </c>
      <c r="H86" s="128"/>
    </row>
    <row r="87" spans="2:8" x14ac:dyDescent="0.25">
      <c r="B87" s="111" t="s">
        <v>42</v>
      </c>
      <c r="C87" s="129">
        <f>C80</f>
        <v>1</v>
      </c>
      <c r="D87" s="26">
        <v>0.15</v>
      </c>
      <c r="E87" s="112"/>
      <c r="F87" s="112"/>
      <c r="G87" s="130">
        <f>1/((1+(D87))^C87)</f>
        <v>0.86956521739130443</v>
      </c>
      <c r="H87" s="122">
        <f>G84*G88</f>
        <v>43157.966789741353</v>
      </c>
    </row>
    <row r="88" spans="2:8" x14ac:dyDescent="0.25">
      <c r="B88" s="131"/>
      <c r="C88" s="132"/>
      <c r="D88" s="132"/>
      <c r="E88" s="132"/>
      <c r="F88" s="132"/>
      <c r="G88" s="133">
        <f>G86*G87</f>
        <v>4.2195265342666257</v>
      </c>
      <c r="H88" s="134"/>
    </row>
    <row r="89" spans="2:8" x14ac:dyDescent="0.25">
      <c r="B89" s="104"/>
      <c r="C89" s="105"/>
      <c r="D89" s="106"/>
      <c r="E89" s="106"/>
      <c r="F89" s="106"/>
      <c r="G89" s="106"/>
      <c r="H89" s="107"/>
    </row>
    <row r="90" spans="2:8" x14ac:dyDescent="0.25">
      <c r="B90" s="108" t="s">
        <v>61</v>
      </c>
      <c r="C90" s="109"/>
      <c r="D90" s="109"/>
      <c r="E90" s="109"/>
      <c r="F90" s="109"/>
      <c r="G90" s="109"/>
      <c r="H90" s="110"/>
    </row>
    <row r="91" spans="2:8" x14ac:dyDescent="0.25">
      <c r="B91" s="111"/>
      <c r="C91" s="112"/>
      <c r="D91" s="112"/>
      <c r="E91" s="112"/>
      <c r="F91" s="112"/>
      <c r="G91" s="113">
        <f>H8+H14</f>
        <v>65646.114003462833</v>
      </c>
      <c r="H91" s="114"/>
    </row>
    <row r="92" spans="2:8" x14ac:dyDescent="0.25">
      <c r="B92" s="115" t="s">
        <v>0</v>
      </c>
      <c r="C92" s="112"/>
      <c r="D92" s="112"/>
      <c r="E92" s="112"/>
      <c r="F92" s="112"/>
      <c r="G92" s="116"/>
      <c r="H92" s="114"/>
    </row>
    <row r="93" spans="2:8" x14ac:dyDescent="0.25">
      <c r="B93" s="111" t="s">
        <v>38</v>
      </c>
      <c r="C93" s="26">
        <v>0.1</v>
      </c>
      <c r="D93" s="112"/>
      <c r="E93" s="112"/>
      <c r="F93" s="112"/>
      <c r="G93" s="116">
        <f>G91*(1-C93)</f>
        <v>59081.502603116554</v>
      </c>
      <c r="H93" s="114"/>
    </row>
    <row r="94" spans="2:8" x14ac:dyDescent="0.25">
      <c r="B94" s="117"/>
      <c r="C94" s="112"/>
      <c r="D94" s="118" t="s">
        <v>4</v>
      </c>
      <c r="E94" s="118" t="s">
        <v>39</v>
      </c>
      <c r="F94" s="118" t="s">
        <v>40</v>
      </c>
      <c r="G94" s="118"/>
      <c r="H94" s="119"/>
    </row>
    <row r="95" spans="2:8" x14ac:dyDescent="0.25">
      <c r="B95" s="111" t="s">
        <v>41</v>
      </c>
      <c r="C95" s="120">
        <v>1</v>
      </c>
      <c r="D95" s="26">
        <v>0.15</v>
      </c>
      <c r="E95" s="26">
        <v>0.03</v>
      </c>
      <c r="F95" s="26">
        <v>0.4</v>
      </c>
      <c r="G95" s="121">
        <f>(1/((H68*(1-(1+(((1+(D95/1))^(1/1))-1))^-(1/H68)))+((H68*(1-(1+E95)^(-(1/H68))))/(((1+E95)^C95)-1))*(1/(1-F95))))</f>
        <v>0.56387218877584122</v>
      </c>
      <c r="H95" s="122">
        <f>G95*G93</f>
        <v>33314.416188984891</v>
      </c>
    </row>
    <row r="96" spans="2:8" x14ac:dyDescent="0.25">
      <c r="B96" s="117"/>
      <c r="C96" s="112"/>
      <c r="D96" s="123"/>
      <c r="E96" s="112"/>
      <c r="F96" s="112"/>
      <c r="G96" s="112"/>
      <c r="H96" s="114"/>
    </row>
    <row r="97" spans="2:8" x14ac:dyDescent="0.25">
      <c r="B97" s="124" t="s">
        <v>7</v>
      </c>
      <c r="C97" s="112"/>
      <c r="D97" s="112"/>
      <c r="E97" s="112"/>
      <c r="F97" s="112"/>
      <c r="G97" s="113">
        <f>H55+H61</f>
        <v>66056.654278603382</v>
      </c>
      <c r="H97" s="125"/>
    </row>
    <row r="98" spans="2:8" x14ac:dyDescent="0.25">
      <c r="B98" s="115" t="s">
        <v>0</v>
      </c>
      <c r="C98" s="112"/>
      <c r="D98" s="112"/>
      <c r="E98" s="112"/>
      <c r="F98" s="112"/>
      <c r="G98" s="116"/>
      <c r="H98" s="125"/>
    </row>
    <row r="99" spans="2:8" x14ac:dyDescent="0.25">
      <c r="B99" s="111" t="s">
        <v>38</v>
      </c>
      <c r="C99" s="26">
        <v>0.1</v>
      </c>
      <c r="D99" s="118"/>
      <c r="E99" s="118"/>
      <c r="F99" s="118"/>
      <c r="G99" s="116">
        <f>G97*(1-C99)</f>
        <v>59450.988850743044</v>
      </c>
      <c r="H99" s="125"/>
    </row>
    <row r="100" spans="2:8" x14ac:dyDescent="0.25">
      <c r="B100" s="117"/>
      <c r="C100" s="112"/>
      <c r="D100" s="118" t="s">
        <v>4</v>
      </c>
      <c r="E100" s="118" t="s">
        <v>39</v>
      </c>
      <c r="F100" s="118" t="s">
        <v>40</v>
      </c>
      <c r="G100" s="118"/>
      <c r="H100" s="119"/>
    </row>
    <row r="101" spans="2:8" x14ac:dyDescent="0.25">
      <c r="B101" s="111" t="s">
        <v>41</v>
      </c>
      <c r="C101" s="126">
        <f>C73</f>
        <v>18.231348391512661</v>
      </c>
      <c r="D101" s="26">
        <v>0.15</v>
      </c>
      <c r="E101" s="26">
        <v>0.03</v>
      </c>
      <c r="F101" s="26">
        <v>0.4</v>
      </c>
      <c r="G101" s="127">
        <f>(1/((H68*(1-(1+(((1+(D101/1))^(1/1))-1))^-(1/H68)))+((H68*(1-(1+E101)^(-(1/H68))))/(((1+E101)^C101)-1))*(1/(1-F101))))</f>
        <v>4.8524555144066195</v>
      </c>
      <c r="H101" s="128"/>
    </row>
    <row r="102" spans="2:8" x14ac:dyDescent="0.25">
      <c r="B102" s="111" t="s">
        <v>42</v>
      </c>
      <c r="C102" s="129">
        <f>C95</f>
        <v>1</v>
      </c>
      <c r="D102" s="26">
        <v>0.15</v>
      </c>
      <c r="E102" s="112"/>
      <c r="F102" s="112"/>
      <c r="G102" s="130">
        <f>1/((1+(D102))^C102)</f>
        <v>0.86956521739130443</v>
      </c>
      <c r="H102" s="122">
        <f>G99*G103</f>
        <v>250855.0249440996</v>
      </c>
    </row>
    <row r="103" spans="2:8" x14ac:dyDescent="0.25">
      <c r="B103" s="131"/>
      <c r="C103" s="132"/>
      <c r="D103" s="132"/>
      <c r="E103" s="132"/>
      <c r="F103" s="132"/>
      <c r="G103" s="133">
        <f>G101*G102</f>
        <v>4.2195265342666257</v>
      </c>
      <c r="H103" s="134"/>
    </row>
    <row r="104" spans="2:8" x14ac:dyDescent="0.25">
      <c r="B104" s="104"/>
      <c r="C104" s="105"/>
      <c r="D104" s="106"/>
      <c r="E104" s="106"/>
      <c r="F104" s="106"/>
      <c r="G104" s="106"/>
      <c r="H104" s="107"/>
    </row>
    <row r="105" spans="2:8" x14ac:dyDescent="0.25">
      <c r="B105" s="108" t="s">
        <v>65</v>
      </c>
      <c r="C105" s="109"/>
      <c r="D105" s="109"/>
      <c r="E105" s="109"/>
      <c r="F105" s="109"/>
      <c r="G105" s="137"/>
      <c r="H105" s="138"/>
    </row>
    <row r="106" spans="2:8" x14ac:dyDescent="0.25">
      <c r="B106" s="111" t="s">
        <v>44</v>
      </c>
      <c r="C106" s="112"/>
      <c r="D106" s="112"/>
      <c r="E106" s="112"/>
      <c r="F106" s="112"/>
      <c r="G106" s="113">
        <f>H6</f>
        <v>74899.999999999913</v>
      </c>
      <c r="H106" s="125"/>
    </row>
    <row r="107" spans="2:8" x14ac:dyDescent="0.25">
      <c r="B107" s="115" t="s">
        <v>0</v>
      </c>
      <c r="C107" s="112"/>
      <c r="D107" s="112"/>
      <c r="E107" s="112"/>
      <c r="F107" s="112"/>
      <c r="G107" s="116"/>
      <c r="H107" s="125"/>
    </row>
    <row r="108" spans="2:8" x14ac:dyDescent="0.25">
      <c r="B108" s="111" t="s">
        <v>38</v>
      </c>
      <c r="C108" s="26">
        <v>0.1</v>
      </c>
      <c r="D108" s="112"/>
      <c r="E108" s="112"/>
      <c r="F108" s="112"/>
      <c r="G108" s="116">
        <f>G106*(1-C108)</f>
        <v>67409.999999999927</v>
      </c>
      <c r="H108" s="125"/>
    </row>
    <row r="109" spans="2:8" ht="15" x14ac:dyDescent="0.4">
      <c r="B109" s="111" t="s">
        <v>46</v>
      </c>
      <c r="C109" s="139">
        <v>70</v>
      </c>
      <c r="D109" s="112"/>
      <c r="E109" s="112"/>
      <c r="F109" s="112"/>
      <c r="G109" s="140">
        <f>C109*4</f>
        <v>280</v>
      </c>
      <c r="H109" s="125"/>
    </row>
    <row r="110" spans="2:8" x14ac:dyDescent="0.25">
      <c r="B110" s="115"/>
      <c r="C110" s="112"/>
      <c r="D110" s="118" t="s">
        <v>4</v>
      </c>
      <c r="E110" s="118" t="s">
        <v>39</v>
      </c>
      <c r="F110" s="118" t="s">
        <v>40</v>
      </c>
      <c r="G110" s="116">
        <f>G108-G109</f>
        <v>67129.999999999927</v>
      </c>
      <c r="H110" s="125"/>
    </row>
    <row r="111" spans="2:8" x14ac:dyDescent="0.25">
      <c r="B111" s="111" t="s">
        <v>41</v>
      </c>
      <c r="C111" s="120">
        <v>0.25</v>
      </c>
      <c r="D111" s="26">
        <v>0.15</v>
      </c>
      <c r="E111" s="26">
        <v>0.03</v>
      </c>
      <c r="F111" s="26">
        <v>0.4</v>
      </c>
      <c r="G111" s="121">
        <f>(1/((H68*(1-(1+(((1+(D111/1))^(1/1))-1))^-(1/H68)))+((H68*(1-(1+E111)^(-(1/H68))))/(((1+E111)^C111)-1))*(1/(1-F111))))</f>
        <v>0.14803997955262083</v>
      </c>
      <c r="H111" s="122">
        <f>G111*G110</f>
        <v>9937.9238273674255</v>
      </c>
    </row>
    <row r="112" spans="2:8" x14ac:dyDescent="0.25">
      <c r="B112" s="124" t="s">
        <v>7</v>
      </c>
      <c r="C112" s="112"/>
      <c r="D112" s="112"/>
      <c r="E112" s="112"/>
      <c r="F112" s="112"/>
      <c r="G112" s="113">
        <f>H53</f>
        <v>75713.75</v>
      </c>
      <c r="H112" s="125"/>
    </row>
    <row r="113" spans="2:9" x14ac:dyDescent="0.25">
      <c r="B113" s="115" t="s">
        <v>0</v>
      </c>
      <c r="C113" s="112"/>
      <c r="D113" s="112"/>
      <c r="E113" s="112"/>
      <c r="F113" s="112"/>
      <c r="G113" s="112"/>
      <c r="H113" s="125"/>
    </row>
    <row r="114" spans="2:9" x14ac:dyDescent="0.25">
      <c r="B114" s="111" t="s">
        <v>38</v>
      </c>
      <c r="C114" s="26">
        <v>0.1</v>
      </c>
      <c r="D114" s="116"/>
      <c r="E114" s="116"/>
      <c r="F114" s="116"/>
      <c r="G114" s="116">
        <f>G112*(1-C114)</f>
        <v>68142.375</v>
      </c>
      <c r="H114" s="125"/>
    </row>
    <row r="115" spans="2:9" ht="15" x14ac:dyDescent="0.4">
      <c r="B115" s="111" t="s">
        <v>46</v>
      </c>
      <c r="C115" s="139">
        <v>70</v>
      </c>
      <c r="D115" s="116"/>
      <c r="E115" s="116"/>
      <c r="F115" s="116"/>
      <c r="G115" s="140">
        <f>C115*4</f>
        <v>280</v>
      </c>
      <c r="H115" s="125"/>
    </row>
    <row r="116" spans="2:9" x14ac:dyDescent="0.25">
      <c r="B116" s="115"/>
      <c r="C116" s="112"/>
      <c r="D116" s="118" t="s">
        <v>4</v>
      </c>
      <c r="E116" s="118" t="s">
        <v>39</v>
      </c>
      <c r="F116" s="118" t="s">
        <v>40</v>
      </c>
      <c r="G116" s="116">
        <f>G114-G115</f>
        <v>67862.375</v>
      </c>
      <c r="H116" s="125"/>
    </row>
    <row r="117" spans="2:9" x14ac:dyDescent="0.25">
      <c r="B117" s="111" t="s">
        <v>41</v>
      </c>
      <c r="C117" s="126">
        <f>C73</f>
        <v>18.231348391512661</v>
      </c>
      <c r="D117" s="26">
        <v>0.15</v>
      </c>
      <c r="E117" s="26">
        <v>0.03</v>
      </c>
      <c r="F117" s="26">
        <v>0.4</v>
      </c>
      <c r="G117" s="127">
        <f>(1/((H68*(1-(1+(((1+(D117/1))^(1/1))-1))^-(1/H68)))+((H68*(1-(1+E117)^(-(1/H68))))/(((1+E117)^C117)-1))*(1/(1-F117))))</f>
        <v>4.8524555144066195</v>
      </c>
      <c r="H117" s="125"/>
    </row>
    <row r="118" spans="2:9" ht="16.8" x14ac:dyDescent="0.55000000000000004">
      <c r="B118" s="111" t="s">
        <v>42</v>
      </c>
      <c r="C118" s="129">
        <f>C111</f>
        <v>0.25</v>
      </c>
      <c r="D118" s="26">
        <v>0.15</v>
      </c>
      <c r="E118" s="112"/>
      <c r="F118" s="112"/>
      <c r="G118" s="130">
        <f>1/((1+(D118))^C118)</f>
        <v>0.96566288540065248</v>
      </c>
      <c r="H118" s="141">
        <f>G116*G119</f>
        <v>317991.97293966817</v>
      </c>
    </row>
    <row r="119" spans="2:9" ht="16.8" x14ac:dyDescent="0.55000000000000004">
      <c r="B119" s="111"/>
      <c r="C119" s="116"/>
      <c r="D119" s="116"/>
      <c r="E119" s="116"/>
      <c r="F119" s="116"/>
      <c r="G119" s="142">
        <f>G117*G118</f>
        <v>4.6858361933202035</v>
      </c>
      <c r="H119" s="141"/>
    </row>
    <row r="120" spans="2:9" x14ac:dyDescent="0.25">
      <c r="B120" s="111"/>
      <c r="C120" s="116"/>
      <c r="D120" s="112"/>
      <c r="E120" s="112"/>
      <c r="F120" s="112"/>
      <c r="G120" s="142"/>
      <c r="H120" s="122">
        <f>H80+H87+H95+H102+H111+H118</f>
        <v>660331.87064627989</v>
      </c>
    </row>
    <row r="121" spans="2:9" x14ac:dyDescent="0.25">
      <c r="B121" s="111"/>
      <c r="C121" s="112"/>
      <c r="D121" s="112"/>
      <c r="E121" s="112"/>
      <c r="F121" s="143" t="s">
        <v>47</v>
      </c>
      <c r="G121" s="142"/>
      <c r="H121" s="144">
        <v>25000</v>
      </c>
    </row>
    <row r="122" spans="2:9" x14ac:dyDescent="0.25">
      <c r="B122" s="111"/>
      <c r="C122" s="112"/>
      <c r="D122" s="112"/>
      <c r="E122" s="112"/>
      <c r="F122" s="143" t="s">
        <v>48</v>
      </c>
      <c r="G122" s="116"/>
      <c r="H122" s="144">
        <v>325000</v>
      </c>
    </row>
    <row r="123" spans="2:9" ht="16.8" x14ac:dyDescent="0.55000000000000004">
      <c r="B123" s="111"/>
      <c r="C123" s="112"/>
      <c r="D123" s="112"/>
      <c r="E123" s="112"/>
      <c r="F123" s="143" t="s">
        <v>49</v>
      </c>
      <c r="G123" s="26">
        <v>0.2</v>
      </c>
      <c r="H123" s="141">
        <f>G123*(SUM(H121:H122))</f>
        <v>70000</v>
      </c>
    </row>
    <row r="124" spans="2:9" x14ac:dyDescent="0.25">
      <c r="B124" s="111"/>
      <c r="C124" s="112"/>
      <c r="D124" s="116"/>
      <c r="E124" s="116"/>
      <c r="F124" s="143"/>
      <c r="G124" s="116"/>
      <c r="H124" s="122">
        <f>H120-H121-H122-H123</f>
        <v>240331.87064627989</v>
      </c>
    </row>
    <row r="125" spans="2:9" ht="16.8" x14ac:dyDescent="0.55000000000000004">
      <c r="B125" s="111"/>
      <c r="C125" s="112"/>
      <c r="D125" s="112"/>
      <c r="E125" s="112"/>
      <c r="F125" s="143" t="s">
        <v>50</v>
      </c>
      <c r="G125" s="26">
        <v>3.7999999999999999E-2</v>
      </c>
      <c r="H125" s="141">
        <f>H124-(H124*G125)</f>
        <v>231199.25956172126</v>
      </c>
    </row>
    <row r="126" spans="2:9" x14ac:dyDescent="0.25">
      <c r="B126" s="145"/>
      <c r="C126" s="146"/>
      <c r="D126" s="132"/>
      <c r="E126" s="132"/>
      <c r="F126" s="132"/>
      <c r="G126" s="147" t="s">
        <v>1</v>
      </c>
      <c r="H126" s="148">
        <f>ROUNDDOWN(H125,-4)</f>
        <v>230000</v>
      </c>
    </row>
    <row r="127" spans="2:9" ht="13.8" thickBot="1" x14ac:dyDescent="0.3"/>
    <row r="128" spans="2:9" ht="23.4" x14ac:dyDescent="0.45">
      <c r="B128" s="167">
        <f>F51</f>
        <v>8.5</v>
      </c>
      <c r="C128" s="152" t="s">
        <v>43</v>
      </c>
      <c r="D128" s="153"/>
      <c r="E128" s="153"/>
      <c r="F128" s="153"/>
      <c r="G128" s="153"/>
      <c r="H128" s="153"/>
      <c r="I128" s="154"/>
    </row>
    <row r="129" spans="2:10" ht="15" thickBot="1" x14ac:dyDescent="0.35">
      <c r="B129" s="168">
        <f>H122</f>
        <v>325000</v>
      </c>
      <c r="C129" s="2"/>
      <c r="D129" s="3"/>
      <c r="E129" s="3"/>
      <c r="F129" s="4"/>
      <c r="G129" s="3"/>
      <c r="H129" s="3"/>
      <c r="I129" s="5"/>
    </row>
    <row r="130" spans="2:10" ht="15" thickBot="1" x14ac:dyDescent="0.35">
      <c r="B130" s="169">
        <f>H125</f>
        <v>231199.25956172126</v>
      </c>
      <c r="C130" s="135">
        <f>ROUND((D130-J130),4)</f>
        <v>7</v>
      </c>
      <c r="D130" s="135">
        <f>ROUND((E130-J130),4)</f>
        <v>7.5</v>
      </c>
      <c r="E130" s="135">
        <f>ROUND((F130-J130),4)</f>
        <v>8</v>
      </c>
      <c r="F130" s="136">
        <v>8.5</v>
      </c>
      <c r="G130" s="135">
        <f>ROUND((F130+J130),4)</f>
        <v>9</v>
      </c>
      <c r="H130" s="135">
        <f>ROUND((G130+J130),4)</f>
        <v>9.5</v>
      </c>
      <c r="I130" s="135">
        <f>ROUND((H130+J130),4)</f>
        <v>10</v>
      </c>
      <c r="J130" s="136">
        <v>0.5</v>
      </c>
    </row>
    <row r="131" spans="2:10" ht="14.4" x14ac:dyDescent="0.3">
      <c r="B131" s="30">
        <f>B132-B142</f>
        <v>200000</v>
      </c>
      <c r="C131" s="8">
        <f t="dataTable" ref="C131:I141" dt2D="1" dtr="1" r1="F51" r2="H122"/>
        <v>321292.70871378126</v>
      </c>
      <c r="D131" s="9">
        <v>339361.55899642786</v>
      </c>
      <c r="E131" s="9">
        <v>357430.40927907452</v>
      </c>
      <c r="F131" s="9">
        <v>375499.25956172124</v>
      </c>
      <c r="G131" s="9">
        <v>393568.10984436789</v>
      </c>
      <c r="H131" s="9">
        <v>411636.96012701461</v>
      </c>
      <c r="I131" s="10">
        <v>429705.81040966127</v>
      </c>
    </row>
    <row r="132" spans="2:10" ht="14.4" x14ac:dyDescent="0.3">
      <c r="B132" s="30">
        <f>B133-B142</f>
        <v>225000</v>
      </c>
      <c r="C132" s="11">
        <v>292432.70871378126</v>
      </c>
      <c r="D132" s="12">
        <v>310501.55899642786</v>
      </c>
      <c r="E132" s="12">
        <v>328570.40927907452</v>
      </c>
      <c r="F132" s="12">
        <v>346639.25956172124</v>
      </c>
      <c r="G132" s="12">
        <v>364708.10984436789</v>
      </c>
      <c r="H132" s="12">
        <v>382776.96012701461</v>
      </c>
      <c r="I132" s="13">
        <v>400845.81040966127</v>
      </c>
    </row>
    <row r="133" spans="2:10" ht="14.4" x14ac:dyDescent="0.3">
      <c r="B133" s="30">
        <f>B134-B142</f>
        <v>250000</v>
      </c>
      <c r="C133" s="11">
        <v>263572.70871378126</v>
      </c>
      <c r="D133" s="12">
        <v>281641.55899642786</v>
      </c>
      <c r="E133" s="12">
        <v>299710.40927907452</v>
      </c>
      <c r="F133" s="12">
        <v>317779.25956172124</v>
      </c>
      <c r="G133" s="12">
        <v>335848.10984436789</v>
      </c>
      <c r="H133" s="12">
        <v>353916.96012701461</v>
      </c>
      <c r="I133" s="13">
        <v>371985.81040966127</v>
      </c>
    </row>
    <row r="134" spans="2:10" ht="14.4" x14ac:dyDescent="0.3">
      <c r="B134" s="30">
        <f>B135-B142</f>
        <v>275000</v>
      </c>
      <c r="C134" s="11">
        <v>234712.70871378123</v>
      </c>
      <c r="D134" s="12">
        <v>252781.55899642786</v>
      </c>
      <c r="E134" s="12">
        <v>270850.40927907452</v>
      </c>
      <c r="F134" s="12">
        <v>288919.25956172124</v>
      </c>
      <c r="G134" s="12">
        <v>306988.10984436789</v>
      </c>
      <c r="H134" s="12">
        <v>325056.96012701461</v>
      </c>
      <c r="I134" s="13">
        <v>343125.81040966127</v>
      </c>
    </row>
    <row r="135" spans="2:10" ht="15" thickBot="1" x14ac:dyDescent="0.35">
      <c r="B135" s="30">
        <f>B136-B142</f>
        <v>300000</v>
      </c>
      <c r="C135" s="11">
        <v>205852.70871378123</v>
      </c>
      <c r="D135" s="12">
        <v>223921.55899642786</v>
      </c>
      <c r="E135" s="12">
        <v>241990.40927907452</v>
      </c>
      <c r="F135" s="12">
        <v>260059.25956172126</v>
      </c>
      <c r="G135" s="12">
        <v>278128.10984436789</v>
      </c>
      <c r="H135" s="12">
        <v>296196.96012701461</v>
      </c>
      <c r="I135" s="13">
        <v>314265.81040966127</v>
      </c>
    </row>
    <row r="136" spans="2:10" ht="15" thickBot="1" x14ac:dyDescent="0.35">
      <c r="B136" s="31">
        <v>325000</v>
      </c>
      <c r="C136" s="11">
        <v>176992.70871378123</v>
      </c>
      <c r="D136" s="12">
        <v>195061.55899642786</v>
      </c>
      <c r="E136" s="12">
        <v>213130.40927907452</v>
      </c>
      <c r="F136" s="12">
        <v>231199.25956172126</v>
      </c>
      <c r="G136" s="12">
        <v>249268.10984436789</v>
      </c>
      <c r="H136" s="12">
        <v>267336.96012701461</v>
      </c>
      <c r="I136" s="13">
        <v>285405.81040966127</v>
      </c>
    </row>
    <row r="137" spans="2:10" ht="14.4" x14ac:dyDescent="0.3">
      <c r="B137" s="30">
        <f>B136+B142</f>
        <v>350000</v>
      </c>
      <c r="C137" s="11">
        <v>148132.70871378123</v>
      </c>
      <c r="D137" s="12">
        <v>166201.55899642786</v>
      </c>
      <c r="E137" s="12">
        <v>184270.40927907452</v>
      </c>
      <c r="F137" s="12">
        <v>202339.25956172126</v>
      </c>
      <c r="G137" s="12">
        <v>220408.10984436789</v>
      </c>
      <c r="H137" s="12">
        <v>238476.96012701464</v>
      </c>
      <c r="I137" s="13">
        <v>256545.81040966127</v>
      </c>
    </row>
    <row r="138" spans="2:10" ht="14.4" x14ac:dyDescent="0.3">
      <c r="B138" s="30">
        <f>B137+B142</f>
        <v>375000</v>
      </c>
      <c r="C138" s="11">
        <v>119272.70871378123</v>
      </c>
      <c r="D138" s="12">
        <v>137341.55899642786</v>
      </c>
      <c r="E138" s="12">
        <v>155410.40927907452</v>
      </c>
      <c r="F138" s="12">
        <v>173479.25956172126</v>
      </c>
      <c r="G138" s="12">
        <v>191548.10984436789</v>
      </c>
      <c r="H138" s="12">
        <v>209616.96012701464</v>
      </c>
      <c r="I138" s="13">
        <v>227685.81040966127</v>
      </c>
    </row>
    <row r="139" spans="2:10" ht="14.4" x14ac:dyDescent="0.3">
      <c r="B139" s="30">
        <f>B138+B142</f>
        <v>400000</v>
      </c>
      <c r="C139" s="11">
        <v>90412.708713781234</v>
      </c>
      <c r="D139" s="12">
        <v>108481.55899642788</v>
      </c>
      <c r="E139" s="12">
        <v>126550.40927907451</v>
      </c>
      <c r="F139" s="12">
        <v>144619.25956172126</v>
      </c>
      <c r="G139" s="12">
        <v>162688.10984436789</v>
      </c>
      <c r="H139" s="12">
        <v>180756.96012701464</v>
      </c>
      <c r="I139" s="13">
        <v>198825.81040966127</v>
      </c>
    </row>
    <row r="140" spans="2:10" ht="14.4" x14ac:dyDescent="0.3">
      <c r="B140" s="30">
        <f>B139+B142</f>
        <v>425000</v>
      </c>
      <c r="C140" s="11">
        <v>61552.708713781241</v>
      </c>
      <c r="D140" s="12">
        <v>79621.558996427877</v>
      </c>
      <c r="E140" s="12">
        <v>97690.409279074505</v>
      </c>
      <c r="F140" s="12">
        <v>115759.25956172125</v>
      </c>
      <c r="G140" s="12">
        <v>133828.10984436789</v>
      </c>
      <c r="H140" s="12">
        <v>151896.96012701464</v>
      </c>
      <c r="I140" s="13">
        <v>169965.81040966127</v>
      </c>
    </row>
    <row r="141" spans="2:10" ht="15" thickBot="1" x14ac:dyDescent="0.35">
      <c r="B141" s="30">
        <f>B140+B142</f>
        <v>450000</v>
      </c>
      <c r="C141" s="14">
        <v>32692.708713781241</v>
      </c>
      <c r="D141" s="15">
        <v>50761.55899642787</v>
      </c>
      <c r="E141" s="15">
        <v>68830.409279074505</v>
      </c>
      <c r="F141" s="15">
        <v>86899.25956172125</v>
      </c>
      <c r="G141" s="15">
        <v>104968.10984436788</v>
      </c>
      <c r="H141" s="15">
        <v>123036.96012701464</v>
      </c>
      <c r="I141" s="16">
        <v>141105.81040966127</v>
      </c>
    </row>
    <row r="142" spans="2:10" ht="15" thickBot="1" x14ac:dyDescent="0.35">
      <c r="B142" s="166">
        <v>25000</v>
      </c>
      <c r="C142" s="17"/>
      <c r="D142" s="17"/>
      <c r="E142" s="17"/>
      <c r="F142" s="17"/>
      <c r="G142" s="17"/>
      <c r="H142" s="17"/>
      <c r="I142" s="18"/>
    </row>
    <row r="144" spans="2:10" ht="13.8" thickBot="1" x14ac:dyDescent="0.3"/>
    <row r="145" spans="2:10" ht="23.4" x14ac:dyDescent="0.45">
      <c r="B145" s="173">
        <v>0.15</v>
      </c>
      <c r="C145" s="152" t="s">
        <v>45</v>
      </c>
      <c r="D145" s="153"/>
      <c r="E145" s="153"/>
      <c r="F145" s="153"/>
      <c r="G145" s="153"/>
      <c r="H145" s="153"/>
      <c r="I145" s="154"/>
    </row>
    <row r="146" spans="2:10" ht="15" thickBot="1" x14ac:dyDescent="0.35">
      <c r="B146" s="170">
        <f>H122</f>
        <v>325000</v>
      </c>
      <c r="C146" s="2"/>
      <c r="D146" s="3"/>
      <c r="E146" s="3"/>
      <c r="F146" s="4"/>
      <c r="G146" s="3"/>
      <c r="H146" s="3"/>
      <c r="I146" s="5"/>
    </row>
    <row r="147" spans="2:10" ht="15" thickBot="1" x14ac:dyDescent="0.35">
      <c r="B147" s="171">
        <f>H125</f>
        <v>231199.25956172126</v>
      </c>
      <c r="C147" s="6">
        <f>ROUND((D147-J147),4)</f>
        <v>0.13500000000000001</v>
      </c>
      <c r="D147" s="6">
        <f>ROUND((E147-J147),4)</f>
        <v>0.14000000000000001</v>
      </c>
      <c r="E147" s="7">
        <f>ROUND((F147-J147),4)</f>
        <v>0.14499999999999999</v>
      </c>
      <c r="F147" s="29">
        <v>0.15</v>
      </c>
      <c r="G147" s="6">
        <f>ROUND((F147+J147),4)</f>
        <v>0.155</v>
      </c>
      <c r="H147" s="6">
        <f>ROUND((G147+J147),4)</f>
        <v>0.16</v>
      </c>
      <c r="I147" s="6">
        <f>ROUND((H147+J147),4)</f>
        <v>0.16500000000000001</v>
      </c>
      <c r="J147" s="172">
        <v>5.0000000000000001E-3</v>
      </c>
    </row>
    <row r="148" spans="2:10" ht="14.4" x14ac:dyDescent="0.3">
      <c r="B148" s="30">
        <f>B149-B159</f>
        <v>200000</v>
      </c>
      <c r="C148" s="8">
        <f t="dataTable" ref="C148:I158" dt2D="1" dtr="1" r1="D117" r2="H122" ca="1"/>
        <v>395588.11112187942</v>
      </c>
      <c r="D148" s="9">
        <v>388567.50575568562</v>
      </c>
      <c r="E148" s="9">
        <v>381878.90968893585</v>
      </c>
      <c r="F148" s="9">
        <v>375499.25956172124</v>
      </c>
      <c r="G148" s="9">
        <v>369407.58028070687</v>
      </c>
      <c r="H148" s="9">
        <v>363584.75389301335</v>
      </c>
      <c r="I148" s="10">
        <v>358013.31849224347</v>
      </c>
    </row>
    <row r="149" spans="2:10" ht="14.4" x14ac:dyDescent="0.3">
      <c r="B149" s="30">
        <f>B150-B159</f>
        <v>225000</v>
      </c>
      <c r="C149" s="11">
        <v>366728.11112187942</v>
      </c>
      <c r="D149" s="12">
        <v>359707.50575568562</v>
      </c>
      <c r="E149" s="12">
        <v>353018.90968893585</v>
      </c>
      <c r="F149" s="12">
        <v>346639.25956172124</v>
      </c>
      <c r="G149" s="12">
        <v>340547.58028070687</v>
      </c>
      <c r="H149" s="12">
        <v>334724.75389301335</v>
      </c>
      <c r="I149" s="13">
        <v>329153.31849224347</v>
      </c>
    </row>
    <row r="150" spans="2:10" ht="14.4" x14ac:dyDescent="0.3">
      <c r="B150" s="30">
        <f>B151-B159</f>
        <v>250000</v>
      </c>
      <c r="C150" s="11">
        <v>337868.11112187942</v>
      </c>
      <c r="D150" s="12">
        <v>330847.50575568562</v>
      </c>
      <c r="E150" s="12">
        <v>324158.90968893585</v>
      </c>
      <c r="F150" s="12">
        <v>317779.25956172124</v>
      </c>
      <c r="G150" s="12">
        <v>311687.58028070687</v>
      </c>
      <c r="H150" s="12">
        <v>305864.75389301335</v>
      </c>
      <c r="I150" s="13">
        <v>300293.31849224347</v>
      </c>
    </row>
    <row r="151" spans="2:10" ht="14.4" x14ac:dyDescent="0.3">
      <c r="B151" s="30">
        <f>B152-B159</f>
        <v>275000</v>
      </c>
      <c r="C151" s="11">
        <v>309008.11112187942</v>
      </c>
      <c r="D151" s="12">
        <v>301987.50575568562</v>
      </c>
      <c r="E151" s="12">
        <v>295298.90968893585</v>
      </c>
      <c r="F151" s="12">
        <v>288919.25956172124</v>
      </c>
      <c r="G151" s="12">
        <v>282827.58028070687</v>
      </c>
      <c r="H151" s="12">
        <v>277004.75389301335</v>
      </c>
      <c r="I151" s="13">
        <v>271433.31849224347</v>
      </c>
    </row>
    <row r="152" spans="2:10" ht="15" thickBot="1" x14ac:dyDescent="0.35">
      <c r="B152" s="30">
        <f>B153-B159</f>
        <v>300000</v>
      </c>
      <c r="C152" s="11">
        <v>280148.11112187942</v>
      </c>
      <c r="D152" s="12">
        <v>273127.50575568562</v>
      </c>
      <c r="E152" s="12">
        <v>266438.90968893585</v>
      </c>
      <c r="F152" s="12">
        <v>260059.25956172126</v>
      </c>
      <c r="G152" s="12">
        <v>253967.5802807069</v>
      </c>
      <c r="H152" s="12">
        <v>248144.75389301335</v>
      </c>
      <c r="I152" s="13">
        <v>242573.31849224347</v>
      </c>
    </row>
    <row r="153" spans="2:10" ht="15" thickBot="1" x14ac:dyDescent="0.35">
      <c r="B153" s="31">
        <v>325000</v>
      </c>
      <c r="C153" s="11">
        <v>251288.1111218794</v>
      </c>
      <c r="D153" s="12">
        <v>244267.50575568559</v>
      </c>
      <c r="E153" s="12">
        <v>237578.90968893582</v>
      </c>
      <c r="F153" s="12">
        <v>231199.25956172126</v>
      </c>
      <c r="G153" s="12">
        <v>225107.5802807069</v>
      </c>
      <c r="H153" s="12">
        <v>219284.75389301335</v>
      </c>
      <c r="I153" s="13">
        <v>213713.31849224347</v>
      </c>
    </row>
    <row r="154" spans="2:10" ht="14.4" x14ac:dyDescent="0.3">
      <c r="B154" s="30">
        <f>B153+B159</f>
        <v>350000</v>
      </c>
      <c r="C154" s="11">
        <v>222428.1111218794</v>
      </c>
      <c r="D154" s="12">
        <v>215407.50575568559</v>
      </c>
      <c r="E154" s="12">
        <v>208718.90968893582</v>
      </c>
      <c r="F154" s="12">
        <v>202339.25956172126</v>
      </c>
      <c r="G154" s="12">
        <v>196247.5802807069</v>
      </c>
      <c r="H154" s="12">
        <v>190424.75389301335</v>
      </c>
      <c r="I154" s="13">
        <v>184853.31849224347</v>
      </c>
    </row>
    <row r="155" spans="2:10" ht="14.4" x14ac:dyDescent="0.3">
      <c r="B155" s="30">
        <f>B154+B159</f>
        <v>375000</v>
      </c>
      <c r="C155" s="11">
        <v>193568.1111218794</v>
      </c>
      <c r="D155" s="12">
        <v>186547.50575568559</v>
      </c>
      <c r="E155" s="12">
        <v>179858.90968893582</v>
      </c>
      <c r="F155" s="12">
        <v>173479.25956172126</v>
      </c>
      <c r="G155" s="12">
        <v>167387.5802807069</v>
      </c>
      <c r="H155" s="12">
        <v>161564.75389301335</v>
      </c>
      <c r="I155" s="13">
        <v>155993.31849224347</v>
      </c>
    </row>
    <row r="156" spans="2:10" ht="14.4" x14ac:dyDescent="0.3">
      <c r="B156" s="30">
        <f>B155+B159</f>
        <v>400000</v>
      </c>
      <c r="C156" s="11">
        <v>164708.1111218794</v>
      </c>
      <c r="D156" s="12">
        <v>157687.50575568559</v>
      </c>
      <c r="E156" s="12">
        <v>150998.90968893582</v>
      </c>
      <c r="F156" s="12">
        <v>144619.25956172126</v>
      </c>
      <c r="G156" s="12">
        <v>138527.5802807069</v>
      </c>
      <c r="H156" s="12">
        <v>132704.75389301335</v>
      </c>
      <c r="I156" s="13">
        <v>127133.31849224347</v>
      </c>
    </row>
    <row r="157" spans="2:10" ht="14.4" x14ac:dyDescent="0.3">
      <c r="B157" s="30">
        <f>B156+B159</f>
        <v>425000</v>
      </c>
      <c r="C157" s="11">
        <v>135848.1111218794</v>
      </c>
      <c r="D157" s="12">
        <v>128827.50575568559</v>
      </c>
      <c r="E157" s="12">
        <v>122138.90968893582</v>
      </c>
      <c r="F157" s="12">
        <v>115759.25956172125</v>
      </c>
      <c r="G157" s="12">
        <v>109667.58028070688</v>
      </c>
      <c r="H157" s="12">
        <v>103844.75389301335</v>
      </c>
      <c r="I157" s="13">
        <v>98273.318492243474</v>
      </c>
    </row>
    <row r="158" spans="2:10" ht="15" thickBot="1" x14ac:dyDescent="0.35">
      <c r="B158" s="30">
        <f>B157+B159</f>
        <v>450000</v>
      </c>
      <c r="C158" s="14">
        <v>106988.1111218794</v>
      </c>
      <c r="D158" s="15">
        <v>99967.50575568559</v>
      </c>
      <c r="E158" s="15">
        <v>93278.909688935819</v>
      </c>
      <c r="F158" s="15">
        <v>86899.25956172125</v>
      </c>
      <c r="G158" s="15">
        <v>80807.580280706883</v>
      </c>
      <c r="H158" s="15">
        <v>74984.753893013345</v>
      </c>
      <c r="I158" s="16">
        <v>69413.318492243474</v>
      </c>
    </row>
    <row r="159" spans="2:10" ht="15" thickBot="1" x14ac:dyDescent="0.35">
      <c r="B159" s="165">
        <f>B142</f>
        <v>25000</v>
      </c>
      <c r="C159" s="17"/>
      <c r="D159" s="17"/>
      <c r="E159" s="17"/>
      <c r="F159" s="17"/>
      <c r="G159" s="17"/>
      <c r="H159" s="17"/>
      <c r="I159" s="18"/>
    </row>
  </sheetData>
  <mergeCells count="4">
    <mergeCell ref="B2:H2"/>
    <mergeCell ref="B49:H49"/>
    <mergeCell ref="C128:I128"/>
    <mergeCell ref="C145:I145"/>
  </mergeCells>
  <conditionalFormatting sqref="C131:I141">
    <cfRule type="cellIs" dxfId="1" priority="3" operator="equal">
      <formula>$H$125</formula>
    </cfRule>
    <cfRule type="colorScale" priority="4">
      <colorScale>
        <cfvo type="min"/>
        <cfvo type="max"/>
        <color rgb="FFFF5050"/>
        <color rgb="FF92D050"/>
      </colorScale>
    </cfRule>
  </conditionalFormatting>
  <conditionalFormatting sqref="C148:I158">
    <cfRule type="cellIs" dxfId="0" priority="1" operator="equal">
      <formula>$H$125</formula>
    </cfRule>
    <cfRule type="colorScale" priority="2">
      <colorScale>
        <cfvo type="min"/>
        <cfvo type="max"/>
        <color rgb="FFFF5050"/>
        <color rgb="FF92D050"/>
      </colorScale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Dual Rate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2026-01-21T16:10:29Z</dcterms:modified>
</cp:coreProperties>
</file>