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aa166e6fbb7ae5e/EasyValuations/Done/"/>
    </mc:Choice>
  </mc:AlternateContent>
  <xr:revisionPtr revIDLastSave="7" documentId="8_{4F57E6D3-A107-43D5-A07C-0823F8A19CE3}" xr6:coauthVersionLast="47" xr6:coauthVersionMax="47" xr10:uidLastSave="{BAE780F0-F175-4310-B6B7-E429D471719F}"/>
  <bookViews>
    <workbookView xWindow="12" yWindow="0" windowWidth="23028" windowHeight="12240" xr2:uid="{00000000-000D-0000-FFFF-FFFF00000000}"/>
  </bookViews>
  <sheets>
    <sheet name="Int" sheetId="69" r:id="rId1"/>
  </sheets>
  <definedNames>
    <definedName name="bbb" localSheetId="0">#REF!</definedName>
    <definedName name="bbb">#REF!</definedName>
    <definedName name="bbbbbb">#REF!</definedName>
    <definedName name="BJBK">#REF!</definedName>
    <definedName name="Bongo" localSheetId="0">#REF!</definedName>
    <definedName name="Bongo">#REF!</definedName>
    <definedName name="bonho" localSheetId="0">#REF!</definedName>
    <definedName name="bonho">#REF!</definedName>
    <definedName name="Compound_interest_rate" localSheetId="0">#REF!</definedName>
    <definedName name="Compound_interest_rate">#REF!</definedName>
    <definedName name="Compound_interest_rate_with_tax" localSheetId="0">#REF!</definedName>
    <definedName name="Compound_interest_rate_with_tax">#REF!</definedName>
    <definedName name="compound_periods">{"Semi-Annually";"Monthly"}</definedName>
    <definedName name="CP">INDEX({2,12},MATCH(#REF!,compound_periods,0))</definedName>
    <definedName name="dffgfg">#REF!</definedName>
    <definedName name="dfsfdsfd">#REF!</definedName>
    <definedName name="FH" localSheetId="0">#REF!</definedName>
    <definedName name="FH">#REF!</definedName>
    <definedName name="fpdate">#REF!</definedName>
    <definedName name="frequency">{"Monthly";"Semi-Monthly";"Bi-Weekly";"Weekly";"Acc Bi-Weekly";"Acc Weekly"}</definedName>
    <definedName name="fzgsdfgsdg">#REF!</definedName>
    <definedName name="gsdgffsd" localSheetId="0">#REF!</definedName>
    <definedName name="gsdgffsd">#REF!</definedName>
    <definedName name="hhkl">#REF!</definedName>
    <definedName name="int">#REF!</definedName>
    <definedName name="jhbbj">#REF!</definedName>
    <definedName name="jjknljl">#REF!</definedName>
    <definedName name="JKHKJ" localSheetId="0">#REF!</definedName>
    <definedName name="JKHKJ">#REF!</definedName>
    <definedName name="lhhhk">#REF!</definedName>
    <definedName name="loan_amount">#REF!</definedName>
    <definedName name="mmm">#REF!</definedName>
    <definedName name="nknknkn">#REF!</definedName>
    <definedName name="nnn">#REF!</definedName>
    <definedName name="nnnn" localSheetId="0">#REF!</definedName>
    <definedName name="nnnn">#REF!</definedName>
    <definedName name="nper">term*periods_per_year</definedName>
    <definedName name="periods_per_year">INDEX({12,24,26,52,26,52},MATCH(#REF!,frequency,0))</definedName>
    <definedName name="Rate_of_tax" localSheetId="0">#REF!</definedName>
    <definedName name="Rate_of_tax">#REF!</definedName>
    <definedName name="reerwwer">#REF!</definedName>
    <definedName name="rrwwrewr">#REF!</definedName>
    <definedName name="sddS" localSheetId="0">#REF!</definedName>
    <definedName name="sddS">#REF!</definedName>
    <definedName name="sdsdsd" localSheetId="0">#REF!</definedName>
    <definedName name="sdsdsd">#REF!</definedName>
    <definedName name="sfsafsd" localSheetId="0">#REF!</definedName>
    <definedName name="sfsafsd">#REF!</definedName>
    <definedName name="sgsdfgs">#REF!</definedName>
    <definedName name="Sinking_fund_effect" localSheetId="0">#REF!</definedName>
    <definedName name="Sinking_fund_effect">#REF!</definedName>
    <definedName name="Sinking_fund_rate" localSheetId="0">#REF!</definedName>
    <definedName name="Sinking_fund_rate">#REF!</definedName>
    <definedName name="start_rate">#REF!</definedName>
    <definedName name="Tax_effect" localSheetId="0">#REF!</definedName>
    <definedName name="Tax_effect">#REF!</definedName>
    <definedName name="term">#REF!</definedName>
    <definedName name="Unexpired" localSheetId="0">#REF!</definedName>
    <definedName name="Unexpired">#REF!</definedName>
    <definedName name="Unexpired_years" localSheetId="0">#REF!</definedName>
    <definedName name="Unexpired_years">#REF!</definedName>
    <definedName name="variable">IF(#REF!="Variable Rate",TRUE,FALSE)</definedName>
    <definedName name="vvv" localSheetId="0">#REF!</definedName>
    <definedName name="vvv">#REF!</definedName>
    <definedName name="wrewerwer">#REF!</definedName>
    <definedName name="xxx">#REF!</definedName>
    <definedName name="xxxxxxx" localSheetId="0">#REF!</definedName>
    <definedName name="xxxxxxx">#REF!</definedName>
    <definedName name="Yield" localSheetId="0">#REF!</definedName>
    <definedName name="Yiel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69" l="1"/>
  <c r="F26" i="69"/>
  <c r="J19" i="69" l="1"/>
  <c r="H128" i="69"/>
  <c r="I117" i="69"/>
  <c r="I109" i="69"/>
  <c r="C119" i="69" s="1"/>
  <c r="I101" i="69"/>
  <c r="C111" i="69" s="1"/>
  <c r="I93" i="69"/>
  <c r="C103" i="69" s="1"/>
  <c r="I85" i="69"/>
  <c r="C95" i="69" s="1"/>
  <c r="C36" i="69"/>
  <c r="C87" i="69" l="1"/>
  <c r="C96" i="69" s="1"/>
  <c r="I61" i="69"/>
  <c r="I55" i="69"/>
  <c r="C62" i="69" s="1"/>
  <c r="I49" i="69"/>
  <c r="C56" i="69" s="1"/>
  <c r="I43" i="69"/>
  <c r="C50" i="69" s="1"/>
  <c r="I37" i="69"/>
  <c r="I13" i="69"/>
  <c r="C39" i="69" l="1"/>
  <c r="C44" i="69"/>
  <c r="C45" i="69" l="1"/>
  <c r="H74" i="69" l="1"/>
  <c r="H71" i="69"/>
  <c r="H39" i="69"/>
  <c r="H87" i="69" l="1"/>
  <c r="F21" i="69"/>
  <c r="F128" i="69" l="1"/>
  <c r="K128" i="69" s="1"/>
  <c r="J21" i="69"/>
  <c r="J20" i="69"/>
  <c r="L112" i="69" l="1"/>
  <c r="L120" i="69"/>
  <c r="K37" i="69"/>
  <c r="C83" i="69"/>
  <c r="C91" i="69" s="1"/>
  <c r="H64" i="69"/>
  <c r="H58" i="69"/>
  <c r="H52" i="69"/>
  <c r="H46" i="69"/>
  <c r="C84" i="69"/>
  <c r="D93" i="69" l="1"/>
  <c r="C42" i="69"/>
  <c r="K43" i="69" s="1"/>
  <c r="C85" i="69"/>
  <c r="K85" i="69" s="1"/>
  <c r="K40" i="69" l="1"/>
  <c r="L40" i="69" s="1"/>
  <c r="C120" i="69"/>
  <c r="C112" i="69"/>
  <c r="H63" i="69" l="1"/>
  <c r="J10" i="69"/>
  <c r="H88" i="69"/>
  <c r="H57" i="69"/>
  <c r="H51" i="69"/>
  <c r="H45" i="69"/>
  <c r="H121" i="69"/>
  <c r="H120" i="69"/>
  <c r="H119" i="69"/>
  <c r="H113" i="69"/>
  <c r="H112" i="69"/>
  <c r="H111" i="69"/>
  <c r="H105" i="69"/>
  <c r="H104" i="69"/>
  <c r="H103" i="69"/>
  <c r="H97" i="69"/>
  <c r="H96" i="69"/>
  <c r="H95" i="69"/>
  <c r="H89" i="69"/>
  <c r="C99" i="69"/>
  <c r="H26" i="69"/>
  <c r="F12" i="69"/>
  <c r="F71" i="69" l="1"/>
  <c r="K71" i="69" s="1"/>
  <c r="J11" i="69"/>
  <c r="J29" i="69"/>
  <c r="K95" i="69"/>
  <c r="K88" i="69"/>
  <c r="L88" i="69" s="1"/>
  <c r="K111" i="69"/>
  <c r="K96" i="69"/>
  <c r="K46" i="69"/>
  <c r="B71" i="69"/>
  <c r="M20" i="69"/>
  <c r="F74" i="69" s="1"/>
  <c r="K74" i="69" s="1"/>
  <c r="F24" i="69"/>
  <c r="F30" i="69" s="1"/>
  <c r="C92" i="69"/>
  <c r="C93" i="69" s="1"/>
  <c r="K93" i="69" s="1"/>
  <c r="C107" i="69"/>
  <c r="B128" i="69" l="1"/>
  <c r="C128" i="69"/>
  <c r="L128" i="69" s="1"/>
  <c r="L130" i="69" s="1"/>
  <c r="F28" i="69"/>
  <c r="L96" i="69"/>
  <c r="B74" i="69"/>
  <c r="C71" i="69"/>
  <c r="L71" i="69" s="1"/>
  <c r="C74" i="69"/>
  <c r="L74" i="69" s="1"/>
  <c r="C100" i="69"/>
  <c r="C101" i="69" s="1"/>
  <c r="C115" i="69"/>
  <c r="C48" i="69"/>
  <c r="M21" i="69"/>
  <c r="N21" i="69"/>
  <c r="L76" i="69" l="1"/>
  <c r="K45" i="69"/>
  <c r="C108" i="69"/>
  <c r="C109" i="69" s="1"/>
  <c r="C54" i="69"/>
  <c r="K49" i="69"/>
  <c r="K109" i="69" l="1"/>
  <c r="K101" i="69"/>
  <c r="K103" i="69"/>
  <c r="C51" i="69"/>
  <c r="D43" i="69"/>
  <c r="K52" i="69" s="1"/>
  <c r="C116" i="69"/>
  <c r="C117" i="69" s="1"/>
  <c r="C60" i="69"/>
  <c r="K61" i="69" s="1"/>
  <c r="K55" i="69"/>
  <c r="K117" i="69" l="1"/>
  <c r="C104" i="69"/>
  <c r="K104" i="69"/>
  <c r="L104" i="69" s="1"/>
  <c r="D101" i="69"/>
  <c r="K112" i="69" s="1"/>
  <c r="K51" i="69"/>
  <c r="L52" i="69" s="1"/>
  <c r="D49" i="69"/>
  <c r="K58" i="69" s="1"/>
  <c r="L46" i="69"/>
  <c r="C57" i="69"/>
  <c r="K119" i="69" l="1"/>
  <c r="D109" i="69"/>
  <c r="K120" i="69" s="1"/>
  <c r="K63" i="69"/>
  <c r="K57" i="69"/>
  <c r="L58" i="69" s="1"/>
  <c r="D55" i="69"/>
  <c r="K64" i="69" s="1"/>
  <c r="L122" i="69" l="1"/>
  <c r="C63" i="69"/>
  <c r="D117" i="69"/>
  <c r="D61" i="69"/>
  <c r="L64" i="69"/>
  <c r="M66" i="69" s="1"/>
  <c r="L132" i="69" l="1"/>
  <c r="L78" i="69"/>
</calcChain>
</file>

<file path=xl/sharedStrings.xml><?xml version="1.0" encoding="utf-8"?>
<sst xmlns="http://schemas.openxmlformats.org/spreadsheetml/2006/main" count="184" uniqueCount="62">
  <si>
    <t xml:space="preserve">Years Purchase for </t>
  </si>
  <si>
    <t xml:space="preserve">PV of £1 deferred </t>
  </si>
  <si>
    <t xml:space="preserve">Valuation Date : </t>
  </si>
  <si>
    <t xml:space="preserve">Unexpired Term : </t>
  </si>
  <si>
    <t xml:space="preserve">Deferment Rate : </t>
  </si>
  <si>
    <t>to</t>
  </si>
  <si>
    <t>for</t>
  </si>
  <si>
    <t xml:space="preserve">Extension : </t>
  </si>
  <si>
    <t xml:space="preserve">New (Extended) Term to : </t>
  </si>
  <si>
    <t xml:space="preserve">New (Unexpired) Term : </t>
  </si>
  <si>
    <t>Diminuition In Value of Freeholder's Interest</t>
  </si>
  <si>
    <t>Freehold Value</t>
  </si>
  <si>
    <t>x PV</t>
  </si>
  <si>
    <t>@</t>
  </si>
  <si>
    <t xml:space="preserve">Diminuition In Value of Free-Holder's Interest (Property Value): </t>
  </si>
  <si>
    <t>Term 1</t>
  </si>
  <si>
    <t>Term 2</t>
  </si>
  <si>
    <t xml:space="preserve">Increase = </t>
  </si>
  <si>
    <t>Term 3</t>
  </si>
  <si>
    <t>Term 4</t>
  </si>
  <si>
    <t>Term 5</t>
  </si>
  <si>
    <t xml:space="preserve">Freehold Value : </t>
  </si>
  <si>
    <t xml:space="preserve">Expired Term : </t>
  </si>
  <si>
    <t xml:space="preserve">Sinking Fund : </t>
  </si>
  <si>
    <t xml:space="preserve">Tax : </t>
  </si>
  <si>
    <t xml:space="preserve">Ground Rent Received : </t>
  </si>
  <si>
    <t xml:space="preserve">Ground Rent Paid : </t>
  </si>
  <si>
    <t xml:space="preserve">Profit Rent : </t>
  </si>
  <si>
    <t xml:space="preserve">Value of Head-Lessee's Present Interest (Rental Income): </t>
  </si>
  <si>
    <t xml:space="preserve">Diminuition In Value of Free-Holder's Interest (Ground Rent): </t>
  </si>
  <si>
    <t>Term: Rent</t>
  </si>
  <si>
    <t>Reversion: Property Value</t>
  </si>
  <si>
    <t>Term: Ground Rent</t>
  </si>
  <si>
    <t>Without Prejudice</t>
  </si>
  <si>
    <t xml:space="preserve">Diminuition In Value of Freeholder's Interest: </t>
  </si>
  <si>
    <t>BEFORE</t>
  </si>
  <si>
    <t>AFTER</t>
  </si>
  <si>
    <t>MUST BE &gt;0</t>
  </si>
  <si>
    <t>Valuation in Accordance with Section 9 (1c)</t>
  </si>
  <si>
    <t>(The Leasehold Reform, Housing, Urban &amp; Development Act 1993 - Schedule 13 Para 2-10)</t>
  </si>
  <si>
    <t xml:space="preserve">Intermediate lease Start Date : </t>
  </si>
  <si>
    <t xml:space="preserve">Intermediate lease Term : </t>
  </si>
  <si>
    <t xml:space="preserve">Intermediate Expiry Date : </t>
  </si>
  <si>
    <t xml:space="preserve">Extended Lease Value (Unimproved) : </t>
  </si>
  <si>
    <t xml:space="preserve">Freehold Value Uplift : </t>
  </si>
  <si>
    <t xml:space="preserve">Current Reversion Yield : </t>
  </si>
  <si>
    <t xml:space="preserve">Rent Paid : </t>
  </si>
  <si>
    <t xml:space="preserve">Freeholder : </t>
  </si>
  <si>
    <t xml:space="preserve">Initial Profit Rent : </t>
  </si>
  <si>
    <t xml:space="preserve">Tenancy Start Date : </t>
  </si>
  <si>
    <t xml:space="preserve">Tenancy Term : </t>
  </si>
  <si>
    <t xml:space="preserve">Tenancy Expiry Date : </t>
  </si>
  <si>
    <t>(Reduce Relativity for 'short' leases ie &lt;100yrs+)</t>
  </si>
  <si>
    <t xml:space="preserve">Unexpired Term of Intermediate Lease at Tenancy Expiry : </t>
  </si>
  <si>
    <t>Diminuition In Value of Intermediate Landlord's Interest</t>
  </si>
  <si>
    <t xml:space="preserve">Diminuition In Value of Intermediate Landlord's Interest: </t>
  </si>
  <si>
    <t>Diminuition In Value of Intermediate-Landlord's Interest</t>
  </si>
  <si>
    <t xml:space="preserve">Relativity (Intermediate Landlord) : </t>
  </si>
  <si>
    <t xml:space="preserve">Intermediate Landlord's Val (Unimproved) : </t>
  </si>
  <si>
    <t xml:space="preserve">Tenant / Leaseholder's Val (Unimproved) : </t>
  </si>
  <si>
    <t xml:space="preserve">Relativity (Tenant) : </t>
  </si>
  <si>
    <t>22 Bennington Court, Henry Terrace, Hastings TN3 OJX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</si>
</sst>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6" formatCode="&quot;£&quot;#,##0;[Red]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5" formatCode="_-&quot;£&quot;* #,##0_-;\-&quot;£&quot;* #,##0_-;_-&quot;£&quot;* &quot;-&quot;??_-;_-@_-"/>
    <numFmt numFmtId="168" formatCode="_-* #,##0_-;\-* #,##0_-;_-* &quot;-&quot;??_-;_-@_-"/>
    <numFmt numFmtId="170" formatCode="_-* #,##0.000_-;\-* #,##0.000_-;_-* &quot;-&quot;??_-;_-@_-"/>
    <numFmt numFmtId="171" formatCode="_-* #,##0.00000_-;\-* #,##0.00000_-;_-* &quot;-&quot;??_-;_-@_-"/>
    <numFmt numFmtId="173" formatCode="_-[$£-809]* #,##0_-;\-[$£-809]* #,##0_-;_-[$£-809]* &quot;-&quot;??_-;_-@_-"/>
    <numFmt numFmtId="174" formatCode="#,##0.00\ &quot;years&quot;"/>
    <numFmt numFmtId="175" formatCode="0.0000"/>
    <numFmt numFmtId="176" formatCode="#,##0\ &quot;years&quot;"/>
    <numFmt numFmtId="177" formatCode="&quot;£&quot;#,##0\ &quot;/sq.ft&quot;"/>
    <numFmt numFmtId="179" formatCode="#,##0\ &quot;sqm&quot;"/>
    <numFmt numFmtId="180" formatCode="#,##0\ &quot;sq.ft&quot;"/>
    <numFmt numFmtId="181" formatCode="[$-F800]dddd\,\ mmmm\ dd\,\ yyyy"/>
    <numFmt numFmtId="183" formatCode="_-* #,##0.0000_-;\-* #,##0.0000_-;_-* &quot;-&quot;??_-;_-@_-"/>
    <numFmt numFmtId="185" formatCode="#,##0\ &quot; months&quot;"/>
    <numFmt numFmtId="186" formatCode="#,##0\ &quot; days&quot;"/>
    <numFmt numFmtId="192" formatCode="&quot;£&quot;#,##0\ &quot;pa&quot;"/>
    <numFmt numFmtId="193" formatCode="_-[$£-809]* #,##0.00_-;\-[$£-809]* #,##0.00_-;_-[$£-809]* &quot;-&quot;??_-;_-@_-"/>
  </numFmts>
  <fonts count="3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FF00FF"/>
      <name val="Arial"/>
      <family val="2"/>
    </font>
    <font>
      <sz val="12"/>
      <name val="Arial"/>
      <family val="2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u/>
      <sz val="10"/>
      <color rgb="FFFF00FF"/>
      <name val="Arial"/>
      <family val="2"/>
    </font>
    <font>
      <b/>
      <sz val="12"/>
      <color rgb="FFFF000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sz val="12"/>
      <color theme="9" tint="-0.499984740745262"/>
      <name val="Arial"/>
      <family val="2"/>
    </font>
    <font>
      <b/>
      <sz val="14"/>
      <color rgb="FF0070C0"/>
      <name val="Arial"/>
      <family val="2"/>
    </font>
    <font>
      <b/>
      <u/>
      <sz val="18"/>
      <color rgb="FF0070C0"/>
      <name val="Arial"/>
      <family val="2"/>
    </font>
    <font>
      <b/>
      <u/>
      <sz val="18"/>
      <color theme="7" tint="-0.249977111117893"/>
      <name val="Arial"/>
      <family val="2"/>
    </font>
    <font>
      <b/>
      <sz val="14"/>
      <color theme="7" tint="-0.249977111117893"/>
      <name val="Arial"/>
      <family val="2"/>
    </font>
    <font>
      <b/>
      <sz val="16"/>
      <name val="Arial"/>
      <family val="2"/>
    </font>
    <font>
      <sz val="12"/>
      <color rgb="FFFF0000"/>
      <name val="Arial"/>
      <family val="2"/>
    </font>
    <font>
      <b/>
      <sz val="12"/>
      <color rgb="FF7030A0"/>
      <name val="Arial"/>
      <family val="2"/>
    </font>
    <font>
      <b/>
      <sz val="12"/>
      <color rgb="FF3E0DF1"/>
      <name val="Arial"/>
      <family val="2"/>
    </font>
    <font>
      <b/>
      <sz val="12"/>
      <color theme="1"/>
      <name val="Arial"/>
      <family val="2"/>
    </font>
    <font>
      <b/>
      <sz val="20"/>
      <name val="Arial"/>
      <family val="2"/>
    </font>
    <font>
      <b/>
      <u/>
      <sz val="12"/>
      <color rgb="FF0070C0"/>
      <name val="Arial"/>
      <family val="2"/>
    </font>
    <font>
      <sz val="12"/>
      <color rgb="FFFF00FF"/>
      <name val="Arial"/>
      <family val="2"/>
    </font>
    <font>
      <b/>
      <u/>
      <sz val="12"/>
      <color rgb="FF7030A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rgb="FF99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99F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5">
    <xf numFmtId="173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3" fontId="4" fillId="0" borderId="0" applyNumberFormat="0" applyFill="0" applyBorder="0" applyAlignment="0" applyProtection="0"/>
  </cellStyleXfs>
  <cellXfs count="342">
    <xf numFmtId="173" fontId="0" fillId="0" borderId="0" xfId="0"/>
    <xf numFmtId="173" fontId="0" fillId="0" borderId="2" xfId="0" applyBorder="1"/>
    <xf numFmtId="6" fontId="2" fillId="12" borderId="0" xfId="0" applyNumberFormat="1" applyFont="1" applyFill="1"/>
    <xf numFmtId="173" fontId="2" fillId="12" borderId="0" xfId="0" applyFont="1" applyFill="1" applyAlignment="1">
      <alignment horizontal="center"/>
    </xf>
    <xf numFmtId="40" fontId="2" fillId="12" borderId="6" xfId="0" applyNumberFormat="1" applyFont="1" applyFill="1" applyBorder="1" applyAlignment="1">
      <alignment horizontal="center"/>
    </xf>
    <xf numFmtId="173" fontId="0" fillId="12" borderId="0" xfId="0" applyFill="1"/>
    <xf numFmtId="173" fontId="6" fillId="3" borderId="0" xfId="0" applyFont="1" applyFill="1"/>
    <xf numFmtId="173" fontId="6" fillId="3" borderId="6" xfId="0" applyFont="1" applyFill="1" applyBorder="1"/>
    <xf numFmtId="173" fontId="6" fillId="3" borderId="1" xfId="0" applyFont="1" applyFill="1" applyBorder="1"/>
    <xf numFmtId="173" fontId="6" fillId="3" borderId="5" xfId="0" applyFont="1" applyFill="1" applyBorder="1"/>
    <xf numFmtId="173" fontId="4" fillId="0" borderId="2" xfId="4" applyBorder="1"/>
    <xf numFmtId="173" fontId="0" fillId="16" borderId="0" xfId="0" applyFill="1"/>
    <xf numFmtId="173" fontId="0" fillId="16" borderId="2" xfId="0" applyFill="1" applyBorder="1"/>
    <xf numFmtId="14" fontId="0" fillId="0" borderId="0" xfId="0" applyNumberFormat="1"/>
    <xf numFmtId="6" fontId="2" fillId="16" borderId="0" xfId="0" applyNumberFormat="1" applyFont="1" applyFill="1"/>
    <xf numFmtId="173" fontId="2" fillId="16" borderId="0" xfId="0" applyFont="1" applyFill="1" applyAlignment="1">
      <alignment horizontal="center"/>
    </xf>
    <xf numFmtId="14" fontId="2" fillId="16" borderId="0" xfId="0" applyNumberFormat="1" applyFont="1" applyFill="1" applyAlignment="1">
      <alignment horizontal="center"/>
    </xf>
    <xf numFmtId="6" fontId="0" fillId="16" borderId="0" xfId="0" applyNumberFormat="1" applyFill="1"/>
    <xf numFmtId="6" fontId="5" fillId="16" borderId="6" xfId="0" applyNumberFormat="1" applyFont="1" applyFill="1" applyBorder="1"/>
    <xf numFmtId="173" fontId="0" fillId="16" borderId="5" xfId="0" applyFill="1" applyBorder="1" applyAlignment="1">
      <alignment horizontal="left"/>
    </xf>
    <xf numFmtId="6" fontId="0" fillId="16" borderId="0" xfId="2" applyNumberFormat="1" applyFont="1" applyFill="1" applyBorder="1"/>
    <xf numFmtId="6" fontId="0" fillId="16" borderId="2" xfId="0" applyNumberFormat="1" applyFill="1" applyBorder="1"/>
    <xf numFmtId="6" fontId="9" fillId="16" borderId="6" xfId="0" applyNumberFormat="1" applyFont="1" applyFill="1" applyBorder="1"/>
    <xf numFmtId="173" fontId="0" fillId="16" borderId="19" xfId="0" applyFill="1" applyBorder="1"/>
    <xf numFmtId="173" fontId="5" fillId="16" borderId="6" xfId="0" applyFont="1" applyFill="1" applyBorder="1"/>
    <xf numFmtId="6" fontId="2" fillId="16" borderId="2" xfId="0" applyNumberFormat="1" applyFont="1" applyFill="1" applyBorder="1"/>
    <xf numFmtId="40" fontId="5" fillId="16" borderId="6" xfId="0" applyNumberFormat="1" applyFont="1" applyFill="1" applyBorder="1" applyAlignment="1">
      <alignment horizontal="center"/>
    </xf>
    <xf numFmtId="40" fontId="2" fillId="16" borderId="6" xfId="0" applyNumberFormat="1" applyFont="1" applyFill="1" applyBorder="1" applyAlignment="1">
      <alignment horizontal="center"/>
    </xf>
    <xf numFmtId="40" fontId="2" fillId="16" borderId="20" xfId="0" applyNumberFormat="1" applyFont="1" applyFill="1" applyBorder="1" applyAlignment="1">
      <alignment horizontal="center"/>
    </xf>
    <xf numFmtId="173" fontId="0" fillId="12" borderId="2" xfId="0" applyFill="1" applyBorder="1"/>
    <xf numFmtId="173" fontId="0" fillId="12" borderId="5" xfId="0" applyFill="1" applyBorder="1" applyAlignment="1">
      <alignment horizontal="left"/>
    </xf>
    <xf numFmtId="6" fontId="0" fillId="12" borderId="0" xfId="2" applyNumberFormat="1" applyFont="1" applyFill="1" applyBorder="1"/>
    <xf numFmtId="6" fontId="5" fillId="12" borderId="6" xfId="0" applyNumberFormat="1" applyFont="1" applyFill="1" applyBorder="1"/>
    <xf numFmtId="6" fontId="9" fillId="12" borderId="6" xfId="0" applyNumberFormat="1" applyFont="1" applyFill="1" applyBorder="1"/>
    <xf numFmtId="40" fontId="1" fillId="12" borderId="20" xfId="0" applyNumberFormat="1" applyFont="1" applyFill="1" applyBorder="1" applyAlignment="1">
      <alignment horizontal="right"/>
    </xf>
    <xf numFmtId="173" fontId="17" fillId="12" borderId="22" xfId="0" applyFont="1" applyFill="1" applyBorder="1"/>
    <xf numFmtId="173" fontId="1" fillId="12" borderId="2" xfId="0" applyFont="1" applyFill="1" applyBorder="1"/>
    <xf numFmtId="173" fontId="1" fillId="12" borderId="2" xfId="0" applyFont="1" applyFill="1" applyBorder="1" applyAlignment="1">
      <alignment horizontal="center"/>
    </xf>
    <xf numFmtId="165" fontId="0" fillId="12" borderId="2" xfId="0" applyNumberFormat="1" applyFill="1" applyBorder="1"/>
    <xf numFmtId="40" fontId="0" fillId="12" borderId="2" xfId="0" applyNumberFormat="1" applyFill="1" applyBorder="1"/>
    <xf numFmtId="6" fontId="2" fillId="12" borderId="2" xfId="0" applyNumberFormat="1" applyFont="1" applyFill="1" applyBorder="1"/>
    <xf numFmtId="173" fontId="2" fillId="12" borderId="2" xfId="0" applyFont="1" applyFill="1" applyBorder="1" applyAlignment="1">
      <alignment horizontal="center"/>
    </xf>
    <xf numFmtId="173" fontId="18" fillId="12" borderId="2" xfId="0" applyFont="1" applyFill="1" applyBorder="1" applyAlignment="1">
      <alignment horizontal="left"/>
    </xf>
    <xf numFmtId="6" fontId="0" fillId="12" borderId="2" xfId="0" applyNumberFormat="1" applyFill="1" applyBorder="1"/>
    <xf numFmtId="6" fontId="5" fillId="12" borderId="17" xfId="0" applyNumberFormat="1" applyFont="1" applyFill="1" applyBorder="1"/>
    <xf numFmtId="6" fontId="0" fillId="12" borderId="0" xfId="0" applyNumberFormat="1" applyFill="1"/>
    <xf numFmtId="40" fontId="1" fillId="12" borderId="6" xfId="0" applyNumberFormat="1" applyFont="1" applyFill="1" applyBorder="1" applyAlignment="1">
      <alignment horizontal="right"/>
    </xf>
    <xf numFmtId="173" fontId="16" fillId="16" borderId="18" xfId="0" applyFont="1" applyFill="1" applyBorder="1"/>
    <xf numFmtId="173" fontId="2" fillId="16" borderId="2" xfId="0" applyFont="1" applyFill="1" applyBorder="1" applyAlignment="1">
      <alignment horizontal="center"/>
    </xf>
    <xf numFmtId="173" fontId="18" fillId="16" borderId="2" xfId="0" applyFont="1" applyFill="1" applyBorder="1" applyAlignment="1">
      <alignment horizontal="left"/>
    </xf>
    <xf numFmtId="14" fontId="2" fillId="16" borderId="2" xfId="0" applyNumberFormat="1" applyFont="1" applyFill="1" applyBorder="1" applyAlignment="1">
      <alignment horizontal="center"/>
    </xf>
    <xf numFmtId="165" fontId="0" fillId="16" borderId="2" xfId="0" applyNumberFormat="1" applyFill="1" applyBorder="1"/>
    <xf numFmtId="6" fontId="5" fillId="16" borderId="17" xfId="0" applyNumberFormat="1" applyFont="1" applyFill="1" applyBorder="1"/>
    <xf numFmtId="173" fontId="5" fillId="12" borderId="6" xfId="0" applyFont="1" applyFill="1" applyBorder="1"/>
    <xf numFmtId="40" fontId="5" fillId="12" borderId="6" xfId="0" applyNumberFormat="1" applyFont="1" applyFill="1" applyBorder="1" applyAlignment="1">
      <alignment horizontal="center"/>
    </xf>
    <xf numFmtId="40" fontId="2" fillId="12" borderId="20" xfId="0" applyNumberFormat="1" applyFont="1" applyFill="1" applyBorder="1" applyAlignment="1">
      <alignment horizontal="center"/>
    </xf>
    <xf numFmtId="174" fontId="2" fillId="12" borderId="2" xfId="0" applyNumberFormat="1" applyFont="1" applyFill="1" applyBorder="1" applyAlignment="1">
      <alignment horizontal="center"/>
    </xf>
    <xf numFmtId="6" fontId="2" fillId="12" borderId="0" xfId="0" applyNumberFormat="1" applyFont="1" applyFill="1" applyAlignment="1">
      <alignment horizontal="center"/>
    </xf>
    <xf numFmtId="43" fontId="1" fillId="12" borderId="2" xfId="1" applyFont="1" applyFill="1" applyBorder="1" applyAlignment="1">
      <alignment horizontal="center"/>
    </xf>
    <xf numFmtId="173" fontId="2" fillId="13" borderId="2" xfId="0" applyFont="1" applyFill="1" applyBorder="1"/>
    <xf numFmtId="173" fontId="2" fillId="13" borderId="1" xfId="0" applyFont="1" applyFill="1" applyBorder="1"/>
    <xf numFmtId="168" fontId="12" fillId="3" borderId="0" xfId="1" applyNumberFormat="1" applyFont="1" applyFill="1" applyBorder="1" applyAlignment="1">
      <alignment horizontal="right"/>
    </xf>
    <xf numFmtId="168" fontId="12" fillId="3" borderId="4" xfId="1" applyNumberFormat="1" applyFont="1" applyFill="1" applyBorder="1" applyAlignment="1">
      <alignment horizontal="right"/>
    </xf>
    <xf numFmtId="173" fontId="10" fillId="16" borderId="0" xfId="0" applyFont="1" applyFill="1"/>
    <xf numFmtId="185" fontId="10" fillId="2" borderId="14" xfId="0" applyNumberFormat="1" applyFont="1" applyFill="1" applyBorder="1" applyAlignment="1">
      <alignment horizontal="center"/>
    </xf>
    <xf numFmtId="186" fontId="10" fillId="2" borderId="14" xfId="0" applyNumberFormat="1" applyFont="1" applyFill="1" applyBorder="1" applyAlignment="1">
      <alignment horizontal="center"/>
    </xf>
    <xf numFmtId="168" fontId="12" fillId="5" borderId="4" xfId="1" applyNumberFormat="1" applyFont="1" applyFill="1" applyBorder="1" applyAlignment="1">
      <alignment horizontal="right"/>
    </xf>
    <xf numFmtId="168" fontId="12" fillId="7" borderId="4" xfId="1" applyNumberFormat="1" applyFont="1" applyFill="1" applyBorder="1" applyAlignment="1">
      <alignment horizontal="right"/>
    </xf>
    <xf numFmtId="168" fontId="12" fillId="8" borderId="4" xfId="1" applyNumberFormat="1" applyFont="1" applyFill="1" applyBorder="1" applyAlignment="1">
      <alignment horizontal="right"/>
    </xf>
    <xf numFmtId="168" fontId="12" fillId="8" borderId="8" xfId="1" applyNumberFormat="1" applyFont="1" applyFill="1" applyBorder="1" applyAlignment="1">
      <alignment horizontal="right"/>
    </xf>
    <xf numFmtId="168" fontId="12" fillId="5" borderId="10" xfId="1" applyNumberFormat="1" applyFont="1" applyFill="1" applyBorder="1" applyAlignment="1">
      <alignment horizontal="right"/>
    </xf>
    <xf numFmtId="10" fontId="10" fillId="15" borderId="14" xfId="3" applyNumberFormat="1" applyFont="1" applyFill="1" applyBorder="1" applyAlignment="1">
      <alignment horizontal="center"/>
    </xf>
    <xf numFmtId="10" fontId="10" fillId="10" borderId="14" xfId="3" applyNumberFormat="1" applyFont="1" applyFill="1" applyBorder="1" applyAlignment="1">
      <alignment horizontal="center"/>
    </xf>
    <xf numFmtId="173" fontId="2" fillId="13" borderId="17" xfId="0" applyFont="1" applyFill="1" applyBorder="1"/>
    <xf numFmtId="173" fontId="19" fillId="13" borderId="1" xfId="0" applyFont="1" applyFill="1" applyBorder="1" applyAlignment="1">
      <alignment horizontal="left"/>
    </xf>
    <xf numFmtId="173" fontId="19" fillId="13" borderId="20" xfId="0" applyFont="1" applyFill="1" applyBorder="1" applyAlignment="1">
      <alignment horizontal="right"/>
    </xf>
    <xf numFmtId="173" fontId="19" fillId="13" borderId="2" xfId="0" applyFont="1" applyFill="1" applyBorder="1" applyAlignment="1">
      <alignment horizontal="right"/>
    </xf>
    <xf numFmtId="14" fontId="23" fillId="7" borderId="0" xfId="0" applyNumberFormat="1" applyFont="1" applyFill="1" applyAlignment="1">
      <alignment horizontal="center"/>
    </xf>
    <xf numFmtId="14" fontId="12" fillId="7" borderId="0" xfId="0" applyNumberFormat="1" applyFont="1" applyFill="1" applyAlignment="1">
      <alignment horizontal="center"/>
    </xf>
    <xf numFmtId="14" fontId="23" fillId="7" borderId="6" xfId="0" applyNumberFormat="1" applyFont="1" applyFill="1" applyBorder="1" applyAlignment="1">
      <alignment horizontal="center"/>
    </xf>
    <xf numFmtId="173" fontId="6" fillId="5" borderId="9" xfId="0" applyFont="1" applyFill="1" applyBorder="1"/>
    <xf numFmtId="173" fontId="6" fillId="5" borderId="2" xfId="0" applyFont="1" applyFill="1" applyBorder="1"/>
    <xf numFmtId="173" fontId="6" fillId="5" borderId="3" xfId="0" applyFont="1" applyFill="1" applyBorder="1"/>
    <xf numFmtId="173" fontId="6" fillId="5" borderId="0" xfId="0" applyFont="1" applyFill="1"/>
    <xf numFmtId="173" fontId="6" fillId="5" borderId="6" xfId="0" applyFont="1" applyFill="1" applyBorder="1"/>
    <xf numFmtId="173" fontId="6" fillId="7" borderId="3" xfId="0" applyFont="1" applyFill="1" applyBorder="1"/>
    <xf numFmtId="173" fontId="6" fillId="7" borderId="0" xfId="0" applyFont="1" applyFill="1"/>
    <xf numFmtId="173" fontId="6" fillId="7" borderId="6" xfId="0" applyFont="1" applyFill="1" applyBorder="1"/>
    <xf numFmtId="173" fontId="6" fillId="8" borderId="3" xfId="0" applyFont="1" applyFill="1" applyBorder="1"/>
    <xf numFmtId="173" fontId="6" fillId="8" borderId="0" xfId="0" applyFont="1" applyFill="1"/>
    <xf numFmtId="165" fontId="12" fillId="2" borderId="14" xfId="2" applyNumberFormat="1" applyFont="1" applyFill="1" applyBorder="1" applyAlignment="1">
      <alignment horizontal="center"/>
    </xf>
    <xf numFmtId="173" fontId="6" fillId="8" borderId="7" xfId="0" applyFont="1" applyFill="1" applyBorder="1"/>
    <xf numFmtId="173" fontId="6" fillId="8" borderId="1" xfId="0" applyFont="1" applyFill="1" applyBorder="1"/>
    <xf numFmtId="173" fontId="6" fillId="3" borderId="3" xfId="0" applyFont="1" applyFill="1" applyBorder="1"/>
    <xf numFmtId="173" fontId="11" fillId="3" borderId="6" xfId="0" applyFont="1" applyFill="1" applyBorder="1" applyAlignment="1">
      <alignment horizontal="right"/>
    </xf>
    <xf numFmtId="10" fontId="10" fillId="2" borderId="14" xfId="3" applyNumberFormat="1" applyFont="1" applyFill="1" applyBorder="1" applyAlignment="1">
      <alignment horizontal="right"/>
    </xf>
    <xf numFmtId="177" fontId="10" fillId="2" borderId="14" xfId="0" applyNumberFormat="1" applyFont="1" applyFill="1" applyBorder="1" applyAlignment="1">
      <alignment horizontal="center"/>
    </xf>
    <xf numFmtId="179" fontId="12" fillId="2" borderId="14" xfId="0" applyNumberFormat="1" applyFont="1" applyFill="1" applyBorder="1" applyAlignment="1">
      <alignment horizontal="center"/>
    </xf>
    <xf numFmtId="180" fontId="10" fillId="2" borderId="14" xfId="0" applyNumberFormat="1" applyFont="1" applyFill="1" applyBorder="1" applyAlignment="1">
      <alignment horizontal="center"/>
    </xf>
    <xf numFmtId="193" fontId="6" fillId="3" borderId="0" xfId="0" applyNumberFormat="1" applyFont="1" applyFill="1"/>
    <xf numFmtId="173" fontId="6" fillId="3" borderId="7" xfId="0" applyFont="1" applyFill="1" applyBorder="1"/>
    <xf numFmtId="173" fontId="6" fillId="3" borderId="19" xfId="0" applyFont="1" applyFill="1" applyBorder="1"/>
    <xf numFmtId="173" fontId="11" fillId="3" borderId="20" xfId="0" applyFont="1" applyFill="1" applyBorder="1" applyAlignment="1">
      <alignment horizontal="right"/>
    </xf>
    <xf numFmtId="173" fontId="25" fillId="12" borderId="22" xfId="0" applyFont="1" applyFill="1" applyBorder="1" applyAlignment="1">
      <alignment horizontal="left"/>
    </xf>
    <xf numFmtId="173" fontId="6" fillId="12" borderId="2" xfId="0" applyFont="1" applyFill="1" applyBorder="1"/>
    <xf numFmtId="173" fontId="12" fillId="12" borderId="2" xfId="0" applyFont="1" applyFill="1" applyBorder="1"/>
    <xf numFmtId="173" fontId="12" fillId="12" borderId="2" xfId="0" applyFont="1" applyFill="1" applyBorder="1" applyAlignment="1">
      <alignment horizontal="center"/>
    </xf>
    <xf numFmtId="6" fontId="6" fillId="12" borderId="2" xfId="0" applyNumberFormat="1" applyFont="1" applyFill="1" applyBorder="1"/>
    <xf numFmtId="6" fontId="6" fillId="12" borderId="0" xfId="0" applyNumberFormat="1" applyFont="1" applyFill="1"/>
    <xf numFmtId="173" fontId="6" fillId="12" borderId="5" xfId="0" applyFont="1" applyFill="1" applyBorder="1" applyAlignment="1">
      <alignment horizontal="right"/>
    </xf>
    <xf numFmtId="173" fontId="6" fillId="12" borderId="0" xfId="0" applyFont="1" applyFill="1"/>
    <xf numFmtId="44" fontId="6" fillId="2" borderId="14" xfId="2" applyFont="1" applyFill="1" applyBorder="1" applyAlignment="1">
      <alignment horizontal="center"/>
    </xf>
    <xf numFmtId="173" fontId="12" fillId="12" borderId="0" xfId="0" applyFont="1" applyFill="1"/>
    <xf numFmtId="173" fontId="12" fillId="12" borderId="0" xfId="0" applyFont="1" applyFill="1" applyAlignment="1">
      <alignment horizontal="center"/>
    </xf>
    <xf numFmtId="173" fontId="6" fillId="12" borderId="0" xfId="0" applyFont="1" applyFill="1" applyAlignment="1">
      <alignment horizontal="left"/>
    </xf>
    <xf numFmtId="44" fontId="6" fillId="12" borderId="0" xfId="0" applyNumberFormat="1" applyFont="1" applyFill="1" applyAlignment="1">
      <alignment horizontal="left"/>
    </xf>
    <xf numFmtId="173" fontId="6" fillId="12" borderId="0" xfId="0" applyFont="1" applyFill="1" applyAlignment="1">
      <alignment horizontal="center"/>
    </xf>
    <xf numFmtId="174" fontId="10" fillId="2" borderId="14" xfId="0" applyNumberFormat="1" applyFont="1" applyFill="1" applyBorder="1"/>
    <xf numFmtId="181" fontId="6" fillId="12" borderId="0" xfId="0" applyNumberFormat="1" applyFont="1" applyFill="1" applyAlignment="1">
      <alignment horizontal="center"/>
    </xf>
    <xf numFmtId="165" fontId="6" fillId="12" borderId="3" xfId="2" applyNumberFormat="1" applyFont="1" applyFill="1" applyBorder="1"/>
    <xf numFmtId="6" fontId="6" fillId="12" borderId="3" xfId="0" applyNumberFormat="1" applyFont="1" applyFill="1" applyBorder="1"/>
    <xf numFmtId="173" fontId="6" fillId="12" borderId="5" xfId="0" applyFont="1" applyFill="1" applyBorder="1" applyAlignment="1">
      <alignment horizontal="left"/>
    </xf>
    <xf numFmtId="44" fontId="6" fillId="12" borderId="0" xfId="0" applyNumberFormat="1" applyFont="1" applyFill="1"/>
    <xf numFmtId="174" fontId="10" fillId="12" borderId="0" xfId="0" applyNumberFormat="1" applyFont="1" applyFill="1"/>
    <xf numFmtId="181" fontId="26" fillId="12" borderId="0" xfId="0" applyNumberFormat="1" applyFont="1" applyFill="1" applyAlignment="1">
      <alignment horizontal="center"/>
    </xf>
    <xf numFmtId="44" fontId="6" fillId="12" borderId="3" xfId="2" applyFont="1" applyFill="1" applyBorder="1"/>
    <xf numFmtId="6" fontId="26" fillId="12" borderId="3" xfId="0" applyNumberFormat="1" applyFont="1" applyFill="1" applyBorder="1"/>
    <xf numFmtId="174" fontId="6" fillId="12" borderId="0" xfId="0" applyNumberFormat="1" applyFont="1" applyFill="1" applyAlignment="1">
      <alignment horizontal="left"/>
    </xf>
    <xf numFmtId="181" fontId="6" fillId="12" borderId="0" xfId="3" applyNumberFormat="1" applyFont="1" applyFill="1" applyBorder="1"/>
    <xf numFmtId="175" fontId="26" fillId="12" borderId="3" xfId="0" applyNumberFormat="1" applyFont="1" applyFill="1" applyBorder="1"/>
    <xf numFmtId="173" fontId="6" fillId="12" borderId="19" xfId="0" applyFont="1" applyFill="1" applyBorder="1"/>
    <xf numFmtId="173" fontId="6" fillId="12" borderId="1" xfId="0" applyFont="1" applyFill="1" applyBorder="1"/>
    <xf numFmtId="44" fontId="6" fillId="12" borderId="1" xfId="0" applyNumberFormat="1" applyFont="1" applyFill="1" applyBorder="1"/>
    <xf numFmtId="173" fontId="6" fillId="12" borderId="1" xfId="0" applyFont="1" applyFill="1" applyBorder="1" applyAlignment="1">
      <alignment horizontal="right"/>
    </xf>
    <xf numFmtId="10" fontId="6" fillId="11" borderId="14" xfId="0" applyNumberFormat="1" applyFont="1" applyFill="1" applyBorder="1" applyAlignment="1">
      <alignment horizontal="center"/>
    </xf>
    <xf numFmtId="181" fontId="6" fillId="12" borderId="1" xfId="0" applyNumberFormat="1" applyFont="1" applyFill="1" applyBorder="1"/>
    <xf numFmtId="175" fontId="6" fillId="12" borderId="7" xfId="0" applyNumberFormat="1" applyFont="1" applyFill="1" applyBorder="1"/>
    <xf numFmtId="6" fontId="6" fillId="12" borderId="8" xfId="0" applyNumberFormat="1" applyFont="1" applyFill="1" applyBorder="1"/>
    <xf numFmtId="6" fontId="20" fillId="12" borderId="3" xfId="0" applyNumberFormat="1" applyFont="1" applyFill="1" applyBorder="1"/>
    <xf numFmtId="173" fontId="25" fillId="12" borderId="5" xfId="0" applyFont="1" applyFill="1" applyBorder="1" applyAlignment="1">
      <alignment horizontal="left"/>
    </xf>
    <xf numFmtId="44" fontId="6" fillId="12" borderId="2" xfId="0" applyNumberFormat="1" applyFont="1" applyFill="1" applyBorder="1"/>
    <xf numFmtId="17" fontId="12" fillId="12" borderId="2" xfId="0" applyNumberFormat="1" applyFont="1" applyFill="1" applyBorder="1" applyAlignment="1">
      <alignment horizontal="left"/>
    </xf>
    <xf numFmtId="181" fontId="12" fillId="12" borderId="2" xfId="0" applyNumberFormat="1" applyFont="1" applyFill="1" applyBorder="1" applyAlignment="1">
      <alignment horizontal="center"/>
    </xf>
    <xf numFmtId="6" fontId="26" fillId="12" borderId="0" xfId="0" applyNumberFormat="1" applyFont="1" applyFill="1"/>
    <xf numFmtId="44" fontId="6" fillId="12" borderId="14" xfId="2" applyFont="1" applyFill="1" applyBorder="1" applyAlignment="1">
      <alignment horizontal="center"/>
    </xf>
    <xf numFmtId="173" fontId="6" fillId="12" borderId="12" xfId="0" applyFont="1" applyFill="1" applyBorder="1" applyAlignment="1">
      <alignment horizontal="right"/>
    </xf>
    <xf numFmtId="9" fontId="10" fillId="2" borderId="14" xfId="3" applyFont="1" applyFill="1" applyBorder="1" applyAlignment="1">
      <alignment horizontal="center"/>
    </xf>
    <xf numFmtId="6" fontId="6" fillId="12" borderId="3" xfId="2" applyNumberFormat="1" applyFont="1" applyFill="1" applyBorder="1"/>
    <xf numFmtId="174" fontId="6" fillId="12" borderId="0" xfId="0" applyNumberFormat="1" applyFont="1" applyFill="1" applyAlignment="1">
      <alignment horizontal="center"/>
    </xf>
    <xf numFmtId="175" fontId="6" fillId="12" borderId="3" xfId="0" applyNumberFormat="1" applyFont="1" applyFill="1" applyBorder="1"/>
    <xf numFmtId="173" fontId="6" fillId="12" borderId="19" xfId="0" applyFont="1" applyFill="1" applyBorder="1" applyAlignment="1">
      <alignment horizontal="left"/>
    </xf>
    <xf numFmtId="43" fontId="6" fillId="12" borderId="2" xfId="0" applyNumberFormat="1" applyFont="1" applyFill="1" applyBorder="1"/>
    <xf numFmtId="173" fontId="6" fillId="12" borderId="11" xfId="0" applyFont="1" applyFill="1" applyBorder="1" applyAlignment="1">
      <alignment horizontal="right"/>
    </xf>
    <xf numFmtId="183" fontId="20" fillId="12" borderId="3" xfId="1" applyNumberFormat="1" applyFont="1" applyFill="1" applyBorder="1"/>
    <xf numFmtId="10" fontId="6" fillId="12" borderId="0" xfId="3" applyNumberFormat="1" applyFont="1" applyFill="1" applyBorder="1"/>
    <xf numFmtId="173" fontId="6" fillId="12" borderId="0" xfId="0" applyFont="1" applyFill="1" applyAlignment="1">
      <alignment horizontal="right"/>
    </xf>
    <xf numFmtId="40" fontId="12" fillId="12" borderId="0" xfId="0" applyNumberFormat="1" applyFont="1" applyFill="1" applyAlignment="1">
      <alignment horizontal="right"/>
    </xf>
    <xf numFmtId="6" fontId="12" fillId="12" borderId="0" xfId="0" applyNumberFormat="1" applyFont="1" applyFill="1" applyAlignment="1">
      <alignment horizontal="right"/>
    </xf>
    <xf numFmtId="183" fontId="20" fillId="12" borderId="7" xfId="1" applyNumberFormat="1" applyFont="1" applyFill="1" applyBorder="1"/>
    <xf numFmtId="6" fontId="7" fillId="12" borderId="1" xfId="0" applyNumberFormat="1" applyFont="1" applyFill="1" applyBorder="1" applyAlignment="1">
      <alignment horizontal="right"/>
    </xf>
    <xf numFmtId="6" fontId="12" fillId="12" borderId="1" xfId="0" applyNumberFormat="1" applyFont="1" applyFill="1" applyBorder="1" applyAlignment="1">
      <alignment horizontal="center"/>
    </xf>
    <xf numFmtId="165" fontId="6" fillId="12" borderId="0" xfId="2" applyNumberFormat="1" applyFont="1" applyFill="1" applyBorder="1"/>
    <xf numFmtId="6" fontId="6" fillId="12" borderId="0" xfId="2" applyNumberFormat="1" applyFont="1" applyFill="1" applyBorder="1"/>
    <xf numFmtId="38" fontId="6" fillId="12" borderId="0" xfId="0" applyNumberFormat="1" applyFont="1" applyFill="1"/>
    <xf numFmtId="38" fontId="6" fillId="12" borderId="0" xfId="1" applyNumberFormat="1" applyFont="1" applyFill="1" applyBorder="1"/>
    <xf numFmtId="173" fontId="21" fillId="12" borderId="5" xfId="0" applyFont="1" applyFill="1" applyBorder="1" applyAlignment="1">
      <alignment horizontal="right"/>
    </xf>
    <xf numFmtId="171" fontId="6" fillId="12" borderId="0" xfId="1" applyNumberFormat="1" applyFont="1" applyFill="1" applyBorder="1"/>
    <xf numFmtId="173" fontId="11" fillId="12" borderId="5" xfId="0" applyFont="1" applyFill="1" applyBorder="1" applyAlignment="1">
      <alignment horizontal="left"/>
    </xf>
    <xf numFmtId="14" fontId="6" fillId="12" borderId="0" xfId="0" applyNumberFormat="1" applyFont="1" applyFill="1" applyAlignment="1">
      <alignment horizontal="center"/>
    </xf>
    <xf numFmtId="14" fontId="8" fillId="12" borderId="0" xfId="0" applyNumberFormat="1" applyFont="1" applyFill="1" applyAlignment="1">
      <alignment horizontal="center"/>
    </xf>
    <xf numFmtId="6" fontId="7" fillId="12" borderId="0" xfId="0" applyNumberFormat="1" applyFont="1" applyFill="1" applyAlignment="1">
      <alignment horizontal="right"/>
    </xf>
    <xf numFmtId="173" fontId="6" fillId="12" borderId="1" xfId="0" applyFont="1" applyFill="1" applyBorder="1" applyAlignment="1">
      <alignment horizontal="center"/>
    </xf>
    <xf numFmtId="14" fontId="8" fillId="12" borderId="1" xfId="0" applyNumberFormat="1" applyFont="1" applyFill="1" applyBorder="1" applyAlignment="1">
      <alignment horizontal="center"/>
    </xf>
    <xf numFmtId="14" fontId="6" fillId="9" borderId="11" xfId="0" applyNumberFormat="1" applyFont="1" applyFill="1" applyBorder="1" applyAlignment="1">
      <alignment horizontal="center"/>
    </xf>
    <xf numFmtId="6" fontId="7" fillId="9" borderId="12" xfId="0" applyNumberFormat="1" applyFont="1" applyFill="1" applyBorder="1" applyAlignment="1">
      <alignment horizontal="right"/>
    </xf>
    <xf numFmtId="173" fontId="25" fillId="16" borderId="22" xfId="0" applyFont="1" applyFill="1" applyBorder="1" applyAlignment="1">
      <alignment horizontal="left"/>
    </xf>
    <xf numFmtId="173" fontId="6" fillId="16" borderId="2" xfId="0" applyFont="1" applyFill="1" applyBorder="1"/>
    <xf numFmtId="173" fontId="12" fillId="16" borderId="2" xfId="0" applyFont="1" applyFill="1" applyBorder="1"/>
    <xf numFmtId="173" fontId="12" fillId="16" borderId="2" xfId="0" applyFont="1" applyFill="1" applyBorder="1" applyAlignment="1">
      <alignment horizontal="center"/>
    </xf>
    <xf numFmtId="6" fontId="6" fillId="16" borderId="2" xfId="0" applyNumberFormat="1" applyFont="1" applyFill="1" applyBorder="1"/>
    <xf numFmtId="6" fontId="6" fillId="16" borderId="0" xfId="0" applyNumberFormat="1" applyFont="1" applyFill="1"/>
    <xf numFmtId="173" fontId="6" fillId="16" borderId="5" xfId="0" applyFont="1" applyFill="1" applyBorder="1" applyAlignment="1">
      <alignment horizontal="right"/>
    </xf>
    <xf numFmtId="173" fontId="6" fillId="16" borderId="0" xfId="0" applyFont="1" applyFill="1"/>
    <xf numFmtId="173" fontId="12" fillId="16" borderId="0" xfId="0" applyFont="1" applyFill="1"/>
    <xf numFmtId="173" fontId="12" fillId="16" borderId="0" xfId="0" applyFont="1" applyFill="1" applyAlignment="1">
      <alignment horizontal="center"/>
    </xf>
    <xf numFmtId="173" fontId="13" fillId="16" borderId="5" xfId="0" applyFont="1" applyFill="1" applyBorder="1" applyAlignment="1">
      <alignment horizontal="right"/>
    </xf>
    <xf numFmtId="43" fontId="12" fillId="16" borderId="0" xfId="1" applyFont="1" applyFill="1" applyBorder="1"/>
    <xf numFmtId="173" fontId="6" fillId="16" borderId="0" xfId="0" applyFont="1" applyFill="1" applyAlignment="1">
      <alignment horizontal="left"/>
    </xf>
    <xf numFmtId="6" fontId="12" fillId="16" borderId="14" xfId="2" applyNumberFormat="1" applyFont="1" applyFill="1" applyBorder="1" applyAlignment="1">
      <alignment horizontal="center"/>
    </xf>
    <xf numFmtId="173" fontId="6" fillId="16" borderId="0" xfId="0" applyFont="1" applyFill="1" applyAlignment="1">
      <alignment horizontal="center"/>
    </xf>
    <xf numFmtId="181" fontId="6" fillId="16" borderId="0" xfId="0" applyNumberFormat="1" applyFont="1" applyFill="1" applyAlignment="1">
      <alignment horizontal="center"/>
    </xf>
    <xf numFmtId="165" fontId="6" fillId="16" borderId="3" xfId="2" applyNumberFormat="1" applyFont="1" applyFill="1" applyBorder="1"/>
    <xf numFmtId="6" fontId="6" fillId="16" borderId="3" xfId="0" applyNumberFormat="1" applyFont="1" applyFill="1" applyBorder="1"/>
    <xf numFmtId="173" fontId="6" fillId="16" borderId="5" xfId="0" applyFont="1" applyFill="1" applyBorder="1" applyAlignment="1">
      <alignment horizontal="left"/>
    </xf>
    <xf numFmtId="174" fontId="10" fillId="16" borderId="0" xfId="0" applyNumberFormat="1" applyFont="1" applyFill="1"/>
    <xf numFmtId="44" fontId="6" fillId="16" borderId="3" xfId="2" applyFont="1" applyFill="1" applyBorder="1"/>
    <xf numFmtId="6" fontId="26" fillId="16" borderId="3" xfId="0" applyNumberFormat="1" applyFont="1" applyFill="1" applyBorder="1"/>
    <xf numFmtId="10" fontId="28" fillId="18" borderId="14" xfId="3" applyNumberFormat="1" applyFont="1" applyFill="1" applyBorder="1" applyAlignment="1">
      <alignment horizontal="center"/>
    </xf>
    <xf numFmtId="181" fontId="6" fillId="16" borderId="0" xfId="3" applyNumberFormat="1" applyFont="1" applyFill="1" applyBorder="1"/>
    <xf numFmtId="175" fontId="26" fillId="16" borderId="3" xfId="0" applyNumberFormat="1" applyFont="1" applyFill="1" applyBorder="1"/>
    <xf numFmtId="174" fontId="6" fillId="16" borderId="0" xfId="0" applyNumberFormat="1" applyFont="1" applyFill="1" applyAlignment="1">
      <alignment horizontal="center"/>
    </xf>
    <xf numFmtId="173" fontId="6" fillId="16" borderId="0" xfId="0" applyFont="1" applyFill="1" applyAlignment="1">
      <alignment horizontal="right"/>
    </xf>
    <xf numFmtId="10" fontId="6" fillId="10" borderId="14" xfId="0" applyNumberFormat="1" applyFont="1" applyFill="1" applyBorder="1" applyAlignment="1">
      <alignment horizontal="center"/>
    </xf>
    <xf numFmtId="175" fontId="6" fillId="16" borderId="3" xfId="0" applyNumberFormat="1" applyFont="1" applyFill="1" applyBorder="1"/>
    <xf numFmtId="173" fontId="6" fillId="16" borderId="19" xfId="0" applyFont="1" applyFill="1" applyBorder="1"/>
    <xf numFmtId="173" fontId="6" fillId="16" borderId="1" xfId="0" applyFont="1" applyFill="1" applyBorder="1"/>
    <xf numFmtId="173" fontId="6" fillId="16" borderId="1" xfId="0" applyFont="1" applyFill="1" applyBorder="1" applyAlignment="1">
      <alignment horizontal="right"/>
    </xf>
    <xf numFmtId="181" fontId="6" fillId="16" borderId="1" xfId="0" applyNumberFormat="1" applyFont="1" applyFill="1" applyBorder="1"/>
    <xf numFmtId="183" fontId="20" fillId="16" borderId="7" xfId="1" applyNumberFormat="1" applyFont="1" applyFill="1" applyBorder="1"/>
    <xf numFmtId="6" fontId="12" fillId="16" borderId="1" xfId="0" applyNumberFormat="1" applyFont="1" applyFill="1" applyBorder="1"/>
    <xf numFmtId="6" fontId="20" fillId="16" borderId="3" xfId="0" applyNumberFormat="1" applyFont="1" applyFill="1" applyBorder="1"/>
    <xf numFmtId="173" fontId="25" fillId="16" borderId="5" xfId="0" applyFont="1" applyFill="1" applyBorder="1" applyAlignment="1">
      <alignment horizontal="left"/>
    </xf>
    <xf numFmtId="17" fontId="12" fillId="16" borderId="2" xfId="0" applyNumberFormat="1" applyFont="1" applyFill="1" applyBorder="1" applyAlignment="1">
      <alignment horizontal="left"/>
    </xf>
    <xf numFmtId="181" fontId="12" fillId="16" borderId="2" xfId="0" applyNumberFormat="1" applyFont="1" applyFill="1" applyBorder="1" applyAlignment="1">
      <alignment horizontal="center"/>
    </xf>
    <xf numFmtId="6" fontId="26" fillId="16" borderId="0" xfId="0" applyNumberFormat="1" applyFont="1" applyFill="1"/>
    <xf numFmtId="165" fontId="6" fillId="16" borderId="15" xfId="2" applyNumberFormat="1" applyFont="1" applyFill="1" applyBorder="1" applyAlignment="1">
      <alignment horizontal="center"/>
    </xf>
    <xf numFmtId="173" fontId="6" fillId="5" borderId="12" xfId="0" applyFont="1" applyFill="1" applyBorder="1" applyAlignment="1">
      <alignment horizontal="right"/>
    </xf>
    <xf numFmtId="6" fontId="6" fillId="16" borderId="3" xfId="2" applyNumberFormat="1" applyFont="1" applyFill="1" applyBorder="1"/>
    <xf numFmtId="165" fontId="6" fillId="16" borderId="16" xfId="2" applyNumberFormat="1" applyFont="1" applyFill="1" applyBorder="1" applyAlignment="1">
      <alignment horizontal="center"/>
    </xf>
    <xf numFmtId="173" fontId="6" fillId="16" borderId="19" xfId="0" applyFont="1" applyFill="1" applyBorder="1" applyAlignment="1">
      <alignment horizontal="left"/>
    </xf>
    <xf numFmtId="173" fontId="6" fillId="5" borderId="11" xfId="0" applyFont="1" applyFill="1" applyBorder="1" applyAlignment="1">
      <alignment horizontal="right"/>
    </xf>
    <xf numFmtId="183" fontId="20" fillId="16" borderId="3" xfId="1" applyNumberFormat="1" applyFont="1" applyFill="1" applyBorder="1"/>
    <xf numFmtId="14" fontId="6" fillId="16" borderId="0" xfId="0" applyNumberFormat="1" applyFont="1" applyFill="1" applyAlignment="1">
      <alignment horizontal="center"/>
    </xf>
    <xf numFmtId="10" fontId="6" fillId="16" borderId="0" xfId="3" applyNumberFormat="1" applyFont="1" applyFill="1" applyBorder="1"/>
    <xf numFmtId="6" fontId="6" fillId="16" borderId="4" xfId="0" applyNumberFormat="1" applyFont="1" applyFill="1" applyBorder="1"/>
    <xf numFmtId="6" fontId="12" fillId="16" borderId="8" xfId="0" applyNumberFormat="1" applyFont="1" applyFill="1" applyBorder="1"/>
    <xf numFmtId="40" fontId="12" fillId="16" borderId="0" xfId="0" applyNumberFormat="1" applyFont="1" applyFill="1" applyAlignment="1">
      <alignment horizontal="right"/>
    </xf>
    <xf numFmtId="6" fontId="12" fillId="16" borderId="0" xfId="0" applyNumberFormat="1" applyFont="1" applyFill="1" applyAlignment="1">
      <alignment horizontal="right"/>
    </xf>
    <xf numFmtId="173" fontId="2" fillId="13" borderId="19" xfId="0" applyFont="1" applyFill="1" applyBorder="1"/>
    <xf numFmtId="173" fontId="2" fillId="13" borderId="22" xfId="0" applyFont="1" applyFill="1" applyBorder="1"/>
    <xf numFmtId="173" fontId="24" fillId="13" borderId="2" xfId="0" applyFont="1" applyFill="1" applyBorder="1" applyAlignment="1">
      <alignment horizontal="left"/>
    </xf>
    <xf numFmtId="173" fontId="12" fillId="8" borderId="0" xfId="0" applyFont="1" applyFill="1" applyAlignment="1">
      <alignment horizontal="right"/>
    </xf>
    <xf numFmtId="173" fontId="12" fillId="7" borderId="0" xfId="0" applyFont="1" applyFill="1" applyAlignment="1">
      <alignment horizontal="right"/>
    </xf>
    <xf numFmtId="192" fontId="10" fillId="2" borderId="13" xfId="0" applyNumberFormat="1" applyFont="1" applyFill="1" applyBorder="1" applyAlignment="1">
      <alignment horizontal="center"/>
    </xf>
    <xf numFmtId="185" fontId="12" fillId="8" borderId="0" xfId="0" applyNumberFormat="1" applyFont="1" applyFill="1" applyAlignment="1">
      <alignment horizontal="right"/>
    </xf>
    <xf numFmtId="174" fontId="12" fillId="7" borderId="0" xfId="0" applyNumberFormat="1" applyFont="1" applyFill="1" applyAlignment="1">
      <alignment horizontal="left"/>
    </xf>
    <xf numFmtId="14" fontId="12" fillId="7" borderId="0" xfId="0" applyNumberFormat="1" applyFont="1" applyFill="1" applyAlignment="1">
      <alignment horizontal="left"/>
    </xf>
    <xf numFmtId="174" fontId="12" fillId="8" borderId="0" xfId="0" applyNumberFormat="1" applyFont="1" applyFill="1" applyAlignment="1">
      <alignment horizontal="left"/>
    </xf>
    <xf numFmtId="14" fontId="12" fillId="8" borderId="0" xfId="0" applyNumberFormat="1" applyFont="1" applyFill="1" applyAlignment="1">
      <alignment horizontal="left"/>
    </xf>
    <xf numFmtId="186" fontId="12" fillId="8" borderId="0" xfId="0" applyNumberFormat="1" applyFont="1" applyFill="1" applyAlignment="1">
      <alignment horizontal="right"/>
    </xf>
    <xf numFmtId="14" fontId="23" fillId="8" borderId="6" xfId="0" applyNumberFormat="1" applyFont="1" applyFill="1" applyBorder="1" applyAlignment="1">
      <alignment horizontal="left"/>
    </xf>
    <xf numFmtId="174" fontId="6" fillId="16" borderId="0" xfId="0" applyNumberFormat="1" applyFont="1" applyFill="1" applyAlignment="1">
      <alignment horizontal="right"/>
    </xf>
    <xf numFmtId="17" fontId="12" fillId="16" borderId="0" xfId="0" applyNumberFormat="1" applyFont="1" applyFill="1" applyAlignment="1">
      <alignment horizontal="left"/>
    </xf>
    <xf numFmtId="181" fontId="12" fillId="16" borderId="0" xfId="0" applyNumberFormat="1" applyFont="1" applyFill="1" applyAlignment="1">
      <alignment horizontal="center"/>
    </xf>
    <xf numFmtId="173" fontId="6" fillId="16" borderId="1" xfId="0" applyFont="1" applyFill="1" applyBorder="1" applyAlignment="1">
      <alignment horizontal="center"/>
    </xf>
    <xf numFmtId="43" fontId="6" fillId="16" borderId="0" xfId="0" applyNumberFormat="1" applyFont="1" applyFill="1"/>
    <xf numFmtId="183" fontId="6" fillId="16" borderId="4" xfId="1" applyNumberFormat="1" applyFont="1" applyFill="1" applyBorder="1"/>
    <xf numFmtId="173" fontId="6" fillId="16" borderId="11" xfId="0" applyFont="1" applyFill="1" applyBorder="1"/>
    <xf numFmtId="165" fontId="10" fillId="2" borderId="14" xfId="2" applyNumberFormat="1" applyFont="1" applyFill="1" applyBorder="1" applyAlignment="1">
      <alignment horizontal="center"/>
    </xf>
    <xf numFmtId="173" fontId="12" fillId="2" borderId="14" xfId="2" applyNumberFormat="1" applyFont="1" applyFill="1" applyBorder="1" applyAlignment="1">
      <alignment horizontal="center"/>
    </xf>
    <xf numFmtId="173" fontId="6" fillId="3" borderId="2" xfId="0" applyFont="1" applyFill="1" applyBorder="1"/>
    <xf numFmtId="173" fontId="6" fillId="8" borderId="9" xfId="0" applyFont="1" applyFill="1" applyBorder="1"/>
    <xf numFmtId="173" fontId="6" fillId="8" borderId="2" xfId="0" applyFont="1" applyFill="1" applyBorder="1"/>
    <xf numFmtId="168" fontId="12" fillId="8" borderId="10" xfId="1" applyNumberFormat="1" applyFont="1" applyFill="1" applyBorder="1" applyAlignment="1">
      <alignment horizontal="right"/>
    </xf>
    <xf numFmtId="168" fontId="12" fillId="7" borderId="23" xfId="1" applyNumberFormat="1" applyFont="1" applyFill="1" applyBorder="1" applyAlignment="1">
      <alignment horizontal="right"/>
    </xf>
    <xf numFmtId="10" fontId="10" fillId="11" borderId="15" xfId="3" applyNumberFormat="1" applyFont="1" applyFill="1" applyBorder="1" applyAlignment="1">
      <alignment horizontal="center"/>
    </xf>
    <xf numFmtId="6" fontId="27" fillId="12" borderId="5" xfId="0" applyNumberFormat="1" applyFont="1" applyFill="1" applyBorder="1" applyAlignment="1">
      <alignment horizontal="right"/>
    </xf>
    <xf numFmtId="181" fontId="6" fillId="12" borderId="5" xfId="0" applyNumberFormat="1" applyFont="1" applyFill="1" applyBorder="1" applyAlignment="1">
      <alignment horizontal="right"/>
    </xf>
    <xf numFmtId="173" fontId="0" fillId="16" borderId="5" xfId="0" applyFill="1" applyBorder="1"/>
    <xf numFmtId="10" fontId="10" fillId="14" borderId="14" xfId="3" applyNumberFormat="1" applyFont="1" applyFill="1" applyBorder="1" applyAlignment="1">
      <alignment horizontal="center"/>
    </xf>
    <xf numFmtId="168" fontId="12" fillId="7" borderId="0" xfId="1" applyNumberFormat="1" applyFont="1" applyFill="1" applyBorder="1" applyAlignment="1">
      <alignment horizontal="right"/>
    </xf>
    <xf numFmtId="10" fontId="6" fillId="14" borderId="14" xfId="3" applyNumberFormat="1" applyFont="1" applyFill="1" applyBorder="1" applyAlignment="1">
      <alignment horizontal="center"/>
    </xf>
    <xf numFmtId="168" fontId="12" fillId="3" borderId="8" xfId="1" quotePrefix="1" applyNumberFormat="1" applyFont="1" applyFill="1" applyBorder="1" applyAlignment="1">
      <alignment horizontal="right"/>
    </xf>
    <xf numFmtId="173" fontId="6" fillId="5" borderId="17" xfId="0" applyFont="1" applyFill="1" applyBorder="1"/>
    <xf numFmtId="10" fontId="29" fillId="17" borderId="14" xfId="3" applyNumberFormat="1" applyFont="1" applyFill="1" applyBorder="1" applyAlignment="1">
      <alignment horizontal="center"/>
    </xf>
    <xf numFmtId="192" fontId="12" fillId="7" borderId="0" xfId="0" applyNumberFormat="1" applyFont="1" applyFill="1" applyAlignment="1">
      <alignment horizontal="left"/>
    </xf>
    <xf numFmtId="193" fontId="6" fillId="3" borderId="5" xfId="0" applyNumberFormat="1" applyFont="1" applyFill="1" applyBorder="1"/>
    <xf numFmtId="43" fontId="6" fillId="3" borderId="5" xfId="1" applyFont="1" applyFill="1" applyBorder="1"/>
    <xf numFmtId="43" fontId="20" fillId="16" borderId="0" xfId="1" applyFont="1" applyFill="1" applyBorder="1" applyAlignment="1">
      <alignment horizontal="left"/>
    </xf>
    <xf numFmtId="168" fontId="12" fillId="8" borderId="2" xfId="1" applyNumberFormat="1" applyFont="1" applyFill="1" applyBorder="1" applyAlignment="1">
      <alignment horizontal="right"/>
    </xf>
    <xf numFmtId="174" fontId="12" fillId="8" borderId="2" xfId="0" applyNumberFormat="1" applyFont="1" applyFill="1" applyBorder="1" applyAlignment="1">
      <alignment horizontal="left"/>
    </xf>
    <xf numFmtId="176" fontId="10" fillId="2" borderId="14" xfId="0" applyNumberFormat="1" applyFont="1" applyFill="1" applyBorder="1" applyAlignment="1">
      <alignment horizontal="center"/>
    </xf>
    <xf numFmtId="173" fontId="22" fillId="8" borderId="1" xfId="0" applyFont="1" applyFill="1" applyBorder="1" applyAlignment="1">
      <alignment horizontal="left"/>
    </xf>
    <xf numFmtId="173" fontId="14" fillId="8" borderId="1" xfId="0" applyFont="1" applyFill="1" applyBorder="1"/>
    <xf numFmtId="186" fontId="10" fillId="2" borderId="21" xfId="0" applyNumberFormat="1" applyFont="1" applyFill="1" applyBorder="1" applyAlignment="1">
      <alignment horizontal="center"/>
    </xf>
    <xf numFmtId="173" fontId="6" fillId="8" borderId="20" xfId="0" applyFont="1" applyFill="1" applyBorder="1"/>
    <xf numFmtId="168" fontId="12" fillId="7" borderId="5" xfId="1" applyNumberFormat="1" applyFont="1" applyFill="1" applyBorder="1" applyAlignment="1">
      <alignment horizontal="right"/>
    </xf>
    <xf numFmtId="168" fontId="12" fillId="5" borderId="5" xfId="1" applyNumberFormat="1" applyFont="1" applyFill="1" applyBorder="1" applyAlignment="1">
      <alignment horizontal="right"/>
    </xf>
    <xf numFmtId="10" fontId="10" fillId="4" borderId="14" xfId="3" applyNumberFormat="1" applyFont="1" applyFill="1" applyBorder="1" applyAlignment="1">
      <alignment horizontal="center"/>
    </xf>
    <xf numFmtId="165" fontId="12" fillId="2" borderId="14" xfId="2" applyNumberFormat="1" applyFont="1" applyFill="1" applyBorder="1" applyAlignment="1">
      <alignment horizontal="right"/>
    </xf>
    <xf numFmtId="170" fontId="6" fillId="3" borderId="0" xfId="1" applyNumberFormat="1" applyFont="1" applyFill="1" applyBorder="1"/>
    <xf numFmtId="10" fontId="30" fillId="18" borderId="14" xfId="3" applyNumberFormat="1" applyFont="1" applyFill="1" applyBorder="1" applyAlignment="1">
      <alignment horizontal="center"/>
    </xf>
    <xf numFmtId="168" fontId="12" fillId="5" borderId="0" xfId="1" applyNumberFormat="1" applyFont="1" applyFill="1" applyBorder="1" applyAlignment="1">
      <alignment horizontal="right"/>
    </xf>
    <xf numFmtId="10" fontId="10" fillId="17" borderId="15" xfId="3" applyNumberFormat="1" applyFont="1" applyFill="1" applyBorder="1" applyAlignment="1">
      <alignment horizontal="center"/>
    </xf>
    <xf numFmtId="168" fontId="12" fillId="5" borderId="6" xfId="1" applyNumberFormat="1" applyFont="1" applyFill="1" applyBorder="1" applyAlignment="1">
      <alignment horizontal="right"/>
    </xf>
    <xf numFmtId="173" fontId="6" fillId="3" borderId="12" xfId="0" applyFont="1" applyFill="1" applyBorder="1"/>
    <xf numFmtId="168" fontId="12" fillId="3" borderId="12" xfId="1" applyNumberFormat="1" applyFont="1" applyFill="1" applyBorder="1" applyAlignment="1">
      <alignment horizontal="right"/>
    </xf>
    <xf numFmtId="10" fontId="10" fillId="3" borderId="12" xfId="3" applyNumberFormat="1" applyFont="1" applyFill="1" applyBorder="1" applyAlignment="1">
      <alignment horizontal="center"/>
    </xf>
    <xf numFmtId="170" fontId="6" fillId="3" borderId="1" xfId="1" applyNumberFormat="1" applyFont="1" applyFill="1" applyBorder="1"/>
    <xf numFmtId="168" fontId="6" fillId="3" borderId="0" xfId="1" applyNumberFormat="1" applyFont="1" applyFill="1" applyBorder="1"/>
    <xf numFmtId="173" fontId="1" fillId="16" borderId="2" xfId="0" applyFont="1" applyFill="1" applyBorder="1"/>
    <xf numFmtId="173" fontId="1" fillId="16" borderId="2" xfId="0" applyFont="1" applyFill="1" applyBorder="1" applyAlignment="1">
      <alignment horizontal="center"/>
    </xf>
    <xf numFmtId="40" fontId="0" fillId="16" borderId="2" xfId="0" applyNumberFormat="1" applyFill="1" applyBorder="1"/>
    <xf numFmtId="173" fontId="21" fillId="16" borderId="5" xfId="0" applyFont="1" applyFill="1" applyBorder="1" applyAlignment="1">
      <alignment horizontal="right"/>
    </xf>
    <xf numFmtId="165" fontId="6" fillId="16" borderId="0" xfId="2" applyNumberFormat="1" applyFont="1" applyFill="1" applyBorder="1"/>
    <xf numFmtId="6" fontId="6" fillId="16" borderId="0" xfId="2" applyNumberFormat="1" applyFont="1" applyFill="1" applyBorder="1"/>
    <xf numFmtId="38" fontId="6" fillId="16" borderId="0" xfId="0" applyNumberFormat="1" applyFont="1" applyFill="1"/>
    <xf numFmtId="38" fontId="6" fillId="16" borderId="0" xfId="1" applyNumberFormat="1" applyFont="1" applyFill="1" applyBorder="1"/>
    <xf numFmtId="181" fontId="6" fillId="16" borderId="5" xfId="0" applyNumberFormat="1" applyFont="1" applyFill="1" applyBorder="1" applyAlignment="1">
      <alignment horizontal="right"/>
    </xf>
    <xf numFmtId="171" fontId="6" fillId="16" borderId="0" xfId="1" applyNumberFormat="1" applyFont="1" applyFill="1" applyBorder="1"/>
    <xf numFmtId="14" fontId="8" fillId="16" borderId="0" xfId="0" applyNumberFormat="1" applyFont="1" applyFill="1" applyAlignment="1">
      <alignment horizontal="center"/>
    </xf>
    <xf numFmtId="6" fontId="7" fillId="16" borderId="0" xfId="0" applyNumberFormat="1" applyFont="1" applyFill="1" applyAlignment="1">
      <alignment horizontal="right"/>
    </xf>
    <xf numFmtId="40" fontId="1" fillId="16" borderId="6" xfId="0" applyNumberFormat="1" applyFont="1" applyFill="1" applyBorder="1" applyAlignment="1">
      <alignment horizontal="right"/>
    </xf>
    <xf numFmtId="6" fontId="12" fillId="16" borderId="0" xfId="0" applyNumberFormat="1" applyFont="1" applyFill="1" applyAlignment="1">
      <alignment horizontal="center"/>
    </xf>
    <xf numFmtId="14" fontId="8" fillId="16" borderId="1" xfId="0" applyNumberFormat="1" applyFont="1" applyFill="1" applyBorder="1" applyAlignment="1">
      <alignment horizontal="center"/>
    </xf>
    <xf numFmtId="14" fontId="6" fillId="16" borderId="12" xfId="0" applyNumberFormat="1" applyFont="1" applyFill="1" applyBorder="1" applyAlignment="1">
      <alignment horizontal="center"/>
    </xf>
    <xf numFmtId="6" fontId="7" fillId="16" borderId="12" xfId="0" applyNumberFormat="1" applyFont="1" applyFill="1" applyBorder="1" applyAlignment="1">
      <alignment horizontal="right"/>
    </xf>
    <xf numFmtId="6" fontId="12" fillId="16" borderId="13" xfId="0" applyNumberFormat="1" applyFont="1" applyFill="1" applyBorder="1" applyAlignment="1">
      <alignment horizontal="right"/>
    </xf>
    <xf numFmtId="40" fontId="1" fillId="16" borderId="20" xfId="0" applyNumberFormat="1" applyFont="1" applyFill="1" applyBorder="1" applyAlignment="1">
      <alignment horizontal="right"/>
    </xf>
    <xf numFmtId="173" fontId="16" fillId="16" borderId="22" xfId="0" applyFont="1" applyFill="1" applyBorder="1"/>
    <xf numFmtId="6" fontId="25" fillId="16" borderId="5" xfId="0" applyNumberFormat="1" applyFont="1" applyFill="1" applyBorder="1" applyAlignment="1">
      <alignment horizontal="right"/>
    </xf>
    <xf numFmtId="173" fontId="15" fillId="16" borderId="2" xfId="0" applyFont="1" applyFill="1" applyBorder="1" applyAlignment="1">
      <alignment horizontal="left"/>
    </xf>
    <xf numFmtId="173" fontId="6" fillId="3" borderId="9" xfId="0" applyFont="1" applyFill="1" applyBorder="1"/>
    <xf numFmtId="168" fontId="12" fillId="3" borderId="10" xfId="1" applyNumberFormat="1" applyFont="1" applyFill="1" applyBorder="1" applyAlignment="1">
      <alignment horizontal="right"/>
    </xf>
    <xf numFmtId="173" fontId="12" fillId="3" borderId="4" xfId="0" applyFont="1" applyFill="1" applyBorder="1" applyAlignment="1">
      <alignment horizontal="right"/>
    </xf>
    <xf numFmtId="168" fontId="12" fillId="3" borderId="4" xfId="1" quotePrefix="1" applyNumberFormat="1" applyFont="1" applyFill="1" applyBorder="1" applyAlignment="1">
      <alignment horizontal="right"/>
    </xf>
    <xf numFmtId="10" fontId="12" fillId="15" borderId="14" xfId="3" applyNumberFormat="1" applyFont="1" applyFill="1" applyBorder="1" applyAlignment="1">
      <alignment horizontal="center"/>
    </xf>
    <xf numFmtId="6" fontId="11" fillId="16" borderId="0" xfId="0" applyNumberFormat="1" applyFont="1" applyFill="1" applyAlignment="1">
      <alignment horizontal="right"/>
    </xf>
    <xf numFmtId="173" fontId="0" fillId="9" borderId="12" xfId="0" applyFill="1" applyBorder="1"/>
    <xf numFmtId="6" fontId="11" fillId="12" borderId="0" xfId="0" applyNumberFormat="1" applyFont="1" applyFill="1" applyAlignment="1">
      <alignment horizontal="right"/>
    </xf>
    <xf numFmtId="6" fontId="12" fillId="9" borderId="13" xfId="0" applyNumberFormat="1" applyFont="1" applyFill="1" applyBorder="1" applyAlignment="1">
      <alignment horizontal="right"/>
    </xf>
    <xf numFmtId="10" fontId="12" fillId="4" borderId="14" xfId="3" applyNumberFormat="1" applyFont="1" applyFill="1" applyBorder="1" applyAlignment="1">
      <alignment horizontal="center"/>
    </xf>
    <xf numFmtId="165" fontId="10" fillId="16" borderId="0" xfId="2" applyNumberFormat="1" applyFont="1" applyFill="1" applyBorder="1"/>
    <xf numFmtId="14" fontId="10" fillId="7" borderId="0" xfId="0" applyNumberFormat="1" applyFont="1" applyFill="1" applyAlignment="1">
      <alignment horizontal="left"/>
    </xf>
    <xf numFmtId="174" fontId="12" fillId="7" borderId="0" xfId="0" applyNumberFormat="1" applyFont="1" applyFill="1" applyAlignment="1">
      <alignment horizontal="right"/>
    </xf>
    <xf numFmtId="173" fontId="6" fillId="6" borderId="11" xfId="0" applyFont="1" applyFill="1" applyBorder="1" applyAlignment="1">
      <alignment horizontal="right"/>
    </xf>
    <xf numFmtId="173" fontId="0" fillId="6" borderId="12" xfId="0" applyFill="1" applyBorder="1"/>
    <xf numFmtId="173" fontId="12" fillId="6" borderId="12" xfId="0" applyFont="1" applyFill="1" applyBorder="1" applyAlignment="1">
      <alignment horizontal="right"/>
    </xf>
    <xf numFmtId="174" fontId="12" fillId="6" borderId="12" xfId="0" applyNumberFormat="1" applyFont="1" applyFill="1" applyBorder="1" applyAlignment="1">
      <alignment horizontal="center"/>
    </xf>
    <xf numFmtId="14" fontId="10" fillId="6" borderId="12" xfId="0" applyNumberFormat="1" applyFont="1" applyFill="1" applyBorder="1" applyAlignment="1">
      <alignment horizontal="left"/>
    </xf>
    <xf numFmtId="168" fontId="6" fillId="6" borderId="12" xfId="1" applyNumberFormat="1" applyFont="1" applyFill="1" applyBorder="1"/>
    <xf numFmtId="173" fontId="6" fillId="6" borderId="13" xfId="0" applyFont="1" applyFill="1" applyBorder="1"/>
    <xf numFmtId="181" fontId="10" fillId="2" borderId="9" xfId="0" applyNumberFormat="1" applyFont="1" applyFill="1" applyBorder="1" applyAlignment="1">
      <alignment horizontal="center"/>
    </xf>
    <xf numFmtId="173" fontId="6" fillId="2" borderId="10" xfId="0" applyFont="1" applyFill="1" applyBorder="1"/>
    <xf numFmtId="181" fontId="10" fillId="2" borderId="3" xfId="0" applyNumberFormat="1" applyFont="1" applyFill="1" applyBorder="1" applyAlignment="1">
      <alignment horizontal="center"/>
    </xf>
    <xf numFmtId="173" fontId="6" fillId="2" borderId="4" xfId="0" applyFont="1" applyFill="1" applyBorder="1"/>
    <xf numFmtId="181" fontId="12" fillId="7" borderId="0" xfId="0" applyNumberFormat="1" applyFont="1" applyFill="1" applyAlignment="1">
      <alignment horizontal="center"/>
    </xf>
    <xf numFmtId="173" fontId="6" fillId="7" borderId="0" xfId="0" applyFont="1" applyFill="1"/>
    <xf numFmtId="181" fontId="12" fillId="8" borderId="0" xfId="0" applyNumberFormat="1" applyFont="1" applyFill="1" applyAlignment="1">
      <alignment horizontal="left"/>
    </xf>
    <xf numFmtId="173" fontId="6" fillId="8" borderId="6" xfId="0" applyFont="1" applyFill="1" applyBorder="1" applyAlignment="1">
      <alignment horizontal="left"/>
    </xf>
    <xf numFmtId="181" fontId="12" fillId="8" borderId="3" xfId="0" applyNumberFormat="1" applyFont="1" applyFill="1" applyBorder="1" applyAlignment="1">
      <alignment horizontal="center"/>
    </xf>
    <xf numFmtId="173" fontId="6" fillId="8" borderId="0" xfId="0" applyFont="1" applyFill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3E0DF1"/>
      <color rgb="FF99FFCC"/>
      <color rgb="FFFF3399"/>
      <color rgb="FFCCFFCC"/>
      <color rgb="FFFFFFCC"/>
      <color rgb="FF990000"/>
      <color rgb="FFCC66FF"/>
      <color rgb="FFFFCCFF"/>
      <color rgb="FFFF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92D050"/>
  </sheetPr>
  <dimension ref="B1:N132"/>
  <sheetViews>
    <sheetView tabSelected="1" zoomScale="65" zoomScaleNormal="65" workbookViewId="0">
      <selection activeCell="C3" sqref="C3"/>
    </sheetView>
  </sheetViews>
  <sheetFormatPr defaultRowHeight="13.2" x14ac:dyDescent="0.25"/>
  <cols>
    <col min="1" max="1" width="1.5546875" customWidth="1"/>
    <col min="2" max="2" width="35.109375" customWidth="1"/>
    <col min="3" max="3" width="17.88671875" customWidth="1"/>
    <col min="4" max="4" width="16.88671875" customWidth="1"/>
    <col min="5" max="5" width="17.109375" customWidth="1"/>
    <col min="6" max="6" width="20.5546875" customWidth="1"/>
    <col min="7" max="7" width="17.44140625" customWidth="1"/>
    <col min="8" max="8" width="15.33203125" customWidth="1"/>
    <col min="9" max="9" width="35.109375" customWidth="1"/>
    <col min="10" max="10" width="25.88671875" customWidth="1"/>
    <col min="11" max="11" width="17.88671875" customWidth="1"/>
    <col min="12" max="12" width="14.5546875" customWidth="1"/>
    <col min="13" max="13" width="28" customWidth="1"/>
    <col min="14" max="14" width="35.33203125" customWidth="1"/>
  </cols>
  <sheetData>
    <row r="1" spans="2:14" ht="14.4" x14ac:dyDescent="0.3">
      <c r="B1" s="10"/>
      <c r="C1" s="1"/>
      <c r="D1" s="1"/>
      <c r="E1" s="1"/>
      <c r="F1" s="1"/>
      <c r="G1" s="1"/>
      <c r="M1" s="1"/>
      <c r="N1" s="1"/>
    </row>
    <row r="2" spans="2:14" ht="24.6" x14ac:dyDescent="0.4">
      <c r="B2" s="229"/>
      <c r="C2" s="230" t="s">
        <v>61</v>
      </c>
      <c r="D2" s="59"/>
      <c r="E2" s="59"/>
      <c r="F2" s="59"/>
      <c r="G2" s="59"/>
      <c r="H2" s="59"/>
      <c r="I2" s="59"/>
      <c r="J2" s="59"/>
      <c r="K2" s="59"/>
      <c r="L2" s="76"/>
      <c r="M2" s="76" t="s">
        <v>33</v>
      </c>
      <c r="N2" s="73"/>
    </row>
    <row r="3" spans="2:14" ht="21" x14ac:dyDescent="0.4">
      <c r="B3" s="228"/>
      <c r="C3" s="74" t="s">
        <v>38</v>
      </c>
      <c r="D3" s="60"/>
      <c r="E3" s="60"/>
      <c r="F3" s="60"/>
      <c r="G3" s="60"/>
      <c r="H3" s="74" t="s">
        <v>39</v>
      </c>
      <c r="I3" s="60"/>
      <c r="J3" s="60"/>
      <c r="K3" s="60"/>
      <c r="L3" s="60"/>
      <c r="M3" s="60"/>
      <c r="N3" s="75"/>
    </row>
    <row r="4" spans="2:14" ht="26.25" customHeight="1" x14ac:dyDescent="0.3">
      <c r="B4" s="9"/>
      <c r="C4" s="6"/>
      <c r="D4" s="6"/>
      <c r="E4" s="61" t="s">
        <v>2</v>
      </c>
      <c r="F4" s="332">
        <v>43753</v>
      </c>
      <c r="G4" s="333"/>
      <c r="H4" s="6"/>
      <c r="I4" s="6"/>
      <c r="J4" s="6"/>
      <c r="K4" s="6"/>
      <c r="L4" s="6"/>
      <c r="M4" s="6"/>
      <c r="N4" s="7"/>
    </row>
    <row r="5" spans="2:14" ht="15.75" customHeight="1" x14ac:dyDescent="0.3">
      <c r="B5" s="9"/>
      <c r="C5" s="80"/>
      <c r="D5" s="81"/>
      <c r="E5" s="70" t="s">
        <v>47</v>
      </c>
      <c r="F5" s="80"/>
      <c r="G5" s="81"/>
      <c r="H5" s="81"/>
      <c r="I5" s="81"/>
      <c r="J5" s="81"/>
      <c r="K5" s="81"/>
      <c r="L5" s="81"/>
      <c r="M5" s="81"/>
      <c r="N5" s="263"/>
    </row>
    <row r="6" spans="2:14" ht="15.75" customHeight="1" x14ac:dyDescent="0.3">
      <c r="B6" s="9"/>
      <c r="C6" s="82"/>
      <c r="D6" s="83"/>
      <c r="E6" s="66" t="s">
        <v>45</v>
      </c>
      <c r="F6" s="259">
        <v>0.06</v>
      </c>
      <c r="G6" s="83"/>
      <c r="H6" s="83"/>
      <c r="I6" s="83"/>
      <c r="J6" s="83"/>
      <c r="K6" s="83"/>
      <c r="L6" s="83"/>
      <c r="M6" s="83"/>
      <c r="N6" s="84"/>
    </row>
    <row r="7" spans="2:14" ht="15.75" customHeight="1" x14ac:dyDescent="0.3">
      <c r="B7" s="9"/>
      <c r="C7" s="82"/>
      <c r="D7" s="83"/>
      <c r="E7" s="277" t="s">
        <v>4</v>
      </c>
      <c r="F7" s="278">
        <v>0.05</v>
      </c>
      <c r="G7" s="83"/>
      <c r="H7" s="83"/>
      <c r="I7" s="83"/>
      <c r="J7" s="83"/>
      <c r="K7" s="83"/>
      <c r="L7" s="83"/>
      <c r="M7" s="83"/>
      <c r="N7" s="84"/>
    </row>
    <row r="8" spans="2:14" ht="15.75" customHeight="1" x14ac:dyDescent="0.3">
      <c r="B8" s="266"/>
      <c r="C8" s="82"/>
      <c r="D8" s="83"/>
      <c r="E8" s="66" t="s">
        <v>24</v>
      </c>
      <c r="F8" s="283">
        <v>0</v>
      </c>
      <c r="G8" s="282"/>
      <c r="H8" s="282"/>
      <c r="I8" s="282"/>
      <c r="J8" s="282"/>
      <c r="K8" s="282"/>
      <c r="L8" s="282"/>
      <c r="M8" s="282"/>
      <c r="N8" s="284"/>
    </row>
    <row r="9" spans="2:14" ht="5.0999999999999996" customHeight="1" x14ac:dyDescent="0.3">
      <c r="B9" s="266"/>
      <c r="C9" s="285"/>
      <c r="D9" s="285"/>
      <c r="E9" s="286"/>
      <c r="F9" s="287"/>
      <c r="G9" s="286"/>
      <c r="H9" s="286"/>
      <c r="I9" s="286"/>
      <c r="J9" s="286"/>
      <c r="K9" s="286"/>
      <c r="L9" s="286"/>
      <c r="M9" s="286"/>
      <c r="N9" s="286"/>
    </row>
    <row r="10" spans="2:14" ht="15.75" customHeight="1" x14ac:dyDescent="0.3">
      <c r="B10" s="267"/>
      <c r="C10" s="85"/>
      <c r="D10" s="86"/>
      <c r="E10" s="67" t="s">
        <v>40</v>
      </c>
      <c r="F10" s="334">
        <v>22555</v>
      </c>
      <c r="G10" s="335"/>
      <c r="H10" s="86"/>
      <c r="I10" s="260" t="s">
        <v>22</v>
      </c>
      <c r="J10" s="235">
        <f>DATEDIF(F10,F4,"D")/365.25</f>
        <v>58.036960985626287</v>
      </c>
      <c r="K10" s="77"/>
      <c r="L10" s="78"/>
      <c r="M10" s="77"/>
      <c r="N10" s="79"/>
    </row>
    <row r="11" spans="2:14" ht="15.75" customHeight="1" x14ac:dyDescent="0.3">
      <c r="B11" s="9"/>
      <c r="C11" s="85"/>
      <c r="D11" s="86"/>
      <c r="E11" s="67" t="s">
        <v>41</v>
      </c>
      <c r="F11" s="271">
        <v>199</v>
      </c>
      <c r="G11" s="64">
        <v>0</v>
      </c>
      <c r="H11" s="65">
        <v>0</v>
      </c>
      <c r="I11" s="232" t="s">
        <v>3</v>
      </c>
      <c r="J11" s="235">
        <f>IF(ISNUMBER(DATEDIF(F4,F12,"D")/365.25),DATEDIF(F4,F12,"D")/365.25,"N/A")</f>
        <v>140.95824777549623</v>
      </c>
      <c r="K11" s="77"/>
      <c r="L11" s="77"/>
      <c r="M11" s="77"/>
      <c r="N11" s="79"/>
    </row>
    <row r="12" spans="2:14" ht="15.75" customHeight="1" x14ac:dyDescent="0.3">
      <c r="B12" s="9"/>
      <c r="C12" s="85"/>
      <c r="D12" s="86"/>
      <c r="E12" s="67" t="s">
        <v>42</v>
      </c>
      <c r="F12" s="336">
        <f>IF(F10&gt;0,DATE(YEAR(F10)+F11,MONTH(F10)+G11,DAY(F10)+H11-1),"N/A")</f>
        <v>95238</v>
      </c>
      <c r="G12" s="337"/>
      <c r="H12" s="86"/>
      <c r="I12" s="86"/>
      <c r="J12" s="236"/>
      <c r="K12" s="232"/>
      <c r="L12" s="324"/>
      <c r="M12" s="323"/>
      <c r="N12" s="79"/>
    </row>
    <row r="13" spans="2:14" ht="15.75" customHeight="1" x14ac:dyDescent="0.3">
      <c r="B13" s="9"/>
      <c r="C13" s="85"/>
      <c r="D13" s="86"/>
      <c r="E13" s="67" t="s">
        <v>46</v>
      </c>
      <c r="F13" s="233">
        <v>0</v>
      </c>
      <c r="G13" s="86"/>
      <c r="H13" s="260" t="s">
        <v>48</v>
      </c>
      <c r="I13" s="265">
        <f>F22-F13</f>
        <v>60</v>
      </c>
      <c r="J13" s="236"/>
      <c r="K13" s="232"/>
      <c r="L13" s="324"/>
      <c r="M13" s="323"/>
      <c r="N13" s="87"/>
    </row>
    <row r="14" spans="2:14" ht="15.75" customHeight="1" x14ac:dyDescent="0.3">
      <c r="B14" s="267"/>
      <c r="C14" s="85"/>
      <c r="D14" s="86"/>
      <c r="E14" s="67" t="s">
        <v>45</v>
      </c>
      <c r="F14" s="281">
        <v>0.06</v>
      </c>
      <c r="G14" s="86"/>
      <c r="H14" s="86"/>
      <c r="I14" s="86"/>
      <c r="J14" s="77"/>
      <c r="K14" s="232"/>
      <c r="L14" s="324"/>
      <c r="M14" s="323"/>
      <c r="N14" s="79"/>
    </row>
    <row r="15" spans="2:14" ht="15.75" customHeight="1" x14ac:dyDescent="0.3">
      <c r="B15" s="267"/>
      <c r="C15" s="85"/>
      <c r="D15" s="86"/>
      <c r="E15" s="276" t="s">
        <v>4</v>
      </c>
      <c r="F15" s="71">
        <v>5.5E-2</v>
      </c>
      <c r="G15" s="86"/>
      <c r="H15" s="86"/>
      <c r="I15" s="86"/>
      <c r="J15" s="77"/>
      <c r="K15" s="77"/>
      <c r="L15" s="77"/>
      <c r="M15" s="77"/>
      <c r="N15" s="79"/>
    </row>
    <row r="16" spans="2:14" ht="15.75" customHeight="1" x14ac:dyDescent="0.3">
      <c r="B16" s="267"/>
      <c r="C16" s="85"/>
      <c r="D16" s="86"/>
      <c r="E16" s="254" t="s">
        <v>23</v>
      </c>
      <c r="F16" s="72">
        <v>0</v>
      </c>
      <c r="G16" s="86"/>
      <c r="H16" s="86"/>
      <c r="I16" s="86"/>
      <c r="J16" s="236"/>
      <c r="K16" s="86"/>
      <c r="L16" s="86"/>
      <c r="M16" s="86"/>
      <c r="N16" s="87"/>
    </row>
    <row r="17" spans="2:14" ht="15.75" customHeight="1" x14ac:dyDescent="0.3">
      <c r="B17" s="267"/>
      <c r="C17" s="85"/>
      <c r="D17" s="86"/>
      <c r="E17" s="67" t="s">
        <v>24</v>
      </c>
      <c r="F17" s="255">
        <v>0</v>
      </c>
      <c r="G17" s="86"/>
      <c r="H17" s="86"/>
      <c r="I17" s="86"/>
      <c r="J17" s="86"/>
      <c r="K17" s="86"/>
      <c r="L17" s="86"/>
      <c r="M17" s="86"/>
      <c r="N17" s="87"/>
    </row>
    <row r="18" spans="2:14" ht="15.6" x14ac:dyDescent="0.3">
      <c r="B18" s="266"/>
      <c r="C18" s="285"/>
      <c r="D18" s="285"/>
      <c r="E18" s="286"/>
      <c r="F18" s="287"/>
      <c r="G18" s="286"/>
      <c r="H18" s="286"/>
      <c r="I18" s="286"/>
      <c r="J18" s="286"/>
      <c r="K18" s="286"/>
      <c r="L18" s="286"/>
      <c r="M18" s="286"/>
      <c r="N18" s="286"/>
    </row>
    <row r="19" spans="2:14" ht="15.75" customHeight="1" x14ac:dyDescent="0.3">
      <c r="B19" s="267"/>
      <c r="C19" s="251"/>
      <c r="D19" s="252"/>
      <c r="E19" s="253" t="s">
        <v>49</v>
      </c>
      <c r="F19" s="334">
        <v>22555</v>
      </c>
      <c r="G19" s="335"/>
      <c r="H19" s="252"/>
      <c r="I19" s="269" t="s">
        <v>22</v>
      </c>
      <c r="J19" s="270">
        <f>DATEDIF(F19,F4,"D")/365.25</f>
        <v>58.036960985626287</v>
      </c>
      <c r="K19" s="269" t="s">
        <v>7</v>
      </c>
      <c r="L19" s="271">
        <v>90</v>
      </c>
      <c r="M19" s="64">
        <v>0</v>
      </c>
      <c r="N19" s="274">
        <v>0</v>
      </c>
    </row>
    <row r="20" spans="2:14" ht="15.75" customHeight="1" x14ac:dyDescent="0.3">
      <c r="B20" s="267"/>
      <c r="C20" s="88"/>
      <c r="D20" s="89"/>
      <c r="E20" s="68" t="s">
        <v>50</v>
      </c>
      <c r="F20" s="271">
        <v>114</v>
      </c>
      <c r="G20" s="64">
        <v>0</v>
      </c>
      <c r="H20" s="65">
        <v>0</v>
      </c>
      <c r="I20" s="231" t="s">
        <v>3</v>
      </c>
      <c r="J20" s="237">
        <f>IF(ISNUMBER(DATEDIF(F4,F21,"D")/365.25),DATEDIF(F4,F21,"D")/365.25,"N/A")</f>
        <v>55.958932238193022</v>
      </c>
      <c r="K20" s="234"/>
      <c r="L20" s="231" t="s">
        <v>8</v>
      </c>
      <c r="M20" s="338">
        <f>IF(F19&gt;0,DATE(YEAR(F21)+L19,MONTH(F21)+M19,DAY(F21)+N19),"N/A")</f>
        <v>97064</v>
      </c>
      <c r="N20" s="339"/>
    </row>
    <row r="21" spans="2:14" ht="15.75" customHeight="1" x14ac:dyDescent="0.3">
      <c r="B21" s="267"/>
      <c r="C21" s="88"/>
      <c r="D21" s="89"/>
      <c r="E21" s="68" t="s">
        <v>51</v>
      </c>
      <c r="F21" s="340">
        <f>IF(F19&gt;0,DATE(YEAR(F19)+F20,MONTH(F19)+G20,DAY(F19)+H20-1),"N/A")</f>
        <v>64192</v>
      </c>
      <c r="G21" s="341"/>
      <c r="H21" s="89"/>
      <c r="I21" s="89"/>
      <c r="J21" s="238" t="str">
        <f>IF(ISNUMBER(DATEDIF(F4,F21,"y")&amp;" years,"&amp; DATEDIF(F4,F21,"ym") &amp;" month(s), "&amp; DATEDIF(F4,F21,"md")&amp;" Days"),DATEDIF(F4,F21,"y")&amp;" years,"&amp; DATEDIF(F4,F21,"ym") &amp;" month(s), "&amp; DATEDIF(F4,F21,"md")&amp;" Days","N/A")</f>
        <v>N/A</v>
      </c>
      <c r="K21" s="239"/>
      <c r="L21" s="231" t="s">
        <v>9</v>
      </c>
      <c r="M21" s="237">
        <f>IF(ISNUMBER(DATEDIF(F4,M20,"D")/365.25),DATEDIF(F4,M20,"D")/365.25,"N/A")</f>
        <v>145.95756331279946</v>
      </c>
      <c r="N21" s="240" t="str">
        <f>IF(ISNUMBER(DATEDIF(F4,M20,"y")&amp;" years,"&amp; DATEDIF(F4,M20,"ym") &amp;" month(s), "&amp; DATEDIF(F4,M20,"md")&amp;" Days"),DATEDIF(F4,M20,"y")&amp;" years,"&amp; DATEDIF(F4,M20,"ym") &amp;" month(s), "&amp; DATEDIF(F4,M20,"md")&amp;" Days","N/A")</f>
        <v>N/A</v>
      </c>
    </row>
    <row r="22" spans="2:14" ht="15.75" customHeight="1" x14ac:dyDescent="0.3">
      <c r="B22" s="267"/>
      <c r="C22" s="91"/>
      <c r="D22" s="92"/>
      <c r="E22" s="69" t="s">
        <v>46</v>
      </c>
      <c r="F22" s="248">
        <v>60</v>
      </c>
      <c r="G22" s="272" t="s">
        <v>37</v>
      </c>
      <c r="H22" s="273"/>
      <c r="I22" s="273"/>
      <c r="J22" s="273"/>
      <c r="K22" s="273"/>
      <c r="L22" s="273"/>
      <c r="M22" s="92"/>
      <c r="N22" s="275"/>
    </row>
    <row r="23" spans="2:14" ht="5.0999999999999996" customHeight="1" x14ac:dyDescent="0.3">
      <c r="B23" s="266"/>
      <c r="C23" s="285"/>
      <c r="D23" s="285"/>
      <c r="E23" s="286"/>
      <c r="F23" s="287"/>
      <c r="G23" s="286"/>
      <c r="H23" s="286"/>
      <c r="I23" s="286"/>
      <c r="J23" s="286"/>
      <c r="K23" s="286"/>
      <c r="L23" s="286"/>
      <c r="M23" s="286"/>
      <c r="N23" s="286"/>
    </row>
    <row r="24" spans="2:14" ht="15.75" customHeight="1" x14ac:dyDescent="0.3">
      <c r="B24" s="267"/>
      <c r="C24" s="312"/>
      <c r="D24" s="250"/>
      <c r="E24" s="313" t="s">
        <v>21</v>
      </c>
      <c r="F24" s="90">
        <f>F26/(1-F25)</f>
        <v>141919</v>
      </c>
      <c r="G24" s="6"/>
      <c r="H24" s="6"/>
      <c r="I24" s="6"/>
      <c r="J24" s="6"/>
      <c r="K24" s="6"/>
      <c r="L24" s="6"/>
      <c r="M24" s="6"/>
      <c r="N24" s="94"/>
    </row>
    <row r="25" spans="2:14" ht="15.75" customHeight="1" x14ac:dyDescent="0.3">
      <c r="B25" s="267"/>
      <c r="C25" s="93"/>
      <c r="D25" s="6"/>
      <c r="E25" s="62" t="s">
        <v>44</v>
      </c>
      <c r="F25" s="95">
        <v>0.01</v>
      </c>
      <c r="G25" s="6"/>
      <c r="H25" s="6"/>
      <c r="I25" s="6"/>
      <c r="J25" s="6"/>
      <c r="K25" s="280"/>
      <c r="L25" s="280"/>
      <c r="M25" s="6"/>
      <c r="N25" s="94"/>
    </row>
    <row r="26" spans="2:14" ht="15.75" customHeight="1" x14ac:dyDescent="0.3">
      <c r="B26" s="267"/>
      <c r="C26" s="93"/>
      <c r="D26" s="6"/>
      <c r="E26" s="62" t="s">
        <v>43</v>
      </c>
      <c r="F26" s="90">
        <f>G26*I26</f>
        <v>140499.81</v>
      </c>
      <c r="G26" s="96">
        <v>223.12601880788134</v>
      </c>
      <c r="H26" s="97">
        <f>I26/10.7639</f>
        <v>58.5</v>
      </c>
      <c r="I26" s="98">
        <v>629.68814999999995</v>
      </c>
      <c r="J26" s="6"/>
      <c r="K26" s="280"/>
      <c r="L26" s="280"/>
      <c r="M26" s="99"/>
      <c r="N26" s="94"/>
    </row>
    <row r="27" spans="2:14" ht="15.75" customHeight="1" x14ac:dyDescent="0.3">
      <c r="B27" s="267"/>
      <c r="C27" s="93"/>
      <c r="D27" s="6"/>
      <c r="E27" s="314" t="s">
        <v>60</v>
      </c>
      <c r="F27" s="95">
        <v>0.75319999999999998</v>
      </c>
      <c r="G27" s="6"/>
      <c r="H27" s="6"/>
      <c r="I27" s="6"/>
      <c r="J27" s="6"/>
      <c r="K27" s="280"/>
      <c r="L27" s="280"/>
      <c r="M27" s="99"/>
      <c r="N27" s="94"/>
    </row>
    <row r="28" spans="2:14" ht="15.75" customHeight="1" x14ac:dyDescent="0.3">
      <c r="B28" s="9"/>
      <c r="C28" s="93"/>
      <c r="D28" s="6"/>
      <c r="E28" s="315" t="s">
        <v>59</v>
      </c>
      <c r="F28" s="279">
        <f>IF(ISNUMBER(F24*F27),F24*F27,"0")</f>
        <v>106893.39079999999</v>
      </c>
      <c r="G28" s="6"/>
      <c r="H28" s="6"/>
      <c r="I28" s="6"/>
      <c r="J28" s="99"/>
      <c r="K28" s="280"/>
      <c r="L28" s="289"/>
      <c r="M28" s="6"/>
      <c r="N28" s="94"/>
    </row>
    <row r="29" spans="2:14" ht="15.75" customHeight="1" x14ac:dyDescent="0.3">
      <c r="B29" s="9"/>
      <c r="C29" s="93"/>
      <c r="D29" s="6"/>
      <c r="E29" s="314" t="s">
        <v>57</v>
      </c>
      <c r="F29" s="95">
        <v>0.91699490554471219</v>
      </c>
      <c r="G29" s="325"/>
      <c r="H29" s="326"/>
      <c r="I29" s="327" t="s">
        <v>53</v>
      </c>
      <c r="J29" s="328">
        <f>IF(ISNUMBER(DATEDIF(F21,F12,"D")/365.25),DATEDIF(F21,F12,"D")/365.25,"N/A")</f>
        <v>84.999315537303218</v>
      </c>
      <c r="K29" s="329" t="s">
        <v>52</v>
      </c>
      <c r="L29" s="330"/>
      <c r="M29" s="331"/>
      <c r="N29" s="94"/>
    </row>
    <row r="30" spans="2:14" ht="15.75" customHeight="1" x14ac:dyDescent="0.3">
      <c r="B30" s="9"/>
      <c r="C30" s="100"/>
      <c r="D30" s="8"/>
      <c r="E30" s="262" t="s">
        <v>58</v>
      </c>
      <c r="F30" s="279">
        <f>IF(ISNUMBER(F24*F29),F24*F29,"0")</f>
        <v>130139.00000000001</v>
      </c>
      <c r="G30" s="6"/>
      <c r="H30" s="6"/>
      <c r="I30" s="6"/>
      <c r="J30" s="99"/>
      <c r="K30" s="280"/>
      <c r="L30" s="289"/>
      <c r="M30" s="6"/>
      <c r="N30" s="94"/>
    </row>
    <row r="31" spans="2:14" ht="15.75" customHeight="1" x14ac:dyDescent="0.3">
      <c r="B31" s="101"/>
      <c r="C31" s="8"/>
      <c r="D31" s="8"/>
      <c r="E31" s="8"/>
      <c r="F31" s="8"/>
      <c r="G31" s="8"/>
      <c r="H31" s="8"/>
      <c r="I31" s="8"/>
      <c r="J31" s="8"/>
      <c r="K31" s="288"/>
      <c r="L31" s="288"/>
      <c r="M31" s="8"/>
      <c r="N31" s="102"/>
    </row>
    <row r="32" spans="2:14" x14ac:dyDescent="0.25">
      <c r="N32" s="13"/>
    </row>
    <row r="33" spans="2:14" ht="22.8" x14ac:dyDescent="0.4">
      <c r="B33" s="35" t="s">
        <v>10</v>
      </c>
      <c r="C33" s="41"/>
      <c r="D33" s="41"/>
      <c r="E33" s="41"/>
      <c r="F33" s="42" t="s">
        <v>30</v>
      </c>
      <c r="G33" s="56"/>
      <c r="H33" s="41"/>
      <c r="I33" s="58"/>
      <c r="J33" s="38"/>
      <c r="K33" s="38"/>
      <c r="L33" s="43"/>
      <c r="M33" s="40"/>
      <c r="N33" s="44"/>
    </row>
    <row r="34" spans="2:14" x14ac:dyDescent="0.25">
      <c r="B34" s="30"/>
      <c r="C34" s="3"/>
      <c r="D34" s="3"/>
      <c r="E34" s="3"/>
      <c r="F34" s="3"/>
      <c r="G34" s="3"/>
      <c r="H34" s="3"/>
      <c r="I34" s="57"/>
      <c r="J34" s="5"/>
      <c r="K34" s="31"/>
      <c r="L34" s="45"/>
      <c r="M34" s="2"/>
      <c r="N34" s="32"/>
    </row>
    <row r="35" spans="2:14" ht="15.6" x14ac:dyDescent="0.3">
      <c r="B35" s="103" t="s">
        <v>15</v>
      </c>
      <c r="C35" s="104"/>
      <c r="D35" s="104"/>
      <c r="E35" s="105"/>
      <c r="F35" s="105"/>
      <c r="G35" s="105"/>
      <c r="H35" s="105"/>
      <c r="I35" s="106"/>
      <c r="J35" s="105"/>
      <c r="K35" s="104"/>
      <c r="L35" s="107"/>
      <c r="M35" s="108"/>
      <c r="N35" s="32"/>
    </row>
    <row r="36" spans="2:14" ht="15.6" x14ac:dyDescent="0.3">
      <c r="B36" s="109" t="s">
        <v>25</v>
      </c>
      <c r="C36" s="111">
        <f>IF(F13&gt;0,F13,0)</f>
        <v>0</v>
      </c>
      <c r="D36" s="110"/>
      <c r="E36" s="112"/>
      <c r="F36" s="112"/>
      <c r="G36" s="112"/>
      <c r="H36" s="112"/>
      <c r="I36" s="113"/>
      <c r="J36" s="112"/>
      <c r="K36" s="110"/>
      <c r="L36" s="108"/>
      <c r="M36" s="108"/>
      <c r="N36" s="32"/>
    </row>
    <row r="37" spans="2:14" ht="15.6" x14ac:dyDescent="0.3">
      <c r="B37" s="109"/>
      <c r="C37" s="115"/>
      <c r="D37" s="110"/>
      <c r="E37" s="110"/>
      <c r="F37" s="116" t="s">
        <v>6</v>
      </c>
      <c r="G37" s="117">
        <v>114</v>
      </c>
      <c r="H37" s="116" t="s">
        <v>5</v>
      </c>
      <c r="I37" s="118">
        <f>EDATE(F10,(12*G37))</f>
        <v>64193</v>
      </c>
      <c r="J37" s="110"/>
      <c r="K37" s="119">
        <f>C36</f>
        <v>0</v>
      </c>
      <c r="L37" s="108"/>
      <c r="M37" s="120"/>
      <c r="N37" s="32"/>
    </row>
    <row r="38" spans="2:14" ht="15.6" x14ac:dyDescent="0.3">
      <c r="B38" s="121"/>
      <c r="C38" s="122"/>
      <c r="D38" s="110"/>
      <c r="E38" s="110"/>
      <c r="F38" s="116"/>
      <c r="G38" s="123"/>
      <c r="H38" s="116"/>
      <c r="I38" s="124"/>
      <c r="J38" s="110"/>
      <c r="K38" s="125"/>
      <c r="L38" s="108"/>
      <c r="M38" s="126"/>
      <c r="N38" s="32"/>
    </row>
    <row r="39" spans="2:14" ht="15" x14ac:dyDescent="0.25">
      <c r="B39" s="109" t="s">
        <v>0</v>
      </c>
      <c r="C39" s="127">
        <f>IF(ISNUMBER(DATEDIF(F4,I37,"D")/365.25),(DATEDIF(F4,I37,"D")/365.25),0)</f>
        <v>55.961670088980149</v>
      </c>
      <c r="D39" s="110"/>
      <c r="E39" s="110"/>
      <c r="F39" s="110"/>
      <c r="G39" s="116" t="s">
        <v>13</v>
      </c>
      <c r="H39" s="261">
        <f>F6</f>
        <v>0.06</v>
      </c>
      <c r="I39" s="128"/>
      <c r="J39" s="110"/>
      <c r="K39" s="129"/>
      <c r="L39" s="108"/>
      <c r="M39" s="126"/>
      <c r="N39" s="33"/>
    </row>
    <row r="40" spans="2:14" ht="15" x14ac:dyDescent="0.25">
      <c r="B40" s="130"/>
      <c r="C40" s="132"/>
      <c r="D40" s="131"/>
      <c r="E40" s="131"/>
      <c r="F40" s="133" t="s">
        <v>24</v>
      </c>
      <c r="G40" s="116" t="s">
        <v>13</v>
      </c>
      <c r="H40" s="264">
        <f>F8</f>
        <v>0</v>
      </c>
      <c r="I40" s="135"/>
      <c r="J40" s="131"/>
      <c r="K40" s="136">
        <f>IF(ISNUMBER(1/(H39+((0%/(((1+(0%))^G37)-1))/(1-H40)))),(1/(H39+((0%/(((1+(0%))^G37)-1))/(1-H40)))),((1-(POWER(1+H39,-C39)))/H39))</f>
        <v>16.027387919784054</v>
      </c>
      <c r="L40" s="137">
        <f>SUM(K37*K40)</f>
        <v>0</v>
      </c>
      <c r="M40" s="138"/>
      <c r="N40" s="53"/>
    </row>
    <row r="41" spans="2:14" ht="15.6" x14ac:dyDescent="0.3">
      <c r="B41" s="139" t="s">
        <v>16</v>
      </c>
      <c r="C41" s="140"/>
      <c r="D41" s="104"/>
      <c r="E41" s="105"/>
      <c r="F41" s="141"/>
      <c r="G41" s="105"/>
      <c r="H41" s="106"/>
      <c r="I41" s="142"/>
      <c r="J41" s="105"/>
      <c r="K41" s="104"/>
      <c r="L41" s="107"/>
      <c r="M41" s="143"/>
      <c r="N41" s="32"/>
    </row>
    <row r="42" spans="2:14" ht="15.6" x14ac:dyDescent="0.3">
      <c r="B42" s="109" t="s">
        <v>25</v>
      </c>
      <c r="C42" s="144">
        <f>C36*(1+E42)</f>
        <v>0</v>
      </c>
      <c r="D42" s="145" t="s">
        <v>17</v>
      </c>
      <c r="E42" s="146">
        <v>0.5</v>
      </c>
      <c r="F42" s="116"/>
      <c r="G42" s="123"/>
      <c r="H42" s="116"/>
      <c r="I42" s="118"/>
      <c r="J42" s="110"/>
      <c r="K42" s="147"/>
      <c r="L42" s="108"/>
      <c r="M42" s="126"/>
      <c r="N42" s="32"/>
    </row>
    <row r="43" spans="2:14" ht="15.6" x14ac:dyDescent="0.3">
      <c r="B43" s="109"/>
      <c r="C43" s="115"/>
      <c r="D43" s="148">
        <f>IF(I37&gt;F4,C44+C39,(I43-F4)/365.25)</f>
        <v>55.961670088980149</v>
      </c>
      <c r="E43" s="114"/>
      <c r="F43" s="116" t="s">
        <v>6</v>
      </c>
      <c r="G43" s="117">
        <v>0</v>
      </c>
      <c r="H43" s="116" t="s">
        <v>5</v>
      </c>
      <c r="I43" s="118">
        <f>EDATE(F10,(12*(G37+G43)))</f>
        <v>64193</v>
      </c>
      <c r="J43" s="110"/>
      <c r="K43" s="119">
        <f>C42</f>
        <v>0</v>
      </c>
      <c r="L43" s="108"/>
      <c r="M43" s="138"/>
      <c r="N43" s="32"/>
    </row>
    <row r="44" spans="2:14" ht="15.6" x14ac:dyDescent="0.3">
      <c r="B44" s="109" t="s">
        <v>0</v>
      </c>
      <c r="C44" s="127">
        <f>IF(I37&gt;F4,G43,(I43-F4)/365.25)</f>
        <v>0</v>
      </c>
      <c r="D44" s="114"/>
      <c r="E44" s="114"/>
      <c r="F44" s="116"/>
      <c r="G44" s="123"/>
      <c r="H44" s="116"/>
      <c r="I44" s="118"/>
      <c r="J44" s="110"/>
      <c r="K44" s="147"/>
      <c r="L44" s="108"/>
      <c r="M44" s="126"/>
      <c r="N44" s="32"/>
    </row>
    <row r="45" spans="2:14" ht="15" x14ac:dyDescent="0.25">
      <c r="B45" s="109" t="s">
        <v>1</v>
      </c>
      <c r="C45" s="127">
        <f>IF(I37&gt;F4,C44+C39,(I43-F4)/365.25)</f>
        <v>55.961670088980149</v>
      </c>
      <c r="D45" s="114"/>
      <c r="E45" s="110"/>
      <c r="F45" s="110"/>
      <c r="G45" s="116" t="s">
        <v>13</v>
      </c>
      <c r="H45" s="261">
        <f>F6</f>
        <v>0.06</v>
      </c>
      <c r="I45" s="128"/>
      <c r="J45" s="110"/>
      <c r="K45" s="149">
        <f>IF(ISNUMBER(1/(H45+((0%/(((1+(0%))^G43)-1))/(1-H46)))),(1/(H45+((0%/(((1+(0%))^G43)-1))/(1-H46)))),((1-(POWER(1+H45,-C44)))/H45))</f>
        <v>0</v>
      </c>
      <c r="L45" s="108"/>
      <c r="M45" s="126"/>
      <c r="N45" s="32"/>
    </row>
    <row r="46" spans="2:14" ht="15" x14ac:dyDescent="0.25">
      <c r="B46" s="150"/>
      <c r="C46" s="132"/>
      <c r="D46" s="131"/>
      <c r="E46" s="131"/>
      <c r="F46" s="133" t="s">
        <v>24</v>
      </c>
      <c r="G46" s="116" t="s">
        <v>13</v>
      </c>
      <c r="H46" s="264">
        <f>F8</f>
        <v>0</v>
      </c>
      <c r="I46" s="135"/>
      <c r="J46" s="131"/>
      <c r="K46" s="136">
        <f>SUM(1/(POWER(1+H45,C39)))</f>
        <v>3.8356724812956801E-2</v>
      </c>
      <c r="L46" s="137">
        <f>SUM(K43*K45*K46)</f>
        <v>0</v>
      </c>
      <c r="M46" s="138"/>
      <c r="N46" s="32"/>
    </row>
    <row r="47" spans="2:14" ht="15.6" x14ac:dyDescent="0.3">
      <c r="B47" s="139" t="s">
        <v>18</v>
      </c>
      <c r="C47" s="140"/>
      <c r="D47" s="104"/>
      <c r="E47" s="105"/>
      <c r="F47" s="141"/>
      <c r="G47" s="105"/>
      <c r="H47" s="106"/>
      <c r="I47" s="142"/>
      <c r="J47" s="105"/>
      <c r="K47" s="104"/>
      <c r="L47" s="107"/>
      <c r="M47" s="143"/>
      <c r="N47" s="53"/>
    </row>
    <row r="48" spans="2:14" ht="15.6" x14ac:dyDescent="0.3">
      <c r="B48" s="109" t="s">
        <v>25</v>
      </c>
      <c r="C48" s="144">
        <f>C42*(1+E48)</f>
        <v>0</v>
      </c>
      <c r="D48" s="145" t="s">
        <v>17</v>
      </c>
      <c r="E48" s="146">
        <v>0.33333000000000002</v>
      </c>
      <c r="F48" s="116"/>
      <c r="G48" s="123"/>
      <c r="H48" s="116"/>
      <c r="I48" s="118"/>
      <c r="J48" s="110"/>
      <c r="K48" s="147"/>
      <c r="L48" s="108"/>
      <c r="M48" s="126"/>
      <c r="N48" s="32"/>
    </row>
    <row r="49" spans="2:14" ht="15.6" x14ac:dyDescent="0.3">
      <c r="B49" s="109"/>
      <c r="C49" s="115"/>
      <c r="D49" s="148">
        <f>IF(I43&gt;F4,C50+D43,(I49-F4)/365.25)</f>
        <v>55.961670088980149</v>
      </c>
      <c r="E49" s="114"/>
      <c r="F49" s="116" t="s">
        <v>6</v>
      </c>
      <c r="G49" s="117">
        <v>0</v>
      </c>
      <c r="H49" s="116" t="s">
        <v>5</v>
      </c>
      <c r="I49" s="118">
        <f>EDATE(F10,(12*(G37+G43+G49)))</f>
        <v>64193</v>
      </c>
      <c r="J49" s="110"/>
      <c r="K49" s="119">
        <f>C48</f>
        <v>0</v>
      </c>
      <c r="L49" s="108"/>
      <c r="M49" s="126"/>
      <c r="N49" s="32"/>
    </row>
    <row r="50" spans="2:14" ht="15.6" x14ac:dyDescent="0.3">
      <c r="B50" s="109" t="s">
        <v>0</v>
      </c>
      <c r="C50" s="127">
        <f>IF(I43&gt;F4,G49,(I49-F4)/365.25)</f>
        <v>0</v>
      </c>
      <c r="D50" s="114"/>
      <c r="E50" s="114"/>
      <c r="F50" s="116"/>
      <c r="G50" s="123"/>
      <c r="H50" s="116"/>
      <c r="I50" s="118"/>
      <c r="J50" s="110"/>
      <c r="K50" s="147"/>
      <c r="L50" s="108"/>
      <c r="M50" s="126"/>
      <c r="N50" s="32"/>
    </row>
    <row r="51" spans="2:14" ht="15" x14ac:dyDescent="0.25">
      <c r="B51" s="109" t="s">
        <v>1</v>
      </c>
      <c r="C51" s="127">
        <f>IF(I43&gt;F4,C50+C44+C39,(I49-F4)/365.25)</f>
        <v>55.961670088980149</v>
      </c>
      <c r="D51" s="114"/>
      <c r="E51" s="110"/>
      <c r="F51" s="110"/>
      <c r="G51" s="116" t="s">
        <v>13</v>
      </c>
      <c r="H51" s="261">
        <f>F6</f>
        <v>0.06</v>
      </c>
      <c r="I51" s="128"/>
      <c r="J51" s="110"/>
      <c r="K51" s="149">
        <f>IF(ISNUMBER(1/(H51+((0%/(((1+(0%))^G49)-1))/(1-H52)))),(1/(H51+((0%/(((1+(0%))^G49)-1))/(1-H52)))),((1-(POWER(1+H51,-C50)))/H51))</f>
        <v>0</v>
      </c>
      <c r="L51" s="108"/>
      <c r="M51" s="126"/>
      <c r="N51" s="32"/>
    </row>
    <row r="52" spans="2:14" ht="15" x14ac:dyDescent="0.25">
      <c r="B52" s="150"/>
      <c r="C52" s="132"/>
      <c r="D52" s="131"/>
      <c r="E52" s="131"/>
      <c r="F52" s="133" t="s">
        <v>24</v>
      </c>
      <c r="G52" s="116" t="s">
        <v>13</v>
      </c>
      <c r="H52" s="264">
        <f>F8</f>
        <v>0</v>
      </c>
      <c r="I52" s="135"/>
      <c r="J52" s="131"/>
      <c r="K52" s="136">
        <f>SUM(1/(POWER(1+H51,D43)))</f>
        <v>3.8356724812956801E-2</v>
      </c>
      <c r="L52" s="137">
        <f>SUM(K49*K51*K52)</f>
        <v>0</v>
      </c>
      <c r="M52" s="138"/>
      <c r="N52" s="33"/>
    </row>
    <row r="53" spans="2:14" ht="15.6" x14ac:dyDescent="0.3">
      <c r="B53" s="139" t="s">
        <v>19</v>
      </c>
      <c r="C53" s="140"/>
      <c r="D53" s="104"/>
      <c r="E53" s="105"/>
      <c r="F53" s="141"/>
      <c r="G53" s="105"/>
      <c r="H53" s="106"/>
      <c r="I53" s="142"/>
      <c r="J53" s="105"/>
      <c r="K53" s="151"/>
      <c r="L53" s="107"/>
      <c r="M53" s="143"/>
      <c r="N53" s="32"/>
    </row>
    <row r="54" spans="2:14" ht="15.6" x14ac:dyDescent="0.3">
      <c r="B54" s="109" t="s">
        <v>25</v>
      </c>
      <c r="C54" s="144">
        <f>C48*(1+E54)</f>
        <v>0</v>
      </c>
      <c r="D54" s="152" t="s">
        <v>17</v>
      </c>
      <c r="E54" s="146">
        <v>0</v>
      </c>
      <c r="F54" s="116"/>
      <c r="G54" s="123"/>
      <c r="H54" s="116"/>
      <c r="I54" s="118"/>
      <c r="J54" s="110"/>
      <c r="K54" s="147"/>
      <c r="L54" s="108"/>
      <c r="M54" s="126"/>
      <c r="N54" s="53"/>
    </row>
    <row r="55" spans="2:14" ht="15.6" x14ac:dyDescent="0.3">
      <c r="B55" s="109"/>
      <c r="C55" s="115"/>
      <c r="D55" s="148">
        <f>IF(I49&gt;F4,C56+D49,(I55-F4)/365.25)</f>
        <v>55.961670088980149</v>
      </c>
      <c r="E55" s="114"/>
      <c r="F55" s="116" t="s">
        <v>6</v>
      </c>
      <c r="G55" s="117">
        <v>0</v>
      </c>
      <c r="H55" s="116" t="s">
        <v>5</v>
      </c>
      <c r="I55" s="118">
        <f>EDATE(F10,(12*(G37+G43+G49+G55)))</f>
        <v>64193</v>
      </c>
      <c r="J55" s="110"/>
      <c r="K55" s="119">
        <f>C54</f>
        <v>0</v>
      </c>
      <c r="L55" s="108"/>
      <c r="M55" s="126"/>
      <c r="N55" s="32"/>
    </row>
    <row r="56" spans="2:14" ht="15.6" x14ac:dyDescent="0.3">
      <c r="B56" s="109" t="s">
        <v>0</v>
      </c>
      <c r="C56" s="127">
        <f>IF(I49&gt;F4,G55,(I55-F4)/365.25)</f>
        <v>0</v>
      </c>
      <c r="D56" s="114"/>
      <c r="E56" s="114"/>
      <c r="F56" s="116"/>
      <c r="G56" s="123"/>
      <c r="H56" s="116"/>
      <c r="I56" s="118"/>
      <c r="J56" s="110"/>
      <c r="K56" s="147"/>
      <c r="L56" s="108"/>
      <c r="M56" s="126"/>
      <c r="N56" s="32"/>
    </row>
    <row r="57" spans="2:14" ht="15" x14ac:dyDescent="0.25">
      <c r="B57" s="109" t="s">
        <v>1</v>
      </c>
      <c r="C57" s="127">
        <f>IF(I49&gt;F4,C56+C50+C44+C39,(I55-F4)/365.25)</f>
        <v>55.961670088980149</v>
      </c>
      <c r="D57" s="114"/>
      <c r="E57" s="110"/>
      <c r="F57" s="110"/>
      <c r="G57" s="116" t="s">
        <v>13</v>
      </c>
      <c r="H57" s="261">
        <f>F6</f>
        <v>0.06</v>
      </c>
      <c r="I57" s="128"/>
      <c r="J57" s="110"/>
      <c r="K57" s="149">
        <f>IF(ISNUMBER(1/(H57+((0%/(((1+(0%))^G55)-1))/(1-H58)))),(1/(H57+((0%/(((1+(0%))^G55)-1))/(1-H58)))),((1-(POWER(1+H57,-C56)))/H57))</f>
        <v>0</v>
      </c>
      <c r="L57" s="108"/>
      <c r="M57" s="126"/>
      <c r="N57" s="32"/>
    </row>
    <row r="58" spans="2:14" ht="15" x14ac:dyDescent="0.25">
      <c r="B58" s="150"/>
      <c r="C58" s="132"/>
      <c r="D58" s="131"/>
      <c r="E58" s="131"/>
      <c r="F58" s="133" t="s">
        <v>24</v>
      </c>
      <c r="G58" s="116" t="s">
        <v>13</v>
      </c>
      <c r="H58" s="264">
        <f>F8</f>
        <v>0</v>
      </c>
      <c r="I58" s="135"/>
      <c r="J58" s="131"/>
      <c r="K58" s="136">
        <f>SUM(1/(POWER(1+H57,D49)))</f>
        <v>3.8356724812956801E-2</v>
      </c>
      <c r="L58" s="137">
        <f>SUM(K55*K57*K58)</f>
        <v>0</v>
      </c>
      <c r="M58" s="138"/>
      <c r="N58" s="32"/>
    </row>
    <row r="59" spans="2:14" ht="15.6" x14ac:dyDescent="0.3">
      <c r="B59" s="139" t="s">
        <v>20</v>
      </c>
      <c r="C59" s="140"/>
      <c r="D59" s="104"/>
      <c r="E59" s="105"/>
      <c r="F59" s="141"/>
      <c r="G59" s="105"/>
      <c r="H59" s="106"/>
      <c r="I59" s="142"/>
      <c r="J59" s="105"/>
      <c r="K59" s="104"/>
      <c r="L59" s="107"/>
      <c r="M59" s="143"/>
      <c r="N59" s="33"/>
    </row>
    <row r="60" spans="2:14" ht="15.6" x14ac:dyDescent="0.3">
      <c r="B60" s="109" t="s">
        <v>25</v>
      </c>
      <c r="C60" s="144">
        <f>C54*(1+E60)</f>
        <v>0</v>
      </c>
      <c r="D60" s="152" t="s">
        <v>17</v>
      </c>
      <c r="E60" s="146">
        <v>0</v>
      </c>
      <c r="F60" s="116"/>
      <c r="G60" s="123"/>
      <c r="H60" s="116"/>
      <c r="I60" s="118"/>
      <c r="J60" s="110"/>
      <c r="K60" s="153"/>
      <c r="L60" s="108"/>
      <c r="M60" s="126"/>
      <c r="N60" s="32"/>
    </row>
    <row r="61" spans="2:14" ht="15.6" x14ac:dyDescent="0.3">
      <c r="B61" s="109"/>
      <c r="C61" s="114"/>
      <c r="D61" s="148">
        <f>IF(I55&gt;F4,C62+D55,(I61-F4)/365.25)</f>
        <v>55.961670088980149</v>
      </c>
      <c r="E61" s="114"/>
      <c r="F61" s="116" t="s">
        <v>6</v>
      </c>
      <c r="G61" s="117">
        <v>0</v>
      </c>
      <c r="H61" s="116" t="s">
        <v>5</v>
      </c>
      <c r="I61" s="118">
        <f>EDATE(F10,(12*(G37+G43+G49+G55+G61)))</f>
        <v>64193</v>
      </c>
      <c r="J61" s="110"/>
      <c r="K61" s="119">
        <f>C60</f>
        <v>0</v>
      </c>
      <c r="L61" s="108"/>
      <c r="M61" s="126"/>
      <c r="N61" s="54"/>
    </row>
    <row r="62" spans="2:14" ht="15.6" x14ac:dyDescent="0.3">
      <c r="B62" s="109" t="s">
        <v>0</v>
      </c>
      <c r="C62" s="127">
        <f>IF(I55&gt;F4,G61,(I61-F4)/365.25)</f>
        <v>0</v>
      </c>
      <c r="D62" s="114"/>
      <c r="E62" s="114"/>
      <c r="F62" s="116"/>
      <c r="G62" s="123"/>
      <c r="H62" s="116"/>
      <c r="I62" s="118"/>
      <c r="J62" s="110"/>
      <c r="K62" s="147"/>
      <c r="L62" s="108"/>
      <c r="M62" s="126"/>
      <c r="N62" s="4"/>
    </row>
    <row r="63" spans="2:14" ht="15" x14ac:dyDescent="0.25">
      <c r="B63" s="109" t="s">
        <v>1</v>
      </c>
      <c r="C63" s="127">
        <f>IF(I55&gt;F4,C62+C56+C50+C44+C39,(I61-F4)/365.25)</f>
        <v>55.961670088980149</v>
      </c>
      <c r="D63" s="114"/>
      <c r="E63" s="110"/>
      <c r="F63" s="110"/>
      <c r="G63" s="116" t="s">
        <v>13</v>
      </c>
      <c r="H63" s="261">
        <f>F6</f>
        <v>0.06</v>
      </c>
      <c r="I63" s="154"/>
      <c r="J63" s="110"/>
      <c r="K63" s="149">
        <f>IF(ISNUMBER(1/(H63+((0%/(((1+(0%))^G61)-1))/(1-H64)))),(1/(H63+((0%/(((1+(0%))^G61)-1))/(1-H64)))),((1-(POWER(1+H63,-C62)))/H63))</f>
        <v>0</v>
      </c>
      <c r="L63" s="108"/>
      <c r="M63" s="126"/>
      <c r="N63" s="4"/>
    </row>
    <row r="64" spans="2:14" ht="15" x14ac:dyDescent="0.25">
      <c r="B64" s="121"/>
      <c r="C64" s="110"/>
      <c r="D64" s="110"/>
      <c r="E64" s="110"/>
      <c r="F64" s="155" t="s">
        <v>24</v>
      </c>
      <c r="G64" s="116" t="s">
        <v>13</v>
      </c>
      <c r="H64" s="264">
        <f>F8</f>
        <v>0</v>
      </c>
      <c r="I64" s="110"/>
      <c r="J64" s="110"/>
      <c r="K64" s="136">
        <f>SUM(1/(POWER(1+H63,D55)))</f>
        <v>3.8356724812956801E-2</v>
      </c>
      <c r="L64" s="137">
        <f>SUM(K61*K63*K64)</f>
        <v>0</v>
      </c>
      <c r="M64" s="138"/>
      <c r="N64" s="4"/>
    </row>
    <row r="65" spans="2:14" ht="15.6" x14ac:dyDescent="0.3">
      <c r="B65" s="121"/>
      <c r="C65" s="110"/>
      <c r="D65" s="110"/>
      <c r="E65" s="110"/>
      <c r="F65" s="110"/>
      <c r="G65" s="110"/>
      <c r="H65" s="110"/>
      <c r="I65" s="110"/>
      <c r="J65" s="110"/>
      <c r="K65" s="156"/>
      <c r="L65" s="157"/>
      <c r="M65" s="157"/>
      <c r="N65" s="4"/>
    </row>
    <row r="66" spans="2:14" ht="15.6" x14ac:dyDescent="0.3">
      <c r="B66" s="150"/>
      <c r="C66" s="131"/>
      <c r="D66" s="131"/>
      <c r="E66" s="131"/>
      <c r="F66" s="131"/>
      <c r="G66" s="131"/>
      <c r="H66" s="131"/>
      <c r="I66" s="131"/>
      <c r="J66" s="131"/>
      <c r="K66" s="158"/>
      <c r="L66" s="159" t="s">
        <v>29</v>
      </c>
      <c r="M66" s="160">
        <f>L40+L46+L52+L58+L64</f>
        <v>0</v>
      </c>
      <c r="N66" s="55"/>
    </row>
    <row r="68" spans="2:14" ht="22.8" x14ac:dyDescent="0.4">
      <c r="B68" s="35" t="s">
        <v>10</v>
      </c>
      <c r="C68" s="29"/>
      <c r="D68" s="29"/>
      <c r="E68" s="36"/>
      <c r="F68" s="42" t="s">
        <v>31</v>
      </c>
      <c r="G68" s="36"/>
      <c r="H68" s="37"/>
      <c r="I68" s="37"/>
      <c r="J68" s="38"/>
      <c r="K68" s="38"/>
      <c r="L68" s="39"/>
      <c r="M68" s="40"/>
      <c r="N68" s="44"/>
    </row>
    <row r="69" spans="2:14" ht="15.6" x14ac:dyDescent="0.3">
      <c r="B69" s="165"/>
      <c r="C69" s="116"/>
      <c r="D69" s="116"/>
      <c r="E69" s="116"/>
      <c r="F69" s="116"/>
      <c r="G69" s="116"/>
      <c r="H69" s="116"/>
      <c r="I69" s="110"/>
      <c r="J69" s="161"/>
      <c r="K69" s="162"/>
      <c r="L69" s="163"/>
      <c r="M69" s="164"/>
      <c r="N69" s="4"/>
    </row>
    <row r="70" spans="2:14" ht="15.6" x14ac:dyDescent="0.3">
      <c r="B70" s="256" t="s">
        <v>35</v>
      </c>
      <c r="C70" s="116"/>
      <c r="D70" s="116"/>
      <c r="E70" s="116" t="s">
        <v>11</v>
      </c>
      <c r="F70" s="116"/>
      <c r="G70" s="116"/>
      <c r="H70" s="116"/>
      <c r="I70" s="110"/>
      <c r="J70" s="161"/>
      <c r="K70" s="116"/>
      <c r="L70" s="163"/>
      <c r="M70" s="163"/>
      <c r="N70" s="4"/>
    </row>
    <row r="71" spans="2:14" ht="15.6" x14ac:dyDescent="0.3">
      <c r="B71" s="257">
        <f>IF(ISNUMBER(F12),F12,F21)</f>
        <v>95238</v>
      </c>
      <c r="C71" s="161">
        <f>F24</f>
        <v>141919</v>
      </c>
      <c r="D71" s="116"/>
      <c r="E71" s="116" t="s">
        <v>12</v>
      </c>
      <c r="F71" s="148">
        <f>DATEDIF(F4,F12,"D")/365.25</f>
        <v>140.95824777549623</v>
      </c>
      <c r="G71" s="116" t="s">
        <v>13</v>
      </c>
      <c r="H71" s="321">
        <f>F7</f>
        <v>0.05</v>
      </c>
      <c r="I71" s="110"/>
      <c r="J71" s="161"/>
      <c r="K71" s="166">
        <f>(1/((1+(H71))^F71))</f>
        <v>1.0308453862821472E-3</v>
      </c>
      <c r="L71" s="162">
        <f>C71*K71</f>
        <v>146.29654637577605</v>
      </c>
      <c r="M71" s="163"/>
      <c r="N71" s="4"/>
    </row>
    <row r="72" spans="2:14" ht="15.6" x14ac:dyDescent="0.3">
      <c r="B72" s="165"/>
      <c r="C72" s="116"/>
      <c r="D72" s="116"/>
      <c r="E72" s="116"/>
      <c r="F72" s="116"/>
      <c r="G72" s="116"/>
      <c r="H72" s="168"/>
      <c r="I72" s="110"/>
      <c r="J72" s="161"/>
      <c r="K72" s="162"/>
      <c r="L72" s="162"/>
      <c r="M72" s="143"/>
      <c r="N72" s="32"/>
    </row>
    <row r="73" spans="2:14" ht="15.6" x14ac:dyDescent="0.3">
      <c r="B73" s="256" t="s">
        <v>36</v>
      </c>
      <c r="C73" s="116"/>
      <c r="D73" s="116"/>
      <c r="E73" s="116" t="s">
        <v>11</v>
      </c>
      <c r="F73" s="116"/>
      <c r="G73" s="116"/>
      <c r="H73" s="116"/>
      <c r="I73" s="110"/>
      <c r="J73" s="161"/>
      <c r="K73" s="161"/>
      <c r="L73" s="116"/>
      <c r="M73" s="143"/>
      <c r="N73" s="32"/>
    </row>
    <row r="74" spans="2:14" ht="15.6" x14ac:dyDescent="0.3">
      <c r="B74" s="257">
        <f>IF(ISNUMBER(M11),M11,M20)</f>
        <v>97064</v>
      </c>
      <c r="C74" s="161">
        <f>F24</f>
        <v>141919</v>
      </c>
      <c r="D74" s="116"/>
      <c r="E74" s="116" t="s">
        <v>12</v>
      </c>
      <c r="F74" s="148">
        <f>DATEDIF(F4,M20,"D")/365.25</f>
        <v>145.95756331279946</v>
      </c>
      <c r="G74" s="116" t="s">
        <v>13</v>
      </c>
      <c r="H74" s="321">
        <f>F7</f>
        <v>0.05</v>
      </c>
      <c r="I74" s="110"/>
      <c r="J74" s="161"/>
      <c r="K74" s="166">
        <f>(1/((1+(H74))^F74))</f>
        <v>8.0772130717624924E-4</v>
      </c>
      <c r="L74" s="162">
        <f>C74*K74</f>
        <v>114.63100019314612</v>
      </c>
      <c r="M74" s="143"/>
      <c r="N74" s="32"/>
    </row>
    <row r="75" spans="2:14" ht="15.6" x14ac:dyDescent="0.3">
      <c r="B75" s="167"/>
      <c r="C75" s="116"/>
      <c r="D75" s="116"/>
      <c r="E75" s="116"/>
      <c r="F75" s="116"/>
      <c r="G75" s="116"/>
      <c r="H75" s="168"/>
      <c r="I75" s="110"/>
      <c r="J75" s="161"/>
      <c r="K75" s="161"/>
      <c r="L75" s="143"/>
      <c r="M75" s="143"/>
      <c r="N75" s="32"/>
    </row>
    <row r="76" spans="2:14" ht="15.6" x14ac:dyDescent="0.3">
      <c r="B76" s="121"/>
      <c r="C76" s="116"/>
      <c r="D76" s="116"/>
      <c r="E76" s="155"/>
      <c r="F76" s="116"/>
      <c r="G76" s="116"/>
      <c r="H76" s="169"/>
      <c r="I76" s="168"/>
      <c r="J76" s="168"/>
      <c r="K76" s="170" t="s">
        <v>14</v>
      </c>
      <c r="L76" s="319">
        <f>L71-L74</f>
        <v>31.665546182629924</v>
      </c>
      <c r="M76" s="143"/>
      <c r="N76" s="46"/>
    </row>
    <row r="77" spans="2:14" ht="15.6" x14ac:dyDescent="0.3">
      <c r="B77" s="121"/>
      <c r="C77" s="116"/>
      <c r="D77" s="116"/>
      <c r="E77" s="155"/>
      <c r="F77" s="116"/>
      <c r="G77" s="116"/>
      <c r="H77" s="169"/>
      <c r="I77" s="168"/>
      <c r="J77" s="168"/>
      <c r="K77" s="170"/>
      <c r="L77" s="157"/>
      <c r="M77" s="143"/>
      <c r="N77" s="46"/>
    </row>
    <row r="78" spans="2:14" ht="15.6" x14ac:dyDescent="0.3">
      <c r="B78" s="150"/>
      <c r="C78" s="171"/>
      <c r="D78" s="171"/>
      <c r="E78" s="133"/>
      <c r="F78" s="171"/>
      <c r="G78" s="171"/>
      <c r="H78" s="172"/>
      <c r="I78" s="173"/>
      <c r="J78" s="318"/>
      <c r="K78" s="174" t="s">
        <v>34</v>
      </c>
      <c r="L78" s="320">
        <f>M66+L76</f>
        <v>31.665546182629924</v>
      </c>
      <c r="M78" s="172"/>
      <c r="N78" s="34"/>
    </row>
    <row r="80" spans="2:14" ht="22.8" x14ac:dyDescent="0.4">
      <c r="B80" s="47" t="s">
        <v>56</v>
      </c>
      <c r="C80" s="48"/>
      <c r="D80" s="48"/>
      <c r="E80" s="48"/>
      <c r="F80" s="49"/>
      <c r="G80" s="311" t="s">
        <v>32</v>
      </c>
      <c r="H80" s="48"/>
      <c r="I80" s="50"/>
      <c r="J80" s="51"/>
      <c r="K80" s="51"/>
      <c r="L80" s="21"/>
      <c r="M80" s="25"/>
      <c r="N80" s="52"/>
    </row>
    <row r="81" spans="2:14" x14ac:dyDescent="0.25">
      <c r="B81" s="19"/>
      <c r="C81" s="15"/>
      <c r="D81" s="15"/>
      <c r="E81" s="15"/>
      <c r="F81" s="15"/>
      <c r="G81" s="15"/>
      <c r="H81" s="15"/>
      <c r="I81" s="16"/>
      <c r="J81" s="11"/>
      <c r="K81" s="20"/>
      <c r="L81" s="17"/>
      <c r="M81" s="14"/>
      <c r="N81" s="18"/>
    </row>
    <row r="82" spans="2:14" ht="15.6" x14ac:dyDescent="0.3">
      <c r="B82" s="175" t="s">
        <v>15</v>
      </c>
      <c r="C82" s="176"/>
      <c r="D82" s="176"/>
      <c r="E82" s="177"/>
      <c r="F82" s="177"/>
      <c r="G82" s="177"/>
      <c r="H82" s="177"/>
      <c r="I82" s="178"/>
      <c r="J82" s="177"/>
      <c r="K82" s="176"/>
      <c r="L82" s="179"/>
      <c r="M82" s="180"/>
      <c r="N82" s="18"/>
    </row>
    <row r="83" spans="2:14" ht="15.6" x14ac:dyDescent="0.3">
      <c r="B83" s="181" t="s">
        <v>25</v>
      </c>
      <c r="C83" s="90">
        <f>F22</f>
        <v>60</v>
      </c>
      <c r="D83" s="182"/>
      <c r="E83" s="183"/>
      <c r="F83" s="183"/>
      <c r="G83" s="183"/>
      <c r="H83" s="183"/>
      <c r="I83" s="184"/>
      <c r="J83" s="183"/>
      <c r="K83" s="182"/>
      <c r="L83" s="180"/>
      <c r="M83" s="180"/>
      <c r="N83" s="18"/>
    </row>
    <row r="84" spans="2:14" ht="15.6" x14ac:dyDescent="0.3">
      <c r="B84" s="185" t="s">
        <v>26</v>
      </c>
      <c r="C84" s="249">
        <f>IF(ISNUMBER(F11),F13,0)</f>
        <v>0</v>
      </c>
      <c r="D84" s="182"/>
      <c r="E84" s="183"/>
      <c r="F84" s="183"/>
      <c r="G84" s="186"/>
      <c r="H84" s="184"/>
      <c r="I84" s="184"/>
      <c r="J84" s="183"/>
      <c r="K84" s="182"/>
      <c r="L84" s="180"/>
      <c r="M84" s="180"/>
      <c r="N84" s="18"/>
    </row>
    <row r="85" spans="2:14" ht="15.6" x14ac:dyDescent="0.3">
      <c r="B85" s="181" t="s">
        <v>27</v>
      </c>
      <c r="C85" s="188">
        <f>C83-C84</f>
        <v>60</v>
      </c>
      <c r="D85" s="182"/>
      <c r="E85" s="182"/>
      <c r="F85" s="189" t="s">
        <v>6</v>
      </c>
      <c r="G85" s="117">
        <v>65.48</v>
      </c>
      <c r="H85" s="189" t="s">
        <v>5</v>
      </c>
      <c r="I85" s="190">
        <f>EDATE(F19,(12*G85))</f>
        <v>46447</v>
      </c>
      <c r="J85" s="182"/>
      <c r="K85" s="191">
        <f>IF(I85&gt;F4,C85,0)</f>
        <v>60</v>
      </c>
      <c r="L85" s="180"/>
      <c r="M85" s="192"/>
      <c r="N85" s="18"/>
    </row>
    <row r="86" spans="2:14" ht="15.6" x14ac:dyDescent="0.3">
      <c r="B86" s="193"/>
      <c r="C86" s="182"/>
      <c r="D86" s="182"/>
      <c r="E86" s="182"/>
      <c r="F86" s="189"/>
      <c r="G86" s="194"/>
      <c r="H86" s="189"/>
      <c r="I86" s="190"/>
      <c r="J86" s="182"/>
      <c r="K86" s="195"/>
      <c r="L86" s="180"/>
      <c r="M86" s="196"/>
      <c r="N86" s="18"/>
    </row>
    <row r="87" spans="2:14" ht="15" x14ac:dyDescent="0.25">
      <c r="B87" s="181" t="s">
        <v>0</v>
      </c>
      <c r="C87" s="241">
        <f>IF(ISNUMBER(DATEDIF(F4,I85,"D")/365.25),(DATEDIF(F4,I85,"D")/365.25),0)</f>
        <v>7.3757700205338805</v>
      </c>
      <c r="D87" s="182"/>
      <c r="E87" s="182"/>
      <c r="F87" s="182"/>
      <c r="G87" s="189" t="s">
        <v>13</v>
      </c>
      <c r="H87" s="197">
        <f>F14</f>
        <v>0.06</v>
      </c>
      <c r="I87" s="198"/>
      <c r="J87" s="182"/>
      <c r="K87" s="199"/>
      <c r="L87" s="180"/>
      <c r="M87" s="196"/>
      <c r="N87" s="22"/>
    </row>
    <row r="88" spans="2:14" ht="15" x14ac:dyDescent="0.25">
      <c r="B88" s="258"/>
      <c r="C88" s="268"/>
      <c r="D88" s="182"/>
      <c r="E88" s="200"/>
      <c r="F88" s="201" t="s">
        <v>23</v>
      </c>
      <c r="G88" s="189" t="s">
        <v>13</v>
      </c>
      <c r="H88" s="202">
        <f>F16</f>
        <v>0</v>
      </c>
      <c r="I88" s="198"/>
      <c r="J88" s="182"/>
      <c r="K88" s="203">
        <f>IF(ISNUMBER(1/(H87+((H88/(((1+(H88))^G85)-1))/(1-H89)))),(1/(H87+((H88/(((1+(H88))^G85)-1))/(1-H89)))),((1-(POWER(1+H87,-C87)))/H87))</f>
        <v>5.8224419825846772</v>
      </c>
      <c r="L88" s="180">
        <f>(K85*K88)</f>
        <v>349.34651895508063</v>
      </c>
      <c r="M88" s="196"/>
      <c r="N88" s="18"/>
    </row>
    <row r="89" spans="2:14" ht="15.6" x14ac:dyDescent="0.3">
      <c r="B89" s="204"/>
      <c r="C89" s="205"/>
      <c r="D89" s="205"/>
      <c r="E89" s="205"/>
      <c r="F89" s="206" t="s">
        <v>24</v>
      </c>
      <c r="G89" s="189" t="s">
        <v>13</v>
      </c>
      <c r="H89" s="134">
        <f>F17</f>
        <v>0</v>
      </c>
      <c r="I89" s="207"/>
      <c r="J89" s="205"/>
      <c r="K89" s="208"/>
      <c r="L89" s="209"/>
      <c r="M89" s="210"/>
      <c r="N89" s="24"/>
    </row>
    <row r="90" spans="2:14" ht="15.6" x14ac:dyDescent="0.3">
      <c r="B90" s="211" t="s">
        <v>16</v>
      </c>
      <c r="C90" s="176"/>
      <c r="D90" s="176"/>
      <c r="E90" s="177"/>
      <c r="F90" s="212"/>
      <c r="G90" s="177"/>
      <c r="H90" s="178"/>
      <c r="I90" s="213"/>
      <c r="J90" s="177"/>
      <c r="K90" s="176"/>
      <c r="L90" s="179"/>
      <c r="M90" s="214"/>
      <c r="N90" s="18"/>
    </row>
    <row r="91" spans="2:14" ht="15.6" x14ac:dyDescent="0.3">
      <c r="B91" s="181" t="s">
        <v>25</v>
      </c>
      <c r="C91" s="215">
        <f>C83*(1+E91)</f>
        <v>90</v>
      </c>
      <c r="D91" s="216" t="s">
        <v>17</v>
      </c>
      <c r="E91" s="146">
        <v>0.5</v>
      </c>
      <c r="F91" s="189"/>
      <c r="G91" s="194"/>
      <c r="H91" s="189"/>
      <c r="I91" s="190"/>
      <c r="J91" s="182"/>
      <c r="K91" s="217"/>
      <c r="L91" s="180"/>
      <c r="M91" s="196"/>
      <c r="N91" s="18"/>
    </row>
    <row r="92" spans="2:14" ht="15.6" x14ac:dyDescent="0.3">
      <c r="B92" s="185" t="s">
        <v>26</v>
      </c>
      <c r="C92" s="218">
        <f>C84*(1+E92)</f>
        <v>0</v>
      </c>
      <c r="D92" s="216" t="s">
        <v>17</v>
      </c>
      <c r="E92" s="146">
        <v>0</v>
      </c>
      <c r="F92" s="189"/>
      <c r="G92" s="194"/>
      <c r="H92" s="189"/>
      <c r="I92" s="190"/>
      <c r="J92" s="182"/>
      <c r="K92" s="217"/>
      <c r="L92" s="180"/>
      <c r="M92" s="196"/>
      <c r="N92" s="18"/>
    </row>
    <row r="93" spans="2:14" ht="15.6" x14ac:dyDescent="0.3">
      <c r="B93" s="181" t="s">
        <v>27</v>
      </c>
      <c r="C93" s="188">
        <f>C91-C92</f>
        <v>90</v>
      </c>
      <c r="D93" s="200">
        <f>IF(I85&gt;F4,C95+C87,(I93-F4)/365.25)</f>
        <v>40.375770020533878</v>
      </c>
      <c r="E93" s="187"/>
      <c r="F93" s="189" t="s">
        <v>6</v>
      </c>
      <c r="G93" s="117">
        <v>33</v>
      </c>
      <c r="H93" s="189" t="s">
        <v>5</v>
      </c>
      <c r="I93" s="190">
        <f>EDATE(F19,(12*(G85+G93)))</f>
        <v>58501</v>
      </c>
      <c r="J93" s="182"/>
      <c r="K93" s="191">
        <f>IF(I93&gt;F4,C93,0)</f>
        <v>90</v>
      </c>
      <c r="L93" s="180"/>
      <c r="M93" s="210"/>
      <c r="N93" s="18"/>
    </row>
    <row r="94" spans="2:14" ht="15.6" x14ac:dyDescent="0.3">
      <c r="B94" s="258"/>
      <c r="C94" s="11"/>
      <c r="D94" s="187"/>
      <c r="E94" s="187"/>
      <c r="F94" s="189"/>
      <c r="G94" s="194"/>
      <c r="H94" s="189"/>
      <c r="I94" s="190"/>
      <c r="J94" s="182"/>
      <c r="K94" s="217"/>
      <c r="L94" s="180"/>
      <c r="M94" s="196"/>
      <c r="N94" s="18"/>
    </row>
    <row r="95" spans="2:14" ht="15" x14ac:dyDescent="0.25">
      <c r="B95" s="181" t="s">
        <v>0</v>
      </c>
      <c r="C95" s="241">
        <f>IF(I85&gt;F4,G93,(I93-F4)/365.25)</f>
        <v>33</v>
      </c>
      <c r="D95" s="187"/>
      <c r="E95" s="182"/>
      <c r="F95" s="182"/>
      <c r="G95" s="189" t="s">
        <v>13</v>
      </c>
      <c r="H95" s="197">
        <f>F14</f>
        <v>0.06</v>
      </c>
      <c r="I95" s="198"/>
      <c r="J95" s="182"/>
      <c r="K95" s="203">
        <f>IF(ISNUMBER(1/(H95+((H96/(((1+(H96))^G93)-1))/(1-H97)))),(1/(H95+((H96/(((1+(H96))^G93)-1))/(1-H97)))),((1-(POWER(1+H95,-C95)))/H95))</f>
        <v>14.230229611935886</v>
      </c>
      <c r="L95" s="180"/>
      <c r="M95" s="196"/>
      <c r="N95" s="18"/>
    </row>
    <row r="96" spans="2:14" ht="15.6" x14ac:dyDescent="0.3">
      <c r="B96" s="181" t="s">
        <v>1</v>
      </c>
      <c r="C96" s="241">
        <f>IF(I85&gt;F4,C95+C87,(I93-F4)/365.25)</f>
        <v>40.375770020533878</v>
      </c>
      <c r="D96" s="187"/>
      <c r="E96" s="63"/>
      <c r="F96" s="201" t="s">
        <v>23</v>
      </c>
      <c r="G96" s="189" t="s">
        <v>13</v>
      </c>
      <c r="H96" s="202">
        <f>F16</f>
        <v>0</v>
      </c>
      <c r="I96" s="198"/>
      <c r="J96" s="182"/>
      <c r="K96" s="203">
        <f>SUM(1/(POWER(1+H95,C87)))</f>
        <v>0.65065348104491938</v>
      </c>
      <c r="L96" s="224">
        <f>IF(G93&gt;0,(K93*K95*K96),0)</f>
        <v>833.30535897671189</v>
      </c>
      <c r="M96" s="196"/>
      <c r="N96" s="22"/>
    </row>
    <row r="97" spans="2:14" ht="15.6" x14ac:dyDescent="0.3">
      <c r="B97" s="23"/>
      <c r="C97" s="205"/>
      <c r="D97" s="205"/>
      <c r="E97" s="205"/>
      <c r="F97" s="206" t="s">
        <v>24</v>
      </c>
      <c r="G97" s="244" t="s">
        <v>13</v>
      </c>
      <c r="H97" s="134">
        <f>F17</f>
        <v>0</v>
      </c>
      <c r="I97" s="207"/>
      <c r="J97" s="205"/>
      <c r="K97" s="208"/>
      <c r="L97" s="225"/>
      <c r="M97" s="210"/>
      <c r="N97" s="18"/>
    </row>
    <row r="98" spans="2:14" ht="15.6" x14ac:dyDescent="0.3">
      <c r="B98" s="211" t="s">
        <v>18</v>
      </c>
      <c r="C98" s="182"/>
      <c r="D98" s="182"/>
      <c r="E98" s="183"/>
      <c r="F98" s="242"/>
      <c r="G98" s="183"/>
      <c r="H98" s="184"/>
      <c r="I98" s="243"/>
      <c r="J98" s="183"/>
      <c r="K98" s="182"/>
      <c r="L98" s="180"/>
      <c r="M98" s="214"/>
      <c r="N98" s="24"/>
    </row>
    <row r="99" spans="2:14" ht="15.6" x14ac:dyDescent="0.3">
      <c r="B99" s="181" t="s">
        <v>25</v>
      </c>
      <c r="C99" s="215">
        <f>C91*(1+E99)</f>
        <v>119.99970000000002</v>
      </c>
      <c r="D99" s="216" t="s">
        <v>17</v>
      </c>
      <c r="E99" s="146">
        <v>0.33333000000000002</v>
      </c>
      <c r="F99" s="189"/>
      <c r="G99" s="194"/>
      <c r="H99" s="189"/>
      <c r="I99" s="190"/>
      <c r="J99" s="182"/>
      <c r="K99" s="217"/>
      <c r="L99" s="180"/>
      <c r="M99" s="196"/>
      <c r="N99" s="18"/>
    </row>
    <row r="100" spans="2:14" ht="15.6" x14ac:dyDescent="0.3">
      <c r="B100" s="185" t="s">
        <v>26</v>
      </c>
      <c r="C100" s="218">
        <f>C92*(1+E100)</f>
        <v>0</v>
      </c>
      <c r="D100" s="216" t="s">
        <v>17</v>
      </c>
      <c r="E100" s="146">
        <v>0</v>
      </c>
      <c r="F100" s="189"/>
      <c r="G100" s="194"/>
      <c r="H100" s="189"/>
      <c r="I100" s="190"/>
      <c r="J100" s="182"/>
      <c r="K100" s="217"/>
      <c r="L100" s="180"/>
      <c r="M100" s="196"/>
      <c r="N100" s="18"/>
    </row>
    <row r="101" spans="2:14" ht="15.6" x14ac:dyDescent="0.3">
      <c r="B101" s="181" t="s">
        <v>27</v>
      </c>
      <c r="C101" s="188">
        <f>C99-C100</f>
        <v>119.99970000000002</v>
      </c>
      <c r="D101" s="200">
        <f>IF(I93&gt;F4,C103+D93,(I101-F4)/365.25)</f>
        <v>55.857770020533877</v>
      </c>
      <c r="E101" s="187"/>
      <c r="F101" s="189" t="s">
        <v>6</v>
      </c>
      <c r="G101" s="117">
        <v>15.481999999999999</v>
      </c>
      <c r="H101" s="189" t="s">
        <v>5</v>
      </c>
      <c r="I101" s="190">
        <f>EDATE(F19,(12*(G85+G93+G101)))</f>
        <v>64163</v>
      </c>
      <c r="J101" s="182"/>
      <c r="K101" s="191">
        <f>IF(I101&gt;F4,C101,0)</f>
        <v>119.99970000000002</v>
      </c>
      <c r="L101" s="180"/>
      <c r="M101" s="196"/>
      <c r="N101" s="18"/>
    </row>
    <row r="102" spans="2:14" ht="15.6" x14ac:dyDescent="0.3">
      <c r="B102" s="258"/>
      <c r="C102" s="11"/>
      <c r="D102" s="187"/>
      <c r="E102" s="187"/>
      <c r="F102" s="189"/>
      <c r="G102" s="194"/>
      <c r="H102" s="189"/>
      <c r="I102" s="190"/>
      <c r="J102" s="182"/>
      <c r="K102" s="217"/>
      <c r="L102" s="224"/>
      <c r="M102" s="196"/>
      <c r="N102" s="18"/>
    </row>
    <row r="103" spans="2:14" ht="15" x14ac:dyDescent="0.25">
      <c r="B103" s="181" t="s">
        <v>0</v>
      </c>
      <c r="C103" s="241">
        <f>IF(I93&gt;F4,G101,(I101-F4)/365.25)</f>
        <v>15.481999999999999</v>
      </c>
      <c r="D103" s="187"/>
      <c r="E103" s="182"/>
      <c r="F103" s="182"/>
      <c r="G103" s="189" t="s">
        <v>13</v>
      </c>
      <c r="H103" s="197">
        <f>F14</f>
        <v>0.06</v>
      </c>
      <c r="I103" s="198"/>
      <c r="J103" s="182"/>
      <c r="K103" s="203">
        <f>IF(ISNUMBER(1/(H103+((H104/(((1+(H104))^G101)-1))/(1-H105)))),(1/(H103+((H104/(((1+(H104))^G101)-1))/(1-H105)))),((1-(POWER(1+H103,-C103)))/H103))</f>
        <v>9.9048507467703519</v>
      </c>
      <c r="L103" s="224"/>
      <c r="M103" s="196"/>
      <c r="N103" s="18"/>
    </row>
    <row r="104" spans="2:14" ht="15.6" x14ac:dyDescent="0.3">
      <c r="B104" s="181" t="s">
        <v>1</v>
      </c>
      <c r="C104" s="241">
        <f>IF(I93&gt;F4,C103+C95+C87,(I101-F4)/365.25)</f>
        <v>55.857770020533877</v>
      </c>
      <c r="D104" s="187"/>
      <c r="E104" s="63"/>
      <c r="F104" s="201" t="s">
        <v>23</v>
      </c>
      <c r="G104" s="189" t="s">
        <v>13</v>
      </c>
      <c r="H104" s="202">
        <f>F16</f>
        <v>0</v>
      </c>
      <c r="I104" s="198"/>
      <c r="J104" s="182"/>
      <c r="K104" s="203">
        <f>SUM(1/(POWER(1+H103,D93)))</f>
        <v>9.511657506044488E-2</v>
      </c>
      <c r="L104" s="224">
        <f>IF(G101&gt;0,(K101*K103*K104),0)</f>
        <v>113.05357490747843</v>
      </c>
      <c r="M104" s="196"/>
      <c r="N104" s="18"/>
    </row>
    <row r="105" spans="2:14" ht="15.6" x14ac:dyDescent="0.3">
      <c r="B105" s="23"/>
      <c r="C105" s="205"/>
      <c r="D105" s="205"/>
      <c r="E105" s="205"/>
      <c r="F105" s="206" t="s">
        <v>24</v>
      </c>
      <c r="G105" s="244" t="s">
        <v>13</v>
      </c>
      <c r="H105" s="134">
        <f>F17</f>
        <v>0</v>
      </c>
      <c r="I105" s="207"/>
      <c r="J105" s="205"/>
      <c r="K105" s="208"/>
      <c r="L105" s="225"/>
      <c r="M105" s="210"/>
      <c r="N105" s="22"/>
    </row>
    <row r="106" spans="2:14" ht="15.6" x14ac:dyDescent="0.3">
      <c r="B106" s="211" t="s">
        <v>19</v>
      </c>
      <c r="C106" s="182"/>
      <c r="D106" s="182"/>
      <c r="E106" s="183"/>
      <c r="F106" s="242"/>
      <c r="G106" s="183"/>
      <c r="H106" s="184"/>
      <c r="I106" s="243"/>
      <c r="J106" s="183"/>
      <c r="K106" s="245"/>
      <c r="L106" s="180"/>
      <c r="M106" s="214"/>
      <c r="N106" s="18"/>
    </row>
    <row r="107" spans="2:14" ht="15.6" x14ac:dyDescent="0.3">
      <c r="B107" s="181" t="s">
        <v>25</v>
      </c>
      <c r="C107" s="215">
        <f>C99*(1+E107)</f>
        <v>119.99970000000002</v>
      </c>
      <c r="D107" s="220" t="s">
        <v>17</v>
      </c>
      <c r="E107" s="146">
        <v>0</v>
      </c>
      <c r="F107" s="189"/>
      <c r="G107" s="194"/>
      <c r="H107" s="189"/>
      <c r="I107" s="190"/>
      <c r="J107" s="182"/>
      <c r="K107" s="217"/>
      <c r="L107" s="180"/>
      <c r="M107" s="196"/>
      <c r="N107" s="24"/>
    </row>
    <row r="108" spans="2:14" ht="15.6" x14ac:dyDescent="0.3">
      <c r="B108" s="185" t="s">
        <v>26</v>
      </c>
      <c r="C108" s="218">
        <f>C100*(1+E108)</f>
        <v>0</v>
      </c>
      <c r="D108" s="220" t="s">
        <v>17</v>
      </c>
      <c r="E108" s="146">
        <v>0</v>
      </c>
      <c r="F108" s="189"/>
      <c r="G108" s="194"/>
      <c r="H108" s="189"/>
      <c r="I108" s="190"/>
      <c r="J108" s="182"/>
      <c r="K108" s="217"/>
      <c r="L108" s="224"/>
      <c r="M108" s="196"/>
      <c r="N108" s="24"/>
    </row>
    <row r="109" spans="2:14" ht="15.6" x14ac:dyDescent="0.3">
      <c r="B109" s="181" t="s">
        <v>27</v>
      </c>
      <c r="C109" s="188">
        <f>C107-C108</f>
        <v>119.99970000000002</v>
      </c>
      <c r="D109" s="200">
        <f>IF(I101&gt;F4,C111+D101,(I109-F4)/365.25)</f>
        <v>55.857770020533877</v>
      </c>
      <c r="E109" s="187"/>
      <c r="F109" s="189" t="s">
        <v>6</v>
      </c>
      <c r="G109" s="117">
        <v>0</v>
      </c>
      <c r="H109" s="189" t="s">
        <v>5</v>
      </c>
      <c r="I109" s="190">
        <f>EDATE(F19,(12*(G85+G93+G101+G109)))</f>
        <v>64163</v>
      </c>
      <c r="J109" s="182"/>
      <c r="K109" s="191">
        <f>IF(I109&gt;F4,C109,0)</f>
        <v>119.99970000000002</v>
      </c>
      <c r="L109" s="224"/>
      <c r="M109" s="196"/>
      <c r="N109" s="18"/>
    </row>
    <row r="110" spans="2:14" ht="15.6" x14ac:dyDescent="0.3">
      <c r="B110" s="258"/>
      <c r="C110" s="11"/>
      <c r="D110" s="187"/>
      <c r="E110" s="187"/>
      <c r="F110" s="189"/>
      <c r="G110" s="194"/>
      <c r="H110" s="189"/>
      <c r="I110" s="190"/>
      <c r="J110" s="182"/>
      <c r="K110" s="217"/>
      <c r="L110" s="224"/>
      <c r="M110" s="196"/>
      <c r="N110" s="18"/>
    </row>
    <row r="111" spans="2:14" ht="15" x14ac:dyDescent="0.25">
      <c r="B111" s="181" t="s">
        <v>0</v>
      </c>
      <c r="C111" s="241">
        <f>IF(I101&gt;F4,G109,(I109-F4)/365.25)</f>
        <v>0</v>
      </c>
      <c r="D111" s="187"/>
      <c r="E111" s="182"/>
      <c r="F111" s="182"/>
      <c r="G111" s="189" t="s">
        <v>13</v>
      </c>
      <c r="H111" s="197">
        <f>F14</f>
        <v>0.06</v>
      </c>
      <c r="I111" s="198"/>
      <c r="J111" s="182"/>
      <c r="K111" s="203">
        <f>IF(ISNUMBER(1/(H111+((H112/(((1+(H112))^G109)-1))/(1-H113)))),(1/(H111+((H112/(((1+(H112))^G109)-1))/(1-H113)))),((1-(POWER(1+H111,-C111)))/H111))</f>
        <v>0</v>
      </c>
      <c r="L111" s="246"/>
      <c r="M111" s="196"/>
      <c r="N111" s="18"/>
    </row>
    <row r="112" spans="2:14" ht="15.6" x14ac:dyDescent="0.3">
      <c r="B112" s="181" t="s">
        <v>1</v>
      </c>
      <c r="C112" s="241">
        <f>IF(I101&gt;F4,C111+C103+C95+C87,(I109-F4)/365.25)</f>
        <v>55.857770020533877</v>
      </c>
      <c r="D112" s="187"/>
      <c r="E112" s="63"/>
      <c r="F112" s="201" t="s">
        <v>23</v>
      </c>
      <c r="G112" s="189" t="s">
        <v>13</v>
      </c>
      <c r="H112" s="202">
        <f>F16</f>
        <v>0</v>
      </c>
      <c r="I112" s="198"/>
      <c r="J112" s="182"/>
      <c r="K112" s="203">
        <f>SUM(1/(POWER(1+H111,D101)))</f>
        <v>3.8589646289383758E-2</v>
      </c>
      <c r="L112" s="224">
        <f>IF(G109&gt;0,(K109*K111*K112),0)</f>
        <v>0</v>
      </c>
      <c r="M112" s="196"/>
      <c r="N112" s="18"/>
    </row>
    <row r="113" spans="2:14" ht="15.6" x14ac:dyDescent="0.3">
      <c r="B113" s="23"/>
      <c r="C113" s="205"/>
      <c r="D113" s="205"/>
      <c r="E113" s="205"/>
      <c r="F113" s="206" t="s">
        <v>24</v>
      </c>
      <c r="G113" s="244" t="s">
        <v>13</v>
      </c>
      <c r="H113" s="134">
        <f>F17</f>
        <v>0</v>
      </c>
      <c r="I113" s="207"/>
      <c r="J113" s="205"/>
      <c r="K113" s="208"/>
      <c r="L113" s="225"/>
      <c r="M113" s="210"/>
      <c r="N113" s="18"/>
    </row>
    <row r="114" spans="2:14" ht="15.6" x14ac:dyDescent="0.3">
      <c r="B114" s="211" t="s">
        <v>20</v>
      </c>
      <c r="C114" s="182"/>
      <c r="D114" s="182"/>
      <c r="E114" s="183"/>
      <c r="F114" s="242"/>
      <c r="G114" s="183"/>
      <c r="H114" s="184"/>
      <c r="I114" s="243"/>
      <c r="J114" s="183"/>
      <c r="K114" s="182"/>
      <c r="L114" s="180"/>
      <c r="M114" s="214"/>
      <c r="N114" s="22"/>
    </row>
    <row r="115" spans="2:14" ht="15.6" x14ac:dyDescent="0.3">
      <c r="B115" s="181" t="s">
        <v>25</v>
      </c>
      <c r="C115" s="215">
        <f>C107*(1+E115)</f>
        <v>119.99970000000002</v>
      </c>
      <c r="D115" s="220" t="s">
        <v>17</v>
      </c>
      <c r="E115" s="146">
        <v>0</v>
      </c>
      <c r="F115" s="189"/>
      <c r="G115" s="194"/>
      <c r="H115" s="189"/>
      <c r="I115" s="190"/>
      <c r="J115" s="182"/>
      <c r="K115" s="221"/>
      <c r="L115" s="180"/>
      <c r="M115" s="196"/>
      <c r="N115" s="18"/>
    </row>
    <row r="116" spans="2:14" ht="15.6" x14ac:dyDescent="0.3">
      <c r="B116" s="185" t="s">
        <v>26</v>
      </c>
      <c r="C116" s="218">
        <f>C108*(1+E116)</f>
        <v>0</v>
      </c>
      <c r="D116" s="220" t="s">
        <v>17</v>
      </c>
      <c r="E116" s="146">
        <v>0</v>
      </c>
      <c r="F116" s="189"/>
      <c r="G116" s="194"/>
      <c r="H116" s="189"/>
      <c r="I116" s="190"/>
      <c r="J116" s="182"/>
      <c r="K116" s="217"/>
      <c r="L116" s="180"/>
      <c r="M116" s="196"/>
      <c r="N116" s="18"/>
    </row>
    <row r="117" spans="2:14" ht="15.6" x14ac:dyDescent="0.3">
      <c r="B117" s="181" t="s">
        <v>27</v>
      </c>
      <c r="C117" s="188">
        <f>C115-C116</f>
        <v>119.99970000000002</v>
      </c>
      <c r="D117" s="200">
        <f>IF(I109&gt;F4,C119+D109,(I117-F4)/365.25)</f>
        <v>55.857770020533877</v>
      </c>
      <c r="E117" s="187"/>
      <c r="F117" s="189" t="s">
        <v>6</v>
      </c>
      <c r="G117" s="117">
        <v>0</v>
      </c>
      <c r="H117" s="189" t="s">
        <v>5</v>
      </c>
      <c r="I117" s="190">
        <f>EDATE(F19,(12*(G85+G93+G101+G109+G117)))</f>
        <v>64163</v>
      </c>
      <c r="J117" s="182"/>
      <c r="K117" s="191">
        <f>IF(I117&gt;F4,C117,0)</f>
        <v>119.99970000000002</v>
      </c>
      <c r="L117" s="224"/>
      <c r="M117" s="196"/>
      <c r="N117" s="26"/>
    </row>
    <row r="118" spans="2:14" ht="15.6" x14ac:dyDescent="0.3">
      <c r="B118" s="258"/>
      <c r="C118" s="11"/>
      <c r="D118" s="187"/>
      <c r="E118" s="187"/>
      <c r="F118" s="189"/>
      <c r="G118" s="194"/>
      <c r="H118" s="189"/>
      <c r="I118" s="222"/>
      <c r="J118" s="182"/>
      <c r="K118" s="217"/>
      <c r="L118" s="224"/>
      <c r="M118" s="196"/>
      <c r="N118" s="27"/>
    </row>
    <row r="119" spans="2:14" ht="15" x14ac:dyDescent="0.25">
      <c r="B119" s="181" t="s">
        <v>0</v>
      </c>
      <c r="C119" s="241">
        <f>IF(I109&gt;F4,G117,(I117-F4)/365.25)</f>
        <v>0</v>
      </c>
      <c r="D119" s="187"/>
      <c r="E119" s="182"/>
      <c r="F119" s="182"/>
      <c r="G119" s="189" t="s">
        <v>13</v>
      </c>
      <c r="H119" s="197">
        <f>F14</f>
        <v>0.06</v>
      </c>
      <c r="I119" s="223"/>
      <c r="J119" s="182"/>
      <c r="K119" s="203">
        <f>IF(ISNUMBER(1/(H119+((H120/(((1+(H120))^G117)-1))/(1-H121)))),(1/(H119+((H120/(((1+(H120))^G117)-1))/(1-H121)))),((1-(POWER(1+H119,-C119)))/H119))</f>
        <v>0</v>
      </c>
      <c r="L119" s="224"/>
      <c r="M119" s="196"/>
      <c r="N119" s="27"/>
    </row>
    <row r="120" spans="2:14" ht="15.6" x14ac:dyDescent="0.3">
      <c r="B120" s="181" t="s">
        <v>1</v>
      </c>
      <c r="C120" s="241">
        <f>IF(I101&gt;F4,C111+C103+C95+C87,(I109-F4)/365.25)</f>
        <v>55.857770020533877</v>
      </c>
      <c r="D120" s="187"/>
      <c r="E120" s="63"/>
      <c r="F120" s="201" t="s">
        <v>23</v>
      </c>
      <c r="G120" s="189" t="s">
        <v>13</v>
      </c>
      <c r="H120" s="202">
        <f>F16</f>
        <v>0</v>
      </c>
      <c r="I120" s="223"/>
      <c r="J120" s="182"/>
      <c r="K120" s="203">
        <f>SUM(1/(POWER(1+H119,D109)))</f>
        <v>3.8589646289383758E-2</v>
      </c>
      <c r="L120" s="224">
        <f>IF(G117&gt;0,(K117*K119*K120),0)</f>
        <v>0</v>
      </c>
      <c r="M120" s="196"/>
      <c r="N120" s="27"/>
    </row>
    <row r="121" spans="2:14" ht="15.6" x14ac:dyDescent="0.3">
      <c r="B121" s="219"/>
      <c r="C121" s="205"/>
      <c r="D121" s="205"/>
      <c r="E121" s="205"/>
      <c r="F121" s="206" t="s">
        <v>24</v>
      </c>
      <c r="G121" s="244" t="s">
        <v>13</v>
      </c>
      <c r="H121" s="134">
        <f>F17</f>
        <v>0</v>
      </c>
      <c r="I121" s="205"/>
      <c r="J121" s="205"/>
      <c r="K121" s="208"/>
      <c r="L121" s="225"/>
      <c r="M121" s="210"/>
      <c r="N121" s="27"/>
    </row>
    <row r="122" spans="2:14" ht="15.6" x14ac:dyDescent="0.3">
      <c r="B122" s="193"/>
      <c r="C122" s="182"/>
      <c r="D122" s="182"/>
      <c r="E122" s="182"/>
      <c r="F122" s="182"/>
      <c r="G122" s="182"/>
      <c r="H122" s="182"/>
      <c r="I122" s="182"/>
      <c r="J122" s="182"/>
      <c r="K122" s="226" t="s">
        <v>28</v>
      </c>
      <c r="L122" s="227">
        <f>L88+L96+L104+L112+L120</f>
        <v>1295.7054528392709</v>
      </c>
      <c r="M122" s="227"/>
      <c r="N122" s="27"/>
    </row>
    <row r="123" spans="2:14" ht="15" x14ac:dyDescent="0.25">
      <c r="B123" s="219"/>
      <c r="C123" s="205"/>
      <c r="D123" s="205"/>
      <c r="E123" s="205"/>
      <c r="F123" s="205"/>
      <c r="G123" s="205"/>
      <c r="H123" s="205"/>
      <c r="I123" s="205"/>
      <c r="J123" s="205"/>
      <c r="K123" s="205"/>
      <c r="L123" s="205"/>
      <c r="M123" s="205"/>
      <c r="N123" s="28"/>
    </row>
    <row r="125" spans="2:14" ht="22.8" x14ac:dyDescent="0.4">
      <c r="B125" s="309" t="s">
        <v>54</v>
      </c>
      <c r="C125" s="12"/>
      <c r="D125" s="12"/>
      <c r="E125" s="290"/>
      <c r="F125" s="311"/>
      <c r="G125" s="311" t="s">
        <v>31</v>
      </c>
      <c r="H125" s="291"/>
      <c r="I125" s="291"/>
      <c r="J125" s="51"/>
      <c r="K125" s="51"/>
      <c r="L125" s="292"/>
      <c r="M125" s="25"/>
      <c r="N125" s="52"/>
    </row>
    <row r="126" spans="2:14" ht="15.6" x14ac:dyDescent="0.3">
      <c r="B126" s="293"/>
      <c r="C126" s="189"/>
      <c r="D126" s="189"/>
      <c r="E126" s="189"/>
      <c r="F126" s="189"/>
      <c r="G126" s="189"/>
      <c r="H126" s="189"/>
      <c r="I126" s="182"/>
      <c r="J126" s="322"/>
      <c r="K126" s="295"/>
      <c r="L126" s="296"/>
      <c r="M126" s="297"/>
      <c r="N126" s="27"/>
    </row>
    <row r="127" spans="2:14" ht="15.6" x14ac:dyDescent="0.3">
      <c r="B127" s="310"/>
      <c r="C127" s="189"/>
      <c r="D127" s="189"/>
      <c r="E127" s="189" t="s">
        <v>11</v>
      </c>
      <c r="F127" s="189"/>
      <c r="G127" s="189"/>
      <c r="H127" s="189"/>
      <c r="I127" s="182"/>
      <c r="J127" s="294"/>
      <c r="K127" s="189"/>
      <c r="L127" s="296"/>
      <c r="M127" s="296"/>
      <c r="N127" s="27"/>
    </row>
    <row r="128" spans="2:14" ht="15.6" x14ac:dyDescent="0.3">
      <c r="B128" s="298">
        <f>IF(ISNUMBER(F71),F71,F80)</f>
        <v>140.95824777549623</v>
      </c>
      <c r="C128" s="294">
        <f>F30</f>
        <v>130139.00000000001</v>
      </c>
      <c r="D128" s="189"/>
      <c r="E128" s="189" t="s">
        <v>12</v>
      </c>
      <c r="F128" s="200">
        <f>DATEDIF(F4,F21,"D")/365.25</f>
        <v>55.958932238193022</v>
      </c>
      <c r="G128" s="189" t="s">
        <v>13</v>
      </c>
      <c r="H128" s="316">
        <f>F15</f>
        <v>5.5E-2</v>
      </c>
      <c r="I128" s="182"/>
      <c r="J128" s="294"/>
      <c r="K128" s="299">
        <f>(1/((1+(H128))^F128))</f>
        <v>4.9982409347410911E-2</v>
      </c>
      <c r="L128" s="295">
        <f>C128*K128</f>
        <v>6504.6607700627092</v>
      </c>
      <c r="M128" s="296"/>
      <c r="N128" s="27"/>
    </row>
    <row r="129" spans="2:14" ht="15.6" x14ac:dyDescent="0.3">
      <c r="B129" s="293"/>
      <c r="C129" s="189"/>
      <c r="D129" s="189"/>
      <c r="E129" s="189"/>
      <c r="F129" s="189"/>
      <c r="G129" s="189"/>
      <c r="H129" s="222"/>
      <c r="I129" s="182"/>
      <c r="J129" s="295"/>
      <c r="K129" s="295"/>
      <c r="L129" s="180"/>
      <c r="M129" s="214"/>
      <c r="N129" s="18"/>
    </row>
    <row r="130" spans="2:14" ht="15.6" x14ac:dyDescent="0.3">
      <c r="B130" s="193"/>
      <c r="C130" s="189"/>
      <c r="D130" s="189"/>
      <c r="E130" s="201"/>
      <c r="F130" s="189"/>
      <c r="G130" s="189"/>
      <c r="H130" s="300"/>
      <c r="I130" s="222"/>
      <c r="J130" s="222"/>
      <c r="K130" s="301" t="s">
        <v>14</v>
      </c>
      <c r="L130" s="317">
        <f>L128</f>
        <v>6504.6607700627092</v>
      </c>
      <c r="M130" s="214"/>
      <c r="N130" s="302"/>
    </row>
    <row r="131" spans="2:14" ht="15.6" x14ac:dyDescent="0.3">
      <c r="B131" s="193"/>
      <c r="C131" s="189"/>
      <c r="D131" s="189"/>
      <c r="E131" s="201"/>
      <c r="F131" s="189"/>
      <c r="G131" s="189"/>
      <c r="H131" s="300"/>
      <c r="I131" s="222"/>
      <c r="J131" s="222"/>
      <c r="K131" s="222"/>
      <c r="L131" s="301"/>
      <c r="M131" s="303"/>
      <c r="N131" s="302"/>
    </row>
    <row r="132" spans="2:14" ht="15.6" x14ac:dyDescent="0.3">
      <c r="B132" s="219"/>
      <c r="C132" s="244"/>
      <c r="D132" s="244"/>
      <c r="E132" s="206"/>
      <c r="F132" s="244"/>
      <c r="G132" s="244"/>
      <c r="H132" s="304"/>
      <c r="I132" s="247"/>
      <c r="J132" s="305"/>
      <c r="K132" s="306" t="s">
        <v>55</v>
      </c>
      <c r="L132" s="307">
        <f>L122+L130</f>
        <v>7800.3662229019801</v>
      </c>
      <c r="M132" s="304"/>
      <c r="N132" s="308"/>
    </row>
  </sheetData>
  <mergeCells count="6">
    <mergeCell ref="F4:G4"/>
    <mergeCell ref="F10:G10"/>
    <mergeCell ref="F12:G12"/>
    <mergeCell ref="F19:G19"/>
    <mergeCell ref="M20:N20"/>
    <mergeCell ref="F21:G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</vt:lpstr>
    </vt:vector>
  </TitlesOfParts>
  <Company>EasyValuations.com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Antony Milton</dc:creator>
  <cp:lastModifiedBy>Antony Milton</cp:lastModifiedBy>
  <cp:lastPrinted>2018-01-22T11:54:59Z</cp:lastPrinted>
  <dcterms:created xsi:type="dcterms:W3CDTF">2006-03-24T14:50:59Z</dcterms:created>
  <dcterms:modified xsi:type="dcterms:W3CDTF">2026-01-24T21:25:57Z</dcterms:modified>
</cp:coreProperties>
</file>