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aa166e6fbb7ae5e/EasyValuations/Done/"/>
    </mc:Choice>
  </mc:AlternateContent>
  <xr:revisionPtr revIDLastSave="2" documentId="8_{D3BF8A91-756C-4127-90A6-F260929D4ACF}" xr6:coauthVersionLast="47" xr6:coauthVersionMax="47" xr10:uidLastSave="{F7900585-062D-4CB1-A776-84ACAFEDDECF}"/>
  <bookViews>
    <workbookView xWindow="-108" yWindow="-108" windowWidth="23256" windowHeight="12456" xr2:uid="{00000000-000D-0000-FFFF-FFFF00000000}"/>
  </bookViews>
  <sheets>
    <sheet name="Freeholder" sheetId="3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0" i="31" l="1"/>
  <c r="M21" i="31"/>
  <c r="L31" i="31"/>
  <c r="K74" i="31" s="1"/>
  <c r="G126" i="31"/>
  <c r="G125" i="31"/>
  <c r="G110" i="31"/>
  <c r="G94" i="31"/>
  <c r="G141" i="31"/>
  <c r="G109" i="31"/>
  <c r="G93" i="31"/>
  <c r="L126" i="31"/>
  <c r="M126" i="31" s="1"/>
  <c r="N126" i="31" s="1"/>
  <c r="J126" i="31"/>
  <c r="I126" i="31" s="1"/>
  <c r="H126" i="31" s="1"/>
  <c r="L94" i="31"/>
  <c r="L95" i="31" s="1"/>
  <c r="J94" i="31"/>
  <c r="I94" i="31" s="1"/>
  <c r="L110" i="31"/>
  <c r="L111" i="31" s="1"/>
  <c r="J110" i="31"/>
  <c r="J111" i="31" s="1"/>
  <c r="J142" i="31"/>
  <c r="I142" i="31" s="1"/>
  <c r="H142" i="31" s="1"/>
  <c r="H143" i="31" s="1"/>
  <c r="L142" i="31"/>
  <c r="M142" i="31" s="1"/>
  <c r="N142" i="31" s="1"/>
  <c r="N143" i="31" s="1"/>
  <c r="F148" i="31"/>
  <c r="F147" i="31" s="1"/>
  <c r="F146" i="31" s="1"/>
  <c r="F145" i="31" s="1"/>
  <c r="F144" i="31" s="1"/>
  <c r="F100" i="31"/>
  <c r="F99" i="31" s="1"/>
  <c r="G99" i="31" s="1"/>
  <c r="F102" i="31"/>
  <c r="G102" i="31" s="1"/>
  <c r="F118" i="31"/>
  <c r="G118" i="31" s="1"/>
  <c r="F116" i="31"/>
  <c r="F115" i="31" s="1"/>
  <c r="F134" i="31"/>
  <c r="G134" i="31" s="1"/>
  <c r="F132" i="31"/>
  <c r="F131" i="31" s="1"/>
  <c r="F150" i="31"/>
  <c r="F151" i="31" s="1"/>
  <c r="F152" i="31" s="1"/>
  <c r="F153" i="31" s="1"/>
  <c r="F154" i="31" s="1"/>
  <c r="G154" i="31" s="1"/>
  <c r="L20" i="31"/>
  <c r="L19" i="31"/>
  <c r="M15" i="31" s="1"/>
  <c r="L27" i="31"/>
  <c r="K62" i="31" s="1"/>
  <c r="K63" i="31" s="1"/>
  <c r="I35" i="31"/>
  <c r="F36" i="31"/>
  <c r="D36" i="31" s="1"/>
  <c r="K35" i="31" s="1"/>
  <c r="I39" i="31"/>
  <c r="F40" i="31"/>
  <c r="I44" i="31"/>
  <c r="F45" i="31"/>
  <c r="D50" i="31" s="1"/>
  <c r="I49" i="31"/>
  <c r="F50" i="31"/>
  <c r="D55" i="31" s="1"/>
  <c r="I54" i="31"/>
  <c r="F55" i="31"/>
  <c r="K80" i="31"/>
  <c r="I83" i="31"/>
  <c r="L21" i="31" l="1"/>
  <c r="L127" i="31"/>
  <c r="H127" i="31"/>
  <c r="I127" i="31"/>
  <c r="J127" i="31"/>
  <c r="I95" i="31"/>
  <c r="H94" i="31"/>
  <c r="H95" i="31" s="1"/>
  <c r="M94" i="31"/>
  <c r="J95" i="31"/>
  <c r="M110" i="31"/>
  <c r="N110" i="31" s="1"/>
  <c r="N111" i="31" s="1"/>
  <c r="I110" i="31"/>
  <c r="J143" i="31"/>
  <c r="L143" i="31"/>
  <c r="I143" i="31"/>
  <c r="M143" i="31"/>
  <c r="F135" i="31"/>
  <c r="G135" i="31" s="1"/>
  <c r="G144" i="31"/>
  <c r="F98" i="31"/>
  <c r="F103" i="31"/>
  <c r="G100" i="31"/>
  <c r="G115" i="31"/>
  <c r="F114" i="31"/>
  <c r="F119" i="31"/>
  <c r="G116" i="31"/>
  <c r="G131" i="31"/>
  <c r="F130" i="31"/>
  <c r="G132" i="31"/>
  <c r="G147" i="31"/>
  <c r="G152" i="31"/>
  <c r="G146" i="31"/>
  <c r="G148" i="31"/>
  <c r="G153" i="31"/>
  <c r="G151" i="31"/>
  <c r="G145" i="31"/>
  <c r="G150" i="31"/>
  <c r="K55" i="31"/>
  <c r="K77" i="31"/>
  <c r="K68" i="31"/>
  <c r="K50" i="31"/>
  <c r="D40" i="31"/>
  <c r="K40" i="31" s="1"/>
  <c r="K54" i="31"/>
  <c r="K49" i="31"/>
  <c r="D45" i="31"/>
  <c r="K36" i="31"/>
  <c r="M37" i="31" s="1"/>
  <c r="L23" i="31"/>
  <c r="L6" i="31"/>
  <c r="L26" i="31" s="1"/>
  <c r="M111" i="31" l="1"/>
  <c r="I64" i="31"/>
  <c r="G142" i="31"/>
  <c r="F136" i="31"/>
  <c r="G136" i="31" s="1"/>
  <c r="N127" i="31"/>
  <c r="M127" i="31"/>
  <c r="M95" i="31"/>
  <c r="N94" i="31"/>
  <c r="N95" i="31" s="1"/>
  <c r="I111" i="31"/>
  <c r="H110" i="31"/>
  <c r="H111" i="31" s="1"/>
  <c r="F97" i="31"/>
  <c r="G98" i="31"/>
  <c r="F104" i="31"/>
  <c r="G103" i="31"/>
  <c r="G119" i="31"/>
  <c r="F120" i="31"/>
  <c r="F113" i="31"/>
  <c r="G114" i="31"/>
  <c r="F129" i="31"/>
  <c r="G130" i="31"/>
  <c r="I69" i="31"/>
  <c r="M24" i="31"/>
  <c r="M23" i="31"/>
  <c r="L24" i="31"/>
  <c r="F69" i="31"/>
  <c r="D41" i="31"/>
  <c r="K41" i="31" s="1"/>
  <c r="K39" i="31"/>
  <c r="K45" i="31"/>
  <c r="K44" i="31"/>
  <c r="F64" i="31"/>
  <c r="F137" i="31" l="1"/>
  <c r="D46" i="31"/>
  <c r="D51" i="31" s="1"/>
  <c r="K51" i="31" s="1"/>
  <c r="M52" i="31" s="1"/>
  <c r="K64" i="31"/>
  <c r="M64" i="31" s="1"/>
  <c r="K69" i="31"/>
  <c r="M69" i="31" s="1"/>
  <c r="K81" i="31" s="1"/>
  <c r="M81" i="31" s="1"/>
  <c r="G104" i="31"/>
  <c r="F105" i="31"/>
  <c r="G97" i="31"/>
  <c r="F96" i="31"/>
  <c r="G96" i="31" s="1"/>
  <c r="G113" i="31"/>
  <c r="F112" i="31"/>
  <c r="G112" i="31" s="1"/>
  <c r="G120" i="31"/>
  <c r="F121" i="31"/>
  <c r="G129" i="31"/>
  <c r="F128" i="31"/>
  <c r="G128" i="31" s="1"/>
  <c r="G137" i="31"/>
  <c r="F138" i="31"/>
  <c r="G138" i="31" s="1"/>
  <c r="M42" i="31"/>
  <c r="K46" i="31" l="1"/>
  <c r="M47" i="31" s="1"/>
  <c r="D56" i="31"/>
  <c r="K56" i="31" s="1"/>
  <c r="M57" i="31" s="1"/>
  <c r="O69" i="31"/>
  <c r="F106" i="31"/>
  <c r="G106" i="31" s="1"/>
  <c r="G105" i="31"/>
  <c r="G121" i="31"/>
  <c r="F122" i="31"/>
  <c r="G122" i="31" s="1"/>
  <c r="O58" i="31" l="1"/>
  <c r="J66" i="31" s="1"/>
  <c r="K75" i="31" l="1"/>
  <c r="M75" i="31" s="1"/>
  <c r="M82" i="31" s="1"/>
  <c r="O83" i="31" s="1"/>
  <c r="O71" i="31"/>
  <c r="O84" i="31" l="1"/>
  <c r="O85" i="31" s="1"/>
  <c r="O88" i="31" s="1"/>
  <c r="G111" i="31" s="1"/>
  <c r="G143" i="31" l="1"/>
  <c r="G95" i="31"/>
  <c r="G127" i="31"/>
</calcChain>
</file>

<file path=xl/sharedStrings.xml><?xml version="1.0" encoding="utf-8"?>
<sst xmlns="http://schemas.openxmlformats.org/spreadsheetml/2006/main" count="108" uniqueCount="77">
  <si>
    <t xml:space="preserve">Years Purchase for </t>
  </si>
  <si>
    <t xml:space="preserve">PV of £1 in </t>
  </si>
  <si>
    <t>Valuing the Term</t>
  </si>
  <si>
    <t>Valuing the Reversion</t>
  </si>
  <si>
    <t xml:space="preserve">Ground rent @ </t>
  </si>
  <si>
    <t xml:space="preserve">Ground rent @  </t>
  </si>
  <si>
    <t>Relativity</t>
  </si>
  <si>
    <t xml:space="preserve">Leaseholder's New Interest : </t>
  </si>
  <si>
    <t>for</t>
  </si>
  <si>
    <t>Cap Rate=</t>
  </si>
  <si>
    <t>Price=</t>
  </si>
  <si>
    <t>Relativity v Cap Rate</t>
  </si>
  <si>
    <t>(The Leasehold Reform, Housing, Urban &amp; Development Act 1993)</t>
  </si>
  <si>
    <t>@</t>
  </si>
  <si>
    <t>Less</t>
  </si>
  <si>
    <t>Marriage Value</t>
  </si>
  <si>
    <t>Cap Rate v Deferment Rate</t>
  </si>
  <si>
    <t>Deferment Rate=</t>
  </si>
  <si>
    <t>Cap Rate</t>
  </si>
  <si>
    <t>Deferment Rate</t>
  </si>
  <si>
    <t>Deferment rate (Sporteli) =</t>
  </si>
  <si>
    <t>Risk Free Rate</t>
  </si>
  <si>
    <t>Risk Premium</t>
  </si>
  <si>
    <t>Real Growth Rate</t>
  </si>
  <si>
    <t>Additional Management Problems (for Flats only)</t>
  </si>
  <si>
    <t>Date Lease Commences</t>
  </si>
  <si>
    <t xml:space="preserve">Date of Valuation </t>
  </si>
  <si>
    <t>Unexpired Term</t>
  </si>
  <si>
    <t>Capitalisation Rate</t>
  </si>
  <si>
    <t xml:space="preserve">Deferment Rate </t>
  </si>
  <si>
    <t xml:space="preserve">Freehold Value </t>
  </si>
  <si>
    <t>Value of Flat</t>
  </si>
  <si>
    <t>Lease Extension Valuation</t>
  </si>
  <si>
    <t>Subject to Contract &amp; Without Prejudice</t>
  </si>
  <si>
    <t>Extension</t>
  </si>
  <si>
    <t>Extended Lease Expiry Date</t>
  </si>
  <si>
    <t>Existing Lease Value</t>
  </si>
  <si>
    <t>Loss of Reversion</t>
  </si>
  <si>
    <t>New Reversion</t>
  </si>
  <si>
    <t>In addition, freeholders' resonable costs are payable and can include solicitors and surveyors fees &amp; any ground rent arrears</t>
  </si>
  <si>
    <t xml:space="preserve">Say : </t>
  </si>
  <si>
    <t xml:space="preserve">Price Payable to Freeholder (after additions) : </t>
  </si>
  <si>
    <t xml:space="preserve">Freeholder's Share Plus - Value of Development Land (Hope Value) : </t>
  </si>
  <si>
    <t xml:space="preserve">Freeholder's Share Plus - Value of Apurtenant Land : </t>
  </si>
  <si>
    <t xml:space="preserve">Price Payable to Freeholder (before any additions) : </t>
  </si>
  <si>
    <t xml:space="preserve">Freeholder's Share of Marriage Value : </t>
  </si>
  <si>
    <t xml:space="preserve">Leaseholder's Share of Marriage Value : </t>
  </si>
  <si>
    <t xml:space="preserve">Marriage Gain : </t>
  </si>
  <si>
    <t xml:space="preserve">Freeholder's New Interest : </t>
  </si>
  <si>
    <t>+</t>
  </si>
  <si>
    <t xml:space="preserve">Less 'No Act World' adjustment : </t>
  </si>
  <si>
    <t xml:space="preserve">Freeholder's Present Interest : </t>
  </si>
  <si>
    <t xml:space="preserve">Leaseholder's Present Interest : </t>
  </si>
  <si>
    <t xml:space="preserve">Total Value of Current Interest : </t>
  </si>
  <si>
    <t xml:space="preserve">Less Schedule 10 Rights : </t>
  </si>
  <si>
    <t>PV of £1 deferred for</t>
  </si>
  <si>
    <t xml:space="preserve"> to </t>
  </si>
  <si>
    <t>Long Leasehold Value</t>
  </si>
  <si>
    <t>Uplift for Freehold</t>
  </si>
  <si>
    <t>Leasehold Reform Act 2002</t>
  </si>
  <si>
    <t>Term of Lease - Days</t>
  </si>
  <si>
    <t>amended by the Housing Act 1996 and the Commonhold and</t>
  </si>
  <si>
    <t>Term of Lease - Months</t>
  </si>
  <si>
    <t>Leasehold Reform, Housing and Urban Development Act 1993, as</t>
  </si>
  <si>
    <t>Term of Lease - Years</t>
  </si>
  <si>
    <t>at a peppercorn ground rent), in accordance with Schedule 13 of the</t>
  </si>
  <si>
    <t>Assessment of premium for a new lease (an additional 90 year term</t>
  </si>
  <si>
    <t>Flat &lt;80yrs</t>
  </si>
  <si>
    <t>term of 70 years. Again the landlord’s interest is not extinguished, but now 50% of the marriage value is payable.</t>
  </si>
  <si>
    <t>This example shows the new lease premium calculation following Example 4 (Schedule 13), but with an existing lease</t>
  </si>
  <si>
    <t>Relativity =</t>
  </si>
  <si>
    <t>Flat 19, 22 Hall Road, Highgate, N8 8HT</t>
  </si>
  <si>
    <t>Lease Expiry</t>
  </si>
  <si>
    <t>New Unexpired Term</t>
  </si>
  <si>
    <t>Price v Relativity</t>
  </si>
  <si>
    <t>Price v Cap Rate</t>
  </si>
  <si>
    <t>Expired Term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</si>
</sst>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5" formatCode="&quot;£&quot;#,##0;\-&quot;£&quot;#,##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  <numFmt numFmtId="165" formatCode="_-&quot;£&quot;* #,##0_-;\-&quot;£&quot;* #,##0_-;_-&quot;£&quot;* &quot;-&quot;??_-;_-@_-"/>
    <numFmt numFmtId="166" formatCode="_-* #,##0_-;\-* #,##0_-;_-* &quot;-&quot;??_-;_-@_-"/>
    <numFmt numFmtId="167" formatCode="#,##0.0000"/>
    <numFmt numFmtId="168" formatCode="_(* #,##0_);_(* \(#,##0\);_(* &quot;-&quot;??_);_(@_)"/>
    <numFmt numFmtId="169" formatCode="_-[$£-809]* #,##0_-;\-[$£-809]* #,##0_-;_-[$£-809]* &quot;-&quot;??_-;_-@_-"/>
    <numFmt numFmtId="170" formatCode="#,##0.00\ &quot;years&quot;"/>
    <numFmt numFmtId="171" formatCode="&quot;£&quot;#,##0"/>
    <numFmt numFmtId="172" formatCode="_-* #,##0.0000_-;\-* #,##0.0000_-;_-* &quot;-&quot;??_-;_-@_-"/>
    <numFmt numFmtId="173" formatCode="#,##0.00\ &quot; years&quot;"/>
    <numFmt numFmtId="174" formatCode="#,##0\ &quot; months&quot;"/>
    <numFmt numFmtId="175" formatCode="#,##0\ &quot; days&quot;"/>
    <numFmt numFmtId="176" formatCode="[$-F800]dddd\,\ mmmm\ dd\,\ yyyy"/>
    <numFmt numFmtId="177" formatCode="_(* #,##0.00_);_(* \(#,##0.00\);_(* &quot;-&quot;??_);_(@_)"/>
    <numFmt numFmtId="178" formatCode="&quot;£&quot;#,##0_);[Red]\(&quot;£&quot;#,##0\)"/>
    <numFmt numFmtId="179" formatCode="_(&quot;£&quot;* #,##0.00_);_(&quot;£&quot;* \(#,##0.00\);_(&quot;£&quot;* &quot;-&quot;??_);_(@_)"/>
    <numFmt numFmtId="180" formatCode="&quot;£&quot;#,##0.00_);[Red]\(&quot;£&quot;#,##0.00\)"/>
    <numFmt numFmtId="181" formatCode="#,##0.000\ &quot;years&quot;"/>
    <numFmt numFmtId="182" formatCode="[$£-809]#,##0;\-[$£-809]#,##0"/>
    <numFmt numFmtId="183" formatCode="0.000%"/>
    <numFmt numFmtId="184" formatCode="#,##0.0000000000000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4"/>
      <color rgb="FFFF0000"/>
      <name val="Arial"/>
      <family val="2"/>
    </font>
    <font>
      <u/>
      <sz val="14"/>
      <name val="Arial"/>
      <family val="2"/>
    </font>
    <font>
      <b/>
      <sz val="14"/>
      <color theme="9" tint="-0.499984740745262"/>
      <name val="Arial"/>
      <family val="2"/>
    </font>
    <font>
      <b/>
      <sz val="14"/>
      <color rgb="FF0070C0"/>
      <name val="Arial"/>
      <family val="2"/>
    </font>
    <font>
      <b/>
      <sz val="14"/>
      <color theme="0"/>
      <name val="Arial"/>
      <family val="2"/>
    </font>
    <font>
      <sz val="14"/>
      <color rgb="FFFF00FF"/>
      <name val="Arial"/>
      <family val="2"/>
    </font>
    <font>
      <b/>
      <sz val="14"/>
      <color rgb="FF7030A0"/>
      <name val="Arial"/>
      <family val="2"/>
    </font>
    <font>
      <u val="singleAccounting"/>
      <sz val="14"/>
      <name val="Arial"/>
      <family val="2"/>
    </font>
    <font>
      <b/>
      <sz val="14"/>
      <color rgb="FF3E0DF1"/>
      <name val="Arial"/>
      <family val="2"/>
    </font>
    <font>
      <b/>
      <sz val="14"/>
      <color theme="1"/>
      <name val="Arial"/>
      <family val="2"/>
    </font>
    <font>
      <sz val="14"/>
      <color rgb="FF000000"/>
      <name val="Arial"/>
      <family val="2"/>
    </font>
    <font>
      <sz val="14"/>
      <color rgb="FFFF0000"/>
      <name val="Arial"/>
      <family val="2"/>
    </font>
    <font>
      <b/>
      <sz val="14"/>
      <color rgb="FF002060"/>
      <name val="Arial"/>
      <family val="2"/>
    </font>
    <font>
      <b/>
      <u/>
      <sz val="14"/>
      <color theme="1"/>
      <name val="Arial"/>
      <family val="2"/>
    </font>
    <font>
      <b/>
      <u/>
      <sz val="14"/>
      <color rgb="FF3399FF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14"/>
      <color indexed="8"/>
      <name val="Arial"/>
      <family val="2"/>
    </font>
    <font>
      <b/>
      <u/>
      <sz val="14"/>
      <color rgb="FFFF0000"/>
      <name val="Arial"/>
      <family val="2"/>
    </font>
    <font>
      <sz val="14"/>
      <color theme="0"/>
      <name val="Arial"/>
      <family val="2"/>
    </font>
    <font>
      <b/>
      <sz val="14"/>
      <color rgb="FFC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C0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44">
    <xf numFmtId="0" fontId="0" fillId="0" borderId="0" xfId="0"/>
    <xf numFmtId="14" fontId="0" fillId="0" borderId="0" xfId="0" applyNumberFormat="1"/>
    <xf numFmtId="0" fontId="6" fillId="3" borderId="0" xfId="0" applyFont="1" applyFill="1" applyAlignment="1">
      <alignment horizontal="center"/>
    </xf>
    <xf numFmtId="0" fontId="6" fillId="3" borderId="0" xfId="0" applyFont="1" applyFill="1"/>
    <xf numFmtId="164" fontId="4" fillId="3" borderId="0" xfId="0" applyNumberFormat="1" applyFont="1" applyFill="1"/>
    <xf numFmtId="0" fontId="4" fillId="3" borderId="0" xfId="0" applyFont="1" applyFill="1"/>
    <xf numFmtId="0" fontId="4" fillId="3" borderId="3" xfId="0" applyFont="1" applyFill="1" applyBorder="1"/>
    <xf numFmtId="0" fontId="4" fillId="3" borderId="0" xfId="0" applyFont="1" applyFill="1" applyAlignment="1">
      <alignment horizontal="right"/>
    </xf>
    <xf numFmtId="0" fontId="5" fillId="3" borderId="0" xfId="0" applyFont="1" applyFill="1"/>
    <xf numFmtId="171" fontId="4" fillId="3" borderId="0" xfId="0" applyNumberFormat="1" applyFont="1" applyFill="1"/>
    <xf numFmtId="171" fontId="4" fillId="3" borderId="4" xfId="0" applyNumberFormat="1" applyFont="1" applyFill="1" applyBorder="1"/>
    <xf numFmtId="0" fontId="4" fillId="13" borderId="0" xfId="0" applyFont="1" applyFill="1"/>
    <xf numFmtId="0" fontId="4" fillId="13" borderId="3" xfId="0" applyFont="1" applyFill="1" applyBorder="1"/>
    <xf numFmtId="171" fontId="4" fillId="13" borderId="4" xfId="0" applyNumberFormat="1" applyFont="1" applyFill="1" applyBorder="1"/>
    <xf numFmtId="164" fontId="4" fillId="13" borderId="0" xfId="0" applyNumberFormat="1" applyFont="1" applyFill="1"/>
    <xf numFmtId="164" fontId="4" fillId="13" borderId="4" xfId="0" applyNumberFormat="1" applyFont="1" applyFill="1" applyBorder="1"/>
    <xf numFmtId="164" fontId="5" fillId="13" borderId="0" xfId="0" applyNumberFormat="1" applyFont="1" applyFill="1"/>
    <xf numFmtId="170" fontId="4" fillId="3" borderId="0" xfId="0" applyNumberFormat="1" applyFont="1" applyFill="1"/>
    <xf numFmtId="167" fontId="4" fillId="3" borderId="3" xfId="0" applyNumberFormat="1" applyFont="1" applyFill="1" applyBorder="1"/>
    <xf numFmtId="3" fontId="4" fillId="3" borderId="3" xfId="0" applyNumberFormat="1" applyFont="1" applyFill="1" applyBorder="1"/>
    <xf numFmtId="167" fontId="4" fillId="3" borderId="3" xfId="0" applyNumberFormat="1" applyFont="1" applyFill="1" applyBorder="1" applyAlignment="1">
      <alignment horizontal="right"/>
    </xf>
    <xf numFmtId="167" fontId="11" fillId="3" borderId="3" xfId="0" applyNumberFormat="1" applyFont="1" applyFill="1" applyBorder="1"/>
    <xf numFmtId="173" fontId="5" fillId="3" borderId="0" xfId="1" applyNumberFormat="1" applyFont="1" applyFill="1" applyBorder="1" applyAlignment="1">
      <alignment horizontal="center"/>
    </xf>
    <xf numFmtId="0" fontId="4" fillId="3" borderId="0" xfId="0" applyFont="1" applyFill="1" applyAlignment="1">
      <alignment horizontal="left"/>
    </xf>
    <xf numFmtId="0" fontId="3" fillId="3" borderId="6" xfId="0" applyFont="1" applyFill="1" applyBorder="1"/>
    <xf numFmtId="0" fontId="12" fillId="3" borderId="7" xfId="0" applyFont="1" applyFill="1" applyBorder="1"/>
    <xf numFmtId="0" fontId="5" fillId="3" borderId="9" xfId="0" applyFont="1" applyFill="1" applyBorder="1"/>
    <xf numFmtId="173" fontId="6" fillId="2" borderId="21" xfId="0" applyNumberFormat="1" applyFont="1" applyFill="1" applyBorder="1"/>
    <xf numFmtId="17" fontId="5" fillId="3" borderId="0" xfId="0" applyNumberFormat="1" applyFont="1" applyFill="1" applyAlignment="1">
      <alignment horizontal="left"/>
    </xf>
    <xf numFmtId="43" fontId="5" fillId="3" borderId="0" xfId="1" applyFont="1" applyFill="1" applyBorder="1"/>
    <xf numFmtId="165" fontId="6" fillId="2" borderId="21" xfId="2" applyNumberFormat="1" applyFont="1" applyFill="1" applyBorder="1" applyAlignment="1">
      <alignment horizontal="right"/>
    </xf>
    <xf numFmtId="165" fontId="5" fillId="3" borderId="0" xfId="2" applyNumberFormat="1" applyFont="1" applyFill="1" applyBorder="1" applyAlignment="1">
      <alignment horizontal="right"/>
    </xf>
    <xf numFmtId="10" fontId="6" fillId="2" borderId="21" xfId="3" applyNumberFormat="1" applyFont="1" applyFill="1" applyBorder="1" applyAlignment="1">
      <alignment horizontal="right"/>
    </xf>
    <xf numFmtId="0" fontId="7" fillId="3" borderId="9" xfId="0" applyFont="1" applyFill="1" applyBorder="1"/>
    <xf numFmtId="0" fontId="4" fillId="3" borderId="9" xfId="0" applyFont="1" applyFill="1" applyBorder="1" applyAlignment="1">
      <alignment horizontal="left"/>
    </xf>
    <xf numFmtId="171" fontId="4" fillId="3" borderId="10" xfId="0" applyNumberFormat="1" applyFont="1" applyFill="1" applyBorder="1"/>
    <xf numFmtId="0" fontId="4" fillId="3" borderId="9" xfId="0" applyFont="1" applyFill="1" applyBorder="1"/>
    <xf numFmtId="172" fontId="4" fillId="3" borderId="10" xfId="1" applyNumberFormat="1" applyFont="1" applyFill="1" applyBorder="1"/>
    <xf numFmtId="171" fontId="4" fillId="3" borderId="42" xfId="0" applyNumberFormat="1" applyFont="1" applyFill="1" applyBorder="1"/>
    <xf numFmtId="171" fontId="5" fillId="3" borderId="10" xfId="0" applyNumberFormat="1" applyFont="1" applyFill="1" applyBorder="1"/>
    <xf numFmtId="0" fontId="7" fillId="3" borderId="6" xfId="0" applyFont="1" applyFill="1" applyBorder="1" applyAlignment="1">
      <alignment horizontal="left"/>
    </xf>
    <xf numFmtId="0" fontId="4" fillId="3" borderId="7" xfId="0" applyFont="1" applyFill="1" applyBorder="1"/>
    <xf numFmtId="3" fontId="4" fillId="3" borderId="39" xfId="0" applyNumberFormat="1" applyFont="1" applyFill="1" applyBorder="1"/>
    <xf numFmtId="0" fontId="4" fillId="3" borderId="39" xfId="0" applyFont="1" applyFill="1" applyBorder="1"/>
    <xf numFmtId="171" fontId="4" fillId="3" borderId="37" xfId="0" applyNumberFormat="1" applyFont="1" applyFill="1" applyBorder="1"/>
    <xf numFmtId="164" fontId="4" fillId="3" borderId="7" xfId="0" applyNumberFormat="1" applyFont="1" applyFill="1" applyBorder="1"/>
    <xf numFmtId="171" fontId="4" fillId="3" borderId="8" xfId="0" applyNumberFormat="1" applyFont="1" applyFill="1" applyBorder="1"/>
    <xf numFmtId="0" fontId="4" fillId="3" borderId="9" xfId="0" applyFont="1" applyFill="1" applyBorder="1" applyAlignment="1">
      <alignment horizontal="right"/>
    </xf>
    <xf numFmtId="0" fontId="3" fillId="3" borderId="0" xfId="0" applyFont="1" applyFill="1"/>
    <xf numFmtId="171" fontId="7" fillId="3" borderId="4" xfId="0" applyNumberFormat="1" applyFont="1" applyFill="1" applyBorder="1"/>
    <xf numFmtId="171" fontId="3" fillId="3" borderId="10" xfId="0" applyNumberFormat="1" applyFont="1" applyFill="1" applyBorder="1"/>
    <xf numFmtId="0" fontId="4" fillId="3" borderId="11" xfId="0" applyFont="1" applyFill="1" applyBorder="1"/>
    <xf numFmtId="0" fontId="4" fillId="3" borderId="12" xfId="0" applyFont="1" applyFill="1" applyBorder="1" applyAlignment="1">
      <alignment horizontal="right"/>
    </xf>
    <xf numFmtId="0" fontId="4" fillId="3" borderId="12" xfId="0" applyFont="1" applyFill="1" applyBorder="1"/>
    <xf numFmtId="0" fontId="4" fillId="3" borderId="40" xfId="0" applyFont="1" applyFill="1" applyBorder="1"/>
    <xf numFmtId="171" fontId="4" fillId="3" borderId="38" xfId="0" applyNumberFormat="1" applyFont="1" applyFill="1" applyBorder="1"/>
    <xf numFmtId="164" fontId="4" fillId="3" borderId="12" xfId="0" applyNumberFormat="1" applyFont="1" applyFill="1" applyBorder="1"/>
    <xf numFmtId="171" fontId="4" fillId="3" borderId="13" xfId="0" applyNumberFormat="1" applyFont="1" applyFill="1" applyBorder="1"/>
    <xf numFmtId="0" fontId="7" fillId="13" borderId="6" xfId="0" applyFont="1" applyFill="1" applyBorder="1"/>
    <xf numFmtId="0" fontId="4" fillId="13" borderId="7" xfId="0" applyFont="1" applyFill="1" applyBorder="1"/>
    <xf numFmtId="0" fontId="4" fillId="13" borderId="39" xfId="0" applyFont="1" applyFill="1" applyBorder="1"/>
    <xf numFmtId="171" fontId="4" fillId="13" borderId="37" xfId="0" applyNumberFormat="1" applyFont="1" applyFill="1" applyBorder="1"/>
    <xf numFmtId="164" fontId="4" fillId="13" borderId="7" xfId="0" applyNumberFormat="1" applyFont="1" applyFill="1" applyBorder="1"/>
    <xf numFmtId="171" fontId="4" fillId="13" borderId="8" xfId="0" applyNumberFormat="1" applyFont="1" applyFill="1" applyBorder="1"/>
    <xf numFmtId="0" fontId="4" fillId="13" borderId="9" xfId="0" applyFont="1" applyFill="1" applyBorder="1"/>
    <xf numFmtId="171" fontId="4" fillId="13" borderId="10" xfId="0" applyNumberFormat="1" applyFont="1" applyFill="1" applyBorder="1"/>
    <xf numFmtId="171" fontId="5" fillId="13" borderId="41" xfId="0" applyNumberFormat="1" applyFont="1" applyFill="1" applyBorder="1"/>
    <xf numFmtId="0" fontId="4" fillId="13" borderId="11" xfId="0" applyFont="1" applyFill="1" applyBorder="1"/>
    <xf numFmtId="0" fontId="12" fillId="13" borderId="12" xfId="0" applyFont="1" applyFill="1" applyBorder="1"/>
    <xf numFmtId="0" fontId="4" fillId="13" borderId="12" xfId="0" applyFont="1" applyFill="1" applyBorder="1"/>
    <xf numFmtId="164" fontId="5" fillId="13" borderId="12" xfId="0" applyNumberFormat="1" applyFont="1" applyFill="1" applyBorder="1"/>
    <xf numFmtId="171" fontId="5" fillId="13" borderId="13" xfId="0" applyNumberFormat="1" applyFont="1" applyFill="1" applyBorder="1"/>
    <xf numFmtId="0" fontId="4" fillId="13" borderId="0" xfId="0" applyFont="1" applyFill="1" applyAlignment="1">
      <alignment horizontal="right"/>
    </xf>
    <xf numFmtId="171" fontId="5" fillId="13" borderId="10" xfId="0" applyNumberFormat="1" applyFont="1" applyFill="1" applyBorder="1"/>
    <xf numFmtId="0" fontId="1" fillId="0" borderId="0" xfId="0" applyFont="1"/>
    <xf numFmtId="176" fontId="6" fillId="2" borderId="21" xfId="0" applyNumberFormat="1" applyFont="1" applyFill="1" applyBorder="1" applyAlignment="1">
      <alignment horizontal="center"/>
    </xf>
    <xf numFmtId="171" fontId="6" fillId="13" borderId="10" xfId="0" applyNumberFormat="1" applyFont="1" applyFill="1" applyBorder="1"/>
    <xf numFmtId="9" fontId="6" fillId="13" borderId="0" xfId="3" applyFont="1" applyFill="1" applyBorder="1"/>
    <xf numFmtId="9" fontId="5" fillId="13" borderId="0" xfId="3" applyFont="1" applyFill="1" applyBorder="1"/>
    <xf numFmtId="171" fontId="9" fillId="13" borderId="4" xfId="0" applyNumberFormat="1" applyFont="1" applyFill="1" applyBorder="1"/>
    <xf numFmtId="177" fontId="4" fillId="13" borderId="3" xfId="0" applyNumberFormat="1" applyFont="1" applyFill="1" applyBorder="1"/>
    <xf numFmtId="0" fontId="9" fillId="13" borderId="0" xfId="0" applyFont="1" applyFill="1" applyAlignment="1">
      <alignment horizontal="right"/>
    </xf>
    <xf numFmtId="10" fontId="4" fillId="13" borderId="0" xfId="3" applyNumberFormat="1" applyFont="1" applyFill="1" applyBorder="1"/>
    <xf numFmtId="0" fontId="5" fillId="13" borderId="0" xfId="0" applyFont="1" applyFill="1" applyAlignment="1">
      <alignment horizontal="right"/>
    </xf>
    <xf numFmtId="178" fontId="4" fillId="13" borderId="3" xfId="0" applyNumberFormat="1" applyFont="1" applyFill="1" applyBorder="1"/>
    <xf numFmtId="10" fontId="6" fillId="2" borderId="21" xfId="3" applyNumberFormat="1" applyFont="1" applyFill="1" applyBorder="1"/>
    <xf numFmtId="171" fontId="14" fillId="3" borderId="10" xfId="0" applyNumberFormat="1" applyFont="1" applyFill="1" applyBorder="1"/>
    <xf numFmtId="170" fontId="5" fillId="3" borderId="0" xfId="0" applyNumberFormat="1" applyFont="1" applyFill="1"/>
    <xf numFmtId="10" fontId="9" fillId="15" borderId="21" xfId="3" applyNumberFormat="1" applyFont="1" applyFill="1" applyBorder="1"/>
    <xf numFmtId="178" fontId="4" fillId="3" borderId="3" xfId="0" applyNumberFormat="1" applyFont="1" applyFill="1" applyBorder="1"/>
    <xf numFmtId="10" fontId="4" fillId="3" borderId="0" xfId="3" applyNumberFormat="1" applyFont="1" applyFill="1" applyBorder="1"/>
    <xf numFmtId="171" fontId="9" fillId="3" borderId="4" xfId="0" applyNumberFormat="1" applyFont="1" applyFill="1" applyBorder="1"/>
    <xf numFmtId="0" fontId="9" fillId="3" borderId="0" xfId="0" applyFont="1" applyFill="1" applyAlignment="1">
      <alignment horizontal="right"/>
    </xf>
    <xf numFmtId="179" fontId="4" fillId="3" borderId="4" xfId="0" applyNumberFormat="1" applyFont="1" applyFill="1" applyBorder="1"/>
    <xf numFmtId="165" fontId="4" fillId="3" borderId="4" xfId="2" applyNumberFormat="1" applyFont="1" applyFill="1" applyBorder="1" applyAlignment="1">
      <alignment horizontal="right"/>
    </xf>
    <xf numFmtId="165" fontId="4" fillId="3" borderId="4" xfId="0" applyNumberFormat="1" applyFont="1" applyFill="1" applyBorder="1"/>
    <xf numFmtId="170" fontId="5" fillId="3" borderId="0" xfId="0" applyNumberFormat="1" applyFont="1" applyFill="1" applyAlignment="1">
      <alignment horizontal="left"/>
    </xf>
    <xf numFmtId="176" fontId="5" fillId="3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180" fontId="4" fillId="3" borderId="3" xfId="2" applyNumberFormat="1" applyFont="1" applyFill="1" applyBorder="1"/>
    <xf numFmtId="10" fontId="9" fillId="14" borderId="21" xfId="3" applyNumberFormat="1" applyFont="1" applyFill="1" applyBorder="1"/>
    <xf numFmtId="180" fontId="6" fillId="2" borderId="21" xfId="0" applyNumberFormat="1" applyFont="1" applyFill="1" applyBorder="1"/>
    <xf numFmtId="181" fontId="5" fillId="3" borderId="0" xfId="0" applyNumberFormat="1" applyFont="1" applyFill="1" applyAlignment="1">
      <alignment horizontal="left"/>
    </xf>
    <xf numFmtId="170" fontId="4" fillId="3" borderId="0" xfId="0" applyNumberFormat="1" applyFont="1" applyFill="1" applyAlignment="1">
      <alignment horizontal="right"/>
    </xf>
    <xf numFmtId="164" fontId="4" fillId="3" borderId="3" xfId="0" applyNumberFormat="1" applyFont="1" applyFill="1" applyBorder="1"/>
    <xf numFmtId="10" fontId="6" fillId="14" borderId="21" xfId="1" applyNumberFormat="1" applyFont="1" applyFill="1" applyBorder="1"/>
    <xf numFmtId="175" fontId="6" fillId="2" borderId="36" xfId="0" applyNumberFormat="1" applyFont="1" applyFill="1" applyBorder="1" applyAlignment="1">
      <alignment horizontal="center"/>
    </xf>
    <xf numFmtId="174" fontId="6" fillId="2" borderId="22" xfId="0" applyNumberFormat="1" applyFont="1" applyFill="1" applyBorder="1" applyAlignment="1">
      <alignment horizontal="center"/>
    </xf>
    <xf numFmtId="173" fontId="6" fillId="2" borderId="35" xfId="1" applyNumberFormat="1" applyFont="1" applyFill="1" applyBorder="1" applyAlignment="1">
      <alignment horizontal="center"/>
    </xf>
    <xf numFmtId="176" fontId="6" fillId="2" borderId="35" xfId="0" applyNumberFormat="1" applyFont="1" applyFill="1" applyBorder="1" applyAlignment="1">
      <alignment horizontal="center"/>
    </xf>
    <xf numFmtId="0" fontId="12" fillId="3" borderId="7" xfId="0" applyFont="1" applyFill="1" applyBorder="1" applyAlignment="1">
      <alignment horizontal="right"/>
    </xf>
    <xf numFmtId="169" fontId="9" fillId="3" borderId="0" xfId="0" applyNumberFormat="1" applyFont="1" applyFill="1"/>
    <xf numFmtId="169" fontId="4" fillId="13" borderId="3" xfId="0" applyNumberFormat="1" applyFont="1" applyFill="1" applyBorder="1"/>
    <xf numFmtId="169" fontId="13" fillId="13" borderId="3" xfId="0" applyNumberFormat="1" applyFont="1" applyFill="1" applyBorder="1"/>
    <xf numFmtId="169" fontId="4" fillId="13" borderId="3" xfId="0" applyNumberFormat="1" applyFont="1" applyFill="1" applyBorder="1" applyAlignment="1">
      <alignment horizontal="right"/>
    </xf>
    <xf numFmtId="169" fontId="4" fillId="13" borderId="22" xfId="0" applyNumberFormat="1" applyFont="1" applyFill="1" applyBorder="1"/>
    <xf numFmtId="0" fontId="16" fillId="3" borderId="10" xfId="0" applyFont="1" applyFill="1" applyBorder="1" applyAlignment="1">
      <alignment vertical="center"/>
    </xf>
    <xf numFmtId="171" fontId="16" fillId="3" borderId="10" xfId="0" applyNumberFormat="1" applyFont="1" applyFill="1" applyBorder="1" applyAlignment="1">
      <alignment vertical="center"/>
    </xf>
    <xf numFmtId="44" fontId="5" fillId="5" borderId="23" xfId="2" applyFont="1" applyFill="1" applyBorder="1" applyAlignment="1">
      <alignment horizontal="right"/>
    </xf>
    <xf numFmtId="10" fontId="10" fillId="4" borderId="0" xfId="3" applyNumberFormat="1" applyFont="1" applyFill="1" applyBorder="1" applyAlignment="1">
      <alignment horizontal="center"/>
    </xf>
    <xf numFmtId="44" fontId="5" fillId="5" borderId="24" xfId="2" applyFont="1" applyFill="1" applyBorder="1" applyAlignment="1">
      <alignment horizontal="right"/>
    </xf>
    <xf numFmtId="44" fontId="5" fillId="5" borderId="6" xfId="2" applyFont="1" applyFill="1" applyBorder="1" applyAlignment="1">
      <alignment horizontal="right"/>
    </xf>
    <xf numFmtId="10" fontId="10" fillId="4" borderId="23" xfId="3" applyNumberFormat="1" applyFont="1" applyFill="1" applyBorder="1" applyAlignment="1">
      <alignment horizontal="center"/>
    </xf>
    <xf numFmtId="44" fontId="5" fillId="5" borderId="9" xfId="2" applyFont="1" applyFill="1" applyBorder="1" applyAlignment="1">
      <alignment horizontal="right" wrapText="1"/>
    </xf>
    <xf numFmtId="10" fontId="10" fillId="4" borderId="25" xfId="3" applyNumberFormat="1" applyFont="1" applyFill="1" applyBorder="1" applyAlignment="1">
      <alignment horizontal="center"/>
    </xf>
    <xf numFmtId="44" fontId="5" fillId="5" borderId="9" xfId="2" applyFont="1" applyFill="1" applyBorder="1" applyAlignment="1">
      <alignment horizontal="right"/>
    </xf>
    <xf numFmtId="44" fontId="5" fillId="5" borderId="6" xfId="2" applyFont="1" applyFill="1" applyBorder="1" applyAlignment="1">
      <alignment horizontal="center"/>
    </xf>
    <xf numFmtId="44" fontId="5" fillId="5" borderId="9" xfId="2" applyFont="1" applyFill="1" applyBorder="1" applyAlignment="1">
      <alignment horizontal="center" wrapText="1"/>
    </xf>
    <xf numFmtId="0" fontId="17" fillId="0" borderId="0" xfId="0" applyFont="1"/>
    <xf numFmtId="0" fontId="4" fillId="0" borderId="0" xfId="0" applyFont="1"/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/>
    <xf numFmtId="0" fontId="6" fillId="16" borderId="5" xfId="0" applyFont="1" applyFill="1" applyBorder="1" applyAlignment="1">
      <alignment horizontal="left"/>
    </xf>
    <xf numFmtId="0" fontId="20" fillId="3" borderId="0" xfId="0" applyFont="1" applyFill="1" applyAlignment="1">
      <alignment horizontal="center"/>
    </xf>
    <xf numFmtId="0" fontId="4" fillId="3" borderId="10" xfId="0" applyFont="1" applyFill="1" applyBorder="1"/>
    <xf numFmtId="0" fontId="3" fillId="3" borderId="9" xfId="0" applyFont="1" applyFill="1" applyBorder="1"/>
    <xf numFmtId="0" fontId="14" fillId="3" borderId="0" xfId="0" applyFont="1" applyFill="1" applyAlignment="1">
      <alignment horizontal="center"/>
    </xf>
    <xf numFmtId="166" fontId="4" fillId="3" borderId="0" xfId="1" applyNumberFormat="1" applyFont="1" applyFill="1" applyBorder="1"/>
    <xf numFmtId="0" fontId="4" fillId="7" borderId="16" xfId="0" applyFont="1" applyFill="1" applyBorder="1"/>
    <xf numFmtId="0" fontId="4" fillId="7" borderId="17" xfId="0" applyFont="1" applyFill="1" applyBorder="1"/>
    <xf numFmtId="0" fontId="4" fillId="7" borderId="18" xfId="0" applyFont="1" applyFill="1" applyBorder="1"/>
    <xf numFmtId="164" fontId="4" fillId="3" borderId="10" xfId="0" applyNumberFormat="1" applyFont="1" applyFill="1" applyBorder="1"/>
    <xf numFmtId="0" fontId="4" fillId="11" borderId="0" xfId="0" applyFont="1" applyFill="1"/>
    <xf numFmtId="0" fontId="4" fillId="11" borderId="1" xfId="0" applyFont="1" applyFill="1" applyBorder="1"/>
    <xf numFmtId="0" fontId="4" fillId="11" borderId="19" xfId="0" applyFont="1" applyFill="1" applyBorder="1"/>
    <xf numFmtId="0" fontId="4" fillId="11" borderId="2" xfId="0" applyFont="1" applyFill="1" applyBorder="1"/>
    <xf numFmtId="0" fontId="4" fillId="11" borderId="2" xfId="0" applyFont="1" applyFill="1" applyBorder="1" applyAlignment="1">
      <alignment horizontal="right"/>
    </xf>
    <xf numFmtId="10" fontId="6" fillId="11" borderId="20" xfId="3" applyNumberFormat="1" applyFont="1" applyFill="1" applyBorder="1"/>
    <xf numFmtId="0" fontId="4" fillId="11" borderId="3" xfId="0" applyFont="1" applyFill="1" applyBorder="1"/>
    <xf numFmtId="0" fontId="4" fillId="11" borderId="0" xfId="0" applyFont="1" applyFill="1" applyAlignment="1">
      <alignment horizontal="right"/>
    </xf>
    <xf numFmtId="10" fontId="6" fillId="11" borderId="4" xfId="3" applyNumberFormat="1" applyFont="1" applyFill="1" applyBorder="1"/>
    <xf numFmtId="10" fontId="24" fillId="11" borderId="4" xfId="3" applyNumberFormat="1" applyFont="1" applyFill="1" applyBorder="1"/>
    <xf numFmtId="0" fontId="4" fillId="11" borderId="14" xfId="0" applyFont="1" applyFill="1" applyBorder="1"/>
    <xf numFmtId="10" fontId="4" fillId="11" borderId="15" xfId="3" applyNumberFormat="1" applyFont="1" applyFill="1" applyBorder="1"/>
    <xf numFmtId="169" fontId="22" fillId="5" borderId="25" xfId="0" applyNumberFormat="1" applyFont="1" applyFill="1" applyBorder="1" applyAlignment="1">
      <alignment horizontal="center"/>
    </xf>
    <xf numFmtId="165" fontId="5" fillId="0" borderId="17" xfId="2" applyNumberFormat="1" applyFont="1" applyBorder="1"/>
    <xf numFmtId="165" fontId="23" fillId="10" borderId="26" xfId="2" applyNumberFormat="1" applyFont="1" applyFill="1" applyBorder="1" applyAlignment="1">
      <alignment horizontal="right" vertical="center"/>
    </xf>
    <xf numFmtId="165" fontId="23" fillId="10" borderId="27" xfId="2" applyNumberFormat="1" applyFont="1" applyFill="1" applyBorder="1" applyAlignment="1">
      <alignment horizontal="right" vertical="center"/>
    </xf>
    <xf numFmtId="165" fontId="23" fillId="10" borderId="28" xfId="2" applyNumberFormat="1" applyFont="1" applyFill="1" applyBorder="1" applyAlignment="1">
      <alignment horizontal="right" vertical="center"/>
    </xf>
    <xf numFmtId="165" fontId="23" fillId="10" borderId="29" xfId="2" applyNumberFormat="1" applyFont="1" applyFill="1" applyBorder="1" applyAlignment="1">
      <alignment horizontal="right" vertical="center"/>
    </xf>
    <xf numFmtId="165" fontId="23" fillId="10" borderId="30" xfId="2" applyNumberFormat="1" applyFont="1" applyFill="1" applyBorder="1" applyAlignment="1">
      <alignment horizontal="right" vertical="center"/>
    </xf>
    <xf numFmtId="165" fontId="23" fillId="10" borderId="31" xfId="2" applyNumberFormat="1" applyFont="1" applyFill="1" applyBorder="1" applyAlignment="1">
      <alignment horizontal="right" vertical="center"/>
    </xf>
    <xf numFmtId="165" fontId="23" fillId="10" borderId="32" xfId="2" applyNumberFormat="1" applyFont="1" applyFill="1" applyBorder="1" applyAlignment="1">
      <alignment horizontal="right" vertical="center"/>
    </xf>
    <xf numFmtId="165" fontId="23" fillId="10" borderId="33" xfId="2" applyNumberFormat="1" applyFont="1" applyFill="1" applyBorder="1" applyAlignment="1">
      <alignment horizontal="right" vertical="center"/>
    </xf>
    <xf numFmtId="165" fontId="23" fillId="10" borderId="34" xfId="2" applyNumberFormat="1" applyFont="1" applyFill="1" applyBorder="1" applyAlignment="1">
      <alignment horizontal="right" vertical="center"/>
    </xf>
    <xf numFmtId="10" fontId="8" fillId="0" borderId="0" xfId="3" applyNumberFormat="1" applyFont="1"/>
    <xf numFmtId="165" fontId="5" fillId="0" borderId="13" xfId="2" applyNumberFormat="1" applyFont="1" applyBorder="1"/>
    <xf numFmtId="0" fontId="25" fillId="12" borderId="5" xfId="0" applyFont="1" applyFill="1" applyBorder="1"/>
    <xf numFmtId="0" fontId="4" fillId="3" borderId="20" xfId="0" applyFont="1" applyFill="1" applyBorder="1"/>
    <xf numFmtId="0" fontId="5" fillId="0" borderId="0" xfId="0" applyFont="1"/>
    <xf numFmtId="0" fontId="12" fillId="0" borderId="0" xfId="0" applyFont="1"/>
    <xf numFmtId="0" fontId="26" fillId="0" borderId="0" xfId="0" applyFont="1"/>
    <xf numFmtId="0" fontId="6" fillId="0" borderId="0" xfId="0" applyFont="1"/>
    <xf numFmtId="0" fontId="12" fillId="3" borderId="0" xfId="0" applyFont="1" applyFill="1"/>
    <xf numFmtId="0" fontId="5" fillId="3" borderId="0" xfId="0" applyFont="1" applyFill="1" applyAlignment="1">
      <alignment horizontal="left" vertical="top"/>
    </xf>
    <xf numFmtId="0" fontId="4" fillId="3" borderId="15" xfId="0" applyFont="1" applyFill="1" applyBorder="1"/>
    <xf numFmtId="0" fontId="19" fillId="3" borderId="0" xfId="0" applyFont="1" applyFill="1" applyAlignment="1">
      <alignment horizontal="center"/>
    </xf>
    <xf numFmtId="176" fontId="5" fillId="3" borderId="19" xfId="0" applyNumberFormat="1" applyFont="1" applyFill="1" applyBorder="1" applyAlignment="1">
      <alignment horizontal="center"/>
    </xf>
    <xf numFmtId="170" fontId="5" fillId="3" borderId="14" xfId="0" applyNumberFormat="1" applyFont="1" applyFill="1" applyBorder="1" applyAlignment="1">
      <alignment horizontal="center"/>
    </xf>
    <xf numFmtId="164" fontId="4" fillId="3" borderId="20" xfId="0" applyNumberFormat="1" applyFont="1" applyFill="1" applyBorder="1"/>
    <xf numFmtId="173" fontId="5" fillId="3" borderId="14" xfId="1" applyNumberFormat="1" applyFont="1" applyFill="1" applyBorder="1" applyAlignment="1">
      <alignment horizontal="center"/>
    </xf>
    <xf numFmtId="3" fontId="4" fillId="3" borderId="40" xfId="0" applyNumberFormat="1" applyFont="1" applyFill="1" applyBorder="1"/>
    <xf numFmtId="0" fontId="5" fillId="3" borderId="9" xfId="0" applyFont="1" applyFill="1" applyBorder="1" applyAlignment="1">
      <alignment horizontal="right" vertical="top"/>
    </xf>
    <xf numFmtId="0" fontId="5" fillId="3" borderId="0" xfId="0" applyFont="1" applyFill="1" applyAlignment="1">
      <alignment horizontal="right" vertical="top"/>
    </xf>
    <xf numFmtId="165" fontId="5" fillId="3" borderId="21" xfId="2" applyNumberFormat="1" applyFont="1" applyFill="1" applyBorder="1" applyAlignment="1">
      <alignment horizontal="center"/>
    </xf>
    <xf numFmtId="10" fontId="5" fillId="11" borderId="15" xfId="3" applyNumberFormat="1" applyFont="1" applyFill="1" applyBorder="1"/>
    <xf numFmtId="10" fontId="5" fillId="15" borderId="21" xfId="1" applyNumberFormat="1" applyFont="1" applyFill="1" applyBorder="1"/>
    <xf numFmtId="14" fontId="15" fillId="3" borderId="14" xfId="0" applyNumberFormat="1" applyFont="1" applyFill="1" applyBorder="1" applyAlignment="1">
      <alignment horizontal="left"/>
    </xf>
    <xf numFmtId="170" fontId="5" fillId="3" borderId="19" xfId="0" applyNumberFormat="1" applyFont="1" applyFill="1" applyBorder="1" applyAlignment="1">
      <alignment horizontal="left"/>
    </xf>
    <xf numFmtId="164" fontId="5" fillId="13" borderId="0" xfId="0" applyNumberFormat="1" applyFont="1" applyFill="1" applyAlignment="1">
      <alignment horizontal="right"/>
    </xf>
    <xf numFmtId="164" fontId="9" fillId="13" borderId="12" xfId="0" applyNumberFormat="1" applyFont="1" applyFill="1" applyBorder="1" applyAlignment="1">
      <alignment horizontal="right" vertical="top"/>
    </xf>
    <xf numFmtId="169" fontId="22" fillId="5" borderId="24" xfId="0" applyNumberFormat="1" applyFont="1" applyFill="1" applyBorder="1" applyAlignment="1">
      <alignment horizontal="center"/>
    </xf>
    <xf numFmtId="10" fontId="6" fillId="2" borderId="25" xfId="3" applyNumberFormat="1" applyFont="1" applyFill="1" applyBorder="1" applyAlignment="1">
      <alignment horizontal="center"/>
    </xf>
    <xf numFmtId="10" fontId="5" fillId="6" borderId="23" xfId="3" applyNumberFormat="1" applyFont="1" applyFill="1" applyBorder="1" applyAlignment="1">
      <alignment horizontal="center"/>
    </xf>
    <xf numFmtId="10" fontId="5" fillId="6" borderId="24" xfId="3" applyNumberFormat="1" applyFont="1" applyFill="1" applyBorder="1" applyAlignment="1">
      <alignment horizontal="center"/>
    </xf>
    <xf numFmtId="10" fontId="21" fillId="6" borderId="24" xfId="3" applyNumberFormat="1" applyFont="1" applyFill="1" applyBorder="1" applyAlignment="1">
      <alignment horizontal="center"/>
    </xf>
    <xf numFmtId="10" fontId="5" fillId="6" borderId="25" xfId="3" applyNumberFormat="1" applyFont="1" applyFill="1" applyBorder="1" applyAlignment="1">
      <alignment horizontal="center"/>
    </xf>
    <xf numFmtId="10" fontId="23" fillId="8" borderId="10" xfId="3" applyNumberFormat="1" applyFont="1" applyFill="1" applyBorder="1" applyAlignment="1">
      <alignment horizontal="center"/>
    </xf>
    <xf numFmtId="10" fontId="6" fillId="2" borderId="18" xfId="3" applyNumberFormat="1" applyFont="1" applyFill="1" applyBorder="1" applyAlignment="1">
      <alignment horizontal="center"/>
    </xf>
    <xf numFmtId="182" fontId="23" fillId="8" borderId="10" xfId="3" applyNumberFormat="1" applyFont="1" applyFill="1" applyBorder="1" applyAlignment="1">
      <alignment horizontal="center"/>
    </xf>
    <xf numFmtId="182" fontId="6" fillId="2" borderId="18" xfId="3" applyNumberFormat="1" applyFont="1" applyFill="1" applyBorder="1" applyAlignment="1">
      <alignment horizontal="center"/>
    </xf>
    <xf numFmtId="44" fontId="5" fillId="5" borderId="6" xfId="2" applyFont="1" applyFill="1" applyBorder="1" applyAlignment="1">
      <alignment horizontal="right" wrapText="1"/>
    </xf>
    <xf numFmtId="10" fontId="23" fillId="8" borderId="13" xfId="3" applyNumberFormat="1" applyFont="1" applyFill="1" applyBorder="1" applyAlignment="1">
      <alignment horizontal="center"/>
    </xf>
    <xf numFmtId="165" fontId="5" fillId="0" borderId="12" xfId="2" applyNumberFormat="1" applyFont="1" applyBorder="1"/>
    <xf numFmtId="165" fontId="4" fillId="0" borderId="0" xfId="0" applyNumberFormat="1" applyFont="1"/>
    <xf numFmtId="10" fontId="5" fillId="6" borderId="11" xfId="3" applyNumberFormat="1" applyFont="1" applyFill="1" applyBorder="1" applyAlignment="1">
      <alignment horizontal="center"/>
    </xf>
    <xf numFmtId="10" fontId="5" fillId="6" borderId="12" xfId="3" applyNumberFormat="1" applyFont="1" applyFill="1" applyBorder="1" applyAlignment="1">
      <alignment horizontal="center"/>
    </xf>
    <xf numFmtId="10" fontId="5" fillId="6" borderId="13" xfId="3" applyNumberFormat="1" applyFont="1" applyFill="1" applyBorder="1" applyAlignment="1">
      <alignment horizontal="center"/>
    </xf>
    <xf numFmtId="10" fontId="10" fillId="4" borderId="6" xfId="3" applyNumberFormat="1" applyFont="1" applyFill="1" applyBorder="1" applyAlignment="1">
      <alignment horizontal="center"/>
    </xf>
    <xf numFmtId="10" fontId="10" fillId="4" borderId="11" xfId="3" applyNumberFormat="1" applyFont="1" applyFill="1" applyBorder="1" applyAlignment="1">
      <alignment horizontal="center"/>
    </xf>
    <xf numFmtId="10" fontId="5" fillId="9" borderId="11" xfId="3" applyNumberFormat="1" applyFont="1" applyFill="1" applyBorder="1" applyAlignment="1">
      <alignment horizontal="right"/>
    </xf>
    <xf numFmtId="10" fontId="5" fillId="9" borderId="12" xfId="3" applyNumberFormat="1" applyFont="1" applyFill="1" applyBorder="1" applyAlignment="1">
      <alignment horizontal="right"/>
    </xf>
    <xf numFmtId="10" fontId="5" fillId="9" borderId="13" xfId="3" applyNumberFormat="1" applyFont="1" applyFill="1" applyBorder="1" applyAlignment="1">
      <alignment horizontal="right"/>
    </xf>
    <xf numFmtId="10" fontId="6" fillId="2" borderId="25" xfId="3" applyNumberFormat="1" applyFont="1" applyFill="1" applyBorder="1"/>
    <xf numFmtId="0" fontId="25" fillId="12" borderId="8" xfId="0" applyFont="1" applyFill="1" applyBorder="1" applyAlignment="1">
      <alignment horizontal="center"/>
    </xf>
    <xf numFmtId="10" fontId="21" fillId="6" borderId="12" xfId="3" applyNumberFormat="1" applyFont="1" applyFill="1" applyBorder="1" applyAlignment="1">
      <alignment horizontal="center"/>
    </xf>
    <xf numFmtId="169" fontId="5" fillId="9" borderId="11" xfId="3" applyNumberFormat="1" applyFont="1" applyFill="1" applyBorder="1" applyAlignment="1">
      <alignment horizontal="right"/>
    </xf>
    <xf numFmtId="169" fontId="5" fillId="9" borderId="12" xfId="3" applyNumberFormat="1" applyFont="1" applyFill="1" applyBorder="1" applyAlignment="1">
      <alignment horizontal="right"/>
    </xf>
    <xf numFmtId="169" fontId="5" fillId="9" borderId="13" xfId="3" applyNumberFormat="1" applyFont="1" applyFill="1" applyBorder="1" applyAlignment="1">
      <alignment horizontal="right"/>
    </xf>
    <xf numFmtId="169" fontId="6" fillId="2" borderId="25" xfId="3" applyNumberFormat="1" applyFont="1" applyFill="1" applyBorder="1"/>
    <xf numFmtId="0" fontId="17" fillId="0" borderId="0" xfId="0" applyFont="1" applyAlignment="1">
      <alignment horizontal="left"/>
    </xf>
    <xf numFmtId="0" fontId="18" fillId="16" borderId="6" xfId="0" applyFont="1" applyFill="1" applyBorder="1" applyAlignment="1">
      <alignment horizontal="left"/>
    </xf>
    <xf numFmtId="0" fontId="4" fillId="16" borderId="7" xfId="0" applyFont="1" applyFill="1" applyBorder="1"/>
    <xf numFmtId="0" fontId="4" fillId="16" borderId="8" xfId="0" applyFont="1" applyFill="1" applyBorder="1"/>
    <xf numFmtId="0" fontId="18" fillId="16" borderId="11" xfId="0" applyFont="1" applyFill="1" applyBorder="1" applyAlignment="1">
      <alignment horizontal="left"/>
    </xf>
    <xf numFmtId="0" fontId="4" fillId="16" borderId="12" xfId="0" applyFont="1" applyFill="1" applyBorder="1"/>
    <xf numFmtId="0" fontId="4" fillId="16" borderId="13" xfId="0" applyFont="1" applyFill="1" applyBorder="1"/>
    <xf numFmtId="0" fontId="9" fillId="11" borderId="19" xfId="0" applyFont="1" applyFill="1" applyBorder="1"/>
    <xf numFmtId="5" fontId="10" fillId="4" borderId="0" xfId="2" applyNumberFormat="1" applyFont="1" applyFill="1" applyBorder="1" applyAlignment="1">
      <alignment horizontal="center"/>
    </xf>
    <xf numFmtId="5" fontId="10" fillId="4" borderId="25" xfId="2" applyNumberFormat="1" applyFont="1" applyFill="1" applyBorder="1" applyAlignment="1">
      <alignment horizontal="center"/>
    </xf>
    <xf numFmtId="0" fontId="11" fillId="0" borderId="0" xfId="0" applyFont="1"/>
    <xf numFmtId="183" fontId="4" fillId="3" borderId="0" xfId="3" applyNumberFormat="1" applyFont="1" applyFill="1"/>
    <xf numFmtId="14" fontId="15" fillId="3" borderId="1" xfId="0" applyNumberFormat="1" applyFont="1" applyFill="1" applyBorder="1" applyAlignment="1">
      <alignment horizontal="left"/>
    </xf>
    <xf numFmtId="176" fontId="5" fillId="3" borderId="35" xfId="0" applyNumberFormat="1" applyFont="1" applyFill="1" applyBorder="1" applyAlignment="1">
      <alignment horizontal="center"/>
    </xf>
    <xf numFmtId="173" fontId="6" fillId="2" borderId="36" xfId="1" applyNumberFormat="1" applyFont="1" applyFill="1" applyBorder="1" applyAlignment="1">
      <alignment horizontal="center"/>
    </xf>
    <xf numFmtId="170" fontId="5" fillId="3" borderId="19" xfId="0" applyNumberFormat="1" applyFont="1" applyFill="1" applyBorder="1" applyAlignment="1">
      <alignment horizontal="center" vertical="top"/>
    </xf>
    <xf numFmtId="184" fontId="4" fillId="3" borderId="0" xfId="0" applyNumberFormat="1" applyFont="1" applyFill="1"/>
    <xf numFmtId="0" fontId="5" fillId="3" borderId="2" xfId="0" applyFont="1" applyFill="1" applyBorder="1"/>
    <xf numFmtId="173" fontId="5" fillId="3" borderId="0" xfId="1" applyNumberFormat="1" applyFont="1" applyFill="1" applyBorder="1" applyAlignment="1">
      <alignment horizontal="left"/>
    </xf>
    <xf numFmtId="0" fontId="4" fillId="0" borderId="0" xfId="0" applyFont="1"/>
    <xf numFmtId="0" fontId="4" fillId="0" borderId="10" xfId="0" applyFont="1" applyBorder="1"/>
    <xf numFmtId="168" fontId="21" fillId="6" borderId="6" xfId="1" applyNumberFormat="1" applyFont="1" applyFill="1" applyBorder="1" applyAlignment="1">
      <alignment horizontal="center"/>
    </xf>
    <xf numFmtId="168" fontId="21" fillId="6" borderId="7" xfId="1" applyNumberFormat="1" applyFont="1" applyFill="1" applyBorder="1" applyAlignment="1">
      <alignment horizontal="center"/>
    </xf>
    <xf numFmtId="168" fontId="21" fillId="6" borderId="8" xfId="1" applyNumberFormat="1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ont>
        <b/>
        <i val="0"/>
        <strike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  <fill>
        <patternFill>
          <bgColor theme="0"/>
        </patternFill>
      </fill>
    </dxf>
    <dxf>
      <font>
        <b/>
        <i val="0"/>
        <strike val="0"/>
        <color rgb="FFFF0000"/>
      </font>
      <fill>
        <patternFill>
          <bgColor theme="0"/>
        </patternFill>
      </fill>
    </dxf>
    <dxf>
      <font>
        <b/>
        <i val="0"/>
        <strike val="0"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FF00"/>
      <color rgb="FFFFCC99"/>
      <color rgb="FFFFCCFF"/>
      <color rgb="FFFDE9D9"/>
      <color rgb="FFFF00FF"/>
      <color rgb="FF1ACEE6"/>
      <color rgb="FF99FF99"/>
      <color rgb="FFFFFFCC"/>
      <color rgb="FFFF5050"/>
      <color rgb="FF3E0D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P214"/>
  <sheetViews>
    <sheetView tabSelected="1" zoomScale="63" zoomScaleNormal="63" workbookViewId="0">
      <selection activeCell="C6" sqref="C6"/>
    </sheetView>
  </sheetViews>
  <sheetFormatPr defaultRowHeight="17.399999999999999" x14ac:dyDescent="0.3"/>
  <cols>
    <col min="1" max="1" width="2.6640625" customWidth="1"/>
    <col min="2" max="2" width="17.109375" style="129" customWidth="1"/>
    <col min="3" max="3" width="28.44140625" style="129" customWidth="1"/>
    <col min="4" max="4" width="38.33203125" style="129" customWidth="1"/>
    <col min="5" max="5" width="15.6640625" style="129" bestFit="1" customWidth="1"/>
    <col min="6" max="6" width="23.88671875" style="129" bestFit="1" customWidth="1"/>
    <col min="7" max="7" width="19.6640625" style="129" bestFit="1" customWidth="1"/>
    <col min="8" max="9" width="16" style="129" bestFit="1" customWidth="1"/>
    <col min="10" max="10" width="24.21875" style="129" bestFit="1" customWidth="1"/>
    <col min="11" max="11" width="25.77734375" style="129" bestFit="1" customWidth="1"/>
    <col min="12" max="12" width="24" style="129" bestFit="1" customWidth="1"/>
    <col min="13" max="13" width="24.6640625" style="129" customWidth="1"/>
    <col min="14" max="15" width="24" style="129" bestFit="1" customWidth="1"/>
    <col min="17" max="17" width="130" bestFit="1" customWidth="1"/>
  </cols>
  <sheetData>
    <row r="2" spans="2:15" x14ac:dyDescent="0.3">
      <c r="I2" s="227" t="s">
        <v>20</v>
      </c>
      <c r="J2" s="145"/>
      <c r="K2" s="146" t="s">
        <v>21</v>
      </c>
      <c r="L2" s="147">
        <v>2.2499999999999999E-2</v>
      </c>
    </row>
    <row r="3" spans="2:15" x14ac:dyDescent="0.3">
      <c r="I3" s="148"/>
      <c r="J3" s="142"/>
      <c r="K3" s="149" t="s">
        <v>22</v>
      </c>
      <c r="L3" s="150">
        <v>4.4999999999999998E-2</v>
      </c>
    </row>
    <row r="4" spans="2:15" x14ac:dyDescent="0.3">
      <c r="I4" s="148"/>
      <c r="J4" s="142"/>
      <c r="K4" s="149" t="s">
        <v>23</v>
      </c>
      <c r="L4" s="150">
        <v>0.02</v>
      </c>
    </row>
    <row r="5" spans="2:15" x14ac:dyDescent="0.3">
      <c r="I5" s="148"/>
      <c r="J5" s="142"/>
      <c r="K5" s="149" t="s">
        <v>24</v>
      </c>
      <c r="L5" s="151">
        <v>2.5000000000000001E-3</v>
      </c>
    </row>
    <row r="6" spans="2:15" x14ac:dyDescent="0.3">
      <c r="I6" s="152"/>
      <c r="J6" s="143"/>
      <c r="K6" s="143"/>
      <c r="L6" s="185">
        <f>L2+L3-L4+L5</f>
        <v>0.05</v>
      </c>
    </row>
    <row r="7" spans="2:15" ht="18" thickBot="1" x14ac:dyDescent="0.35">
      <c r="B7" s="128"/>
    </row>
    <row r="8" spans="2:15" x14ac:dyDescent="0.3">
      <c r="B8" s="221" t="s">
        <v>69</v>
      </c>
      <c r="C8" s="222"/>
      <c r="D8" s="222"/>
      <c r="E8" s="222"/>
      <c r="F8" s="222"/>
      <c r="G8" s="222"/>
      <c r="H8" s="222"/>
      <c r="I8" s="222"/>
      <c r="J8" s="222"/>
      <c r="K8" s="222"/>
      <c r="L8" s="222"/>
      <c r="M8" s="222"/>
      <c r="N8" s="222"/>
      <c r="O8" s="223"/>
    </row>
    <row r="9" spans="2:15" ht="18" thickBot="1" x14ac:dyDescent="0.35">
      <c r="B9" s="224" t="s">
        <v>68</v>
      </c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6"/>
    </row>
    <row r="10" spans="2:15" x14ac:dyDescent="0.3">
      <c r="B10" s="24" t="s">
        <v>32</v>
      </c>
      <c r="C10" s="41"/>
      <c r="D10" s="41"/>
      <c r="E10" s="41"/>
      <c r="F10" s="130"/>
      <c r="G10" s="25"/>
      <c r="H10" s="41"/>
      <c r="I10" s="41"/>
      <c r="J10" s="41"/>
      <c r="K10" s="41"/>
      <c r="L10" s="41"/>
      <c r="M10" s="45"/>
      <c r="N10" s="110" t="s">
        <v>33</v>
      </c>
      <c r="O10" s="131"/>
    </row>
    <row r="11" spans="2:15" ht="18" thickBot="1" x14ac:dyDescent="0.35">
      <c r="B11" s="26"/>
      <c r="C11" s="5"/>
      <c r="D11" s="5"/>
      <c r="E11" s="5"/>
      <c r="F11" s="8"/>
      <c r="G11" s="176" t="s">
        <v>71</v>
      </c>
      <c r="H11" s="5"/>
      <c r="I11" s="5"/>
      <c r="J11" s="22"/>
      <c r="K11" s="29"/>
      <c r="L11" s="5"/>
      <c r="M11" s="4"/>
      <c r="N11" s="4"/>
      <c r="O11" s="116"/>
    </row>
    <row r="12" spans="2:15" ht="18" thickBot="1" x14ac:dyDescent="0.35">
      <c r="B12" s="132" t="s">
        <v>67</v>
      </c>
      <c r="C12" s="5"/>
      <c r="D12" s="5"/>
      <c r="E12" s="5"/>
      <c r="F12" s="8"/>
      <c r="G12" s="133" t="s">
        <v>12</v>
      </c>
      <c r="H12" s="5"/>
      <c r="I12" s="5"/>
      <c r="J12" s="5"/>
      <c r="K12" s="5"/>
      <c r="L12" s="5"/>
      <c r="M12" s="4"/>
      <c r="N12" s="4"/>
      <c r="O12" s="134"/>
    </row>
    <row r="13" spans="2:15" x14ac:dyDescent="0.3">
      <c r="B13" s="135"/>
      <c r="C13" s="5"/>
      <c r="D13" s="5"/>
      <c r="E13" s="5"/>
      <c r="F13" s="8"/>
      <c r="G13" s="136" t="s">
        <v>66</v>
      </c>
      <c r="H13" s="5"/>
      <c r="I13" s="5"/>
      <c r="J13" s="5"/>
      <c r="K13" s="5"/>
      <c r="L13" s="5"/>
      <c r="M13" s="4"/>
      <c r="N13" s="4"/>
      <c r="O13" s="134"/>
    </row>
    <row r="14" spans="2:15" x14ac:dyDescent="0.3">
      <c r="B14" s="135"/>
      <c r="C14" s="5"/>
      <c r="D14" s="5"/>
      <c r="E14" s="5"/>
      <c r="F14" s="8"/>
      <c r="G14" s="136" t="s">
        <v>65</v>
      </c>
      <c r="H14" s="5"/>
      <c r="I14" s="5"/>
      <c r="J14" s="5"/>
      <c r="K14" s="182" t="s">
        <v>25</v>
      </c>
      <c r="L14" s="109">
        <v>28604</v>
      </c>
      <c r="M14" s="5"/>
      <c r="N14" s="4"/>
      <c r="O14" s="141"/>
    </row>
    <row r="15" spans="2:15" x14ac:dyDescent="0.3">
      <c r="B15" s="135"/>
      <c r="C15" s="5"/>
      <c r="D15" s="5"/>
      <c r="E15" s="5"/>
      <c r="F15" s="8"/>
      <c r="G15" s="136" t="s">
        <v>63</v>
      </c>
      <c r="H15" s="5"/>
      <c r="I15" s="8"/>
      <c r="J15" s="5"/>
      <c r="K15" s="182" t="s">
        <v>64</v>
      </c>
      <c r="L15" s="108">
        <v>99</v>
      </c>
      <c r="M15" s="238">
        <f>DATEDIF(L14,L19,"D")/365.25</f>
        <v>98.997946611909654</v>
      </c>
      <c r="N15" s="239"/>
      <c r="O15" s="240"/>
    </row>
    <row r="16" spans="2:15" x14ac:dyDescent="0.3">
      <c r="B16" s="135"/>
      <c r="C16" s="5"/>
      <c r="D16" s="5"/>
      <c r="E16" s="5"/>
      <c r="F16" s="8"/>
      <c r="G16" s="136" t="s">
        <v>61</v>
      </c>
      <c r="H16" s="5"/>
      <c r="I16" s="8"/>
      <c r="J16" s="5"/>
      <c r="K16" s="182" t="s">
        <v>62</v>
      </c>
      <c r="L16" s="107">
        <v>0</v>
      </c>
      <c r="M16" s="5"/>
      <c r="N16" s="4"/>
      <c r="O16" s="141"/>
    </row>
    <row r="17" spans="2:16" x14ac:dyDescent="0.3">
      <c r="B17" s="135"/>
      <c r="C17" s="5"/>
      <c r="D17" s="5"/>
      <c r="E17" s="5"/>
      <c r="F17" s="8"/>
      <c r="G17" s="136" t="s">
        <v>59</v>
      </c>
      <c r="H17" s="5"/>
      <c r="I17" s="8"/>
      <c r="J17" s="5"/>
      <c r="K17" s="182" t="s">
        <v>60</v>
      </c>
      <c r="L17" s="106">
        <v>0</v>
      </c>
      <c r="M17" s="236"/>
      <c r="N17" s="4"/>
      <c r="O17" s="141"/>
    </row>
    <row r="18" spans="2:16" x14ac:dyDescent="0.3">
      <c r="B18" s="135"/>
      <c r="C18" s="5"/>
      <c r="D18" s="5"/>
      <c r="E18" s="5"/>
      <c r="F18" s="8"/>
      <c r="G18" s="98"/>
      <c r="H18" s="5"/>
      <c r="I18" s="8"/>
      <c r="J18" s="5"/>
      <c r="K18" s="183" t="s">
        <v>26</v>
      </c>
      <c r="L18" s="75">
        <v>42493</v>
      </c>
      <c r="M18" s="5"/>
      <c r="N18" s="4"/>
      <c r="O18" s="141"/>
    </row>
    <row r="19" spans="2:16" x14ac:dyDescent="0.3">
      <c r="B19" s="135"/>
      <c r="C19" s="5"/>
      <c r="D19" s="5"/>
      <c r="E19" s="5"/>
      <c r="F19" s="8"/>
      <c r="G19" s="98"/>
      <c r="H19" s="5"/>
      <c r="I19" s="8"/>
      <c r="J19" s="5"/>
      <c r="K19" s="183" t="s">
        <v>72</v>
      </c>
      <c r="L19" s="233">
        <f>DATE(YEAR(L14)+L15,MONTH(L14)+L16,DAY(L14)+L17-1)</f>
        <v>64763</v>
      </c>
      <c r="M19" s="5"/>
      <c r="N19" s="4"/>
      <c r="O19" s="141"/>
      <c r="P19" s="1"/>
    </row>
    <row r="20" spans="2:16" x14ac:dyDescent="0.3">
      <c r="B20" s="135"/>
      <c r="C20" s="5"/>
      <c r="D20" s="5"/>
      <c r="E20" s="5"/>
      <c r="F20" s="8"/>
      <c r="G20" s="98"/>
      <c r="H20" s="5"/>
      <c r="I20" s="8"/>
      <c r="J20" s="5"/>
      <c r="K20" s="183" t="s">
        <v>76</v>
      </c>
      <c r="L20" s="235">
        <f>DATEDIF(L14,L18,"D")/365.25</f>
        <v>38.026009582477755</v>
      </c>
      <c r="M20" s="237" t="str">
        <f>DATEDIF(L14,L18,"y")&amp;" years,"&amp; DATEDIF(L14,L18,"ym") &amp;" month(s), "&amp; DATEDIF(L14,L18,"md")&amp;" Days"</f>
        <v>38 years,0 month(s), 9 Days</v>
      </c>
      <c r="N20" s="179"/>
      <c r="O20" s="141"/>
      <c r="P20" s="1"/>
    </row>
    <row r="21" spans="2:16" x14ac:dyDescent="0.3">
      <c r="B21" s="135"/>
      <c r="C21" s="5"/>
      <c r="D21" s="5"/>
      <c r="E21" s="5"/>
      <c r="F21" s="5"/>
      <c r="G21" s="8"/>
      <c r="H21" s="5"/>
      <c r="I21" s="8"/>
      <c r="J21" s="5"/>
      <c r="K21" s="183" t="s">
        <v>27</v>
      </c>
      <c r="L21" s="180">
        <f>DATEDIF(L18,L19,"D")/365.25</f>
        <v>60.971937029431899</v>
      </c>
      <c r="M21" s="232" t="str">
        <f>DATEDIF(L18,L19,"y")&amp;" years,"&amp; DATEDIF(L18,L19,"ym") &amp;" month(s), "&amp; DATEDIF(L18,L19,"md")&amp;" Days"</f>
        <v>60 years,11 month(s), 20 Days</v>
      </c>
      <c r="N21" s="175"/>
      <c r="O21" s="141"/>
    </row>
    <row r="22" spans="2:16" x14ac:dyDescent="0.3">
      <c r="B22" s="135"/>
      <c r="C22" s="5"/>
      <c r="D22" s="5"/>
      <c r="E22" s="5"/>
      <c r="F22" s="5"/>
      <c r="G22" s="29"/>
      <c r="H22" s="5"/>
      <c r="I22" s="29"/>
      <c r="J22" s="5"/>
      <c r="K22" s="183" t="s">
        <v>34</v>
      </c>
      <c r="L22" s="234">
        <v>90</v>
      </c>
      <c r="M22" s="5"/>
      <c r="N22" s="5"/>
      <c r="O22" s="141"/>
    </row>
    <row r="23" spans="2:16" x14ac:dyDescent="0.3">
      <c r="B23" s="135"/>
      <c r="C23" s="5"/>
      <c r="D23" s="5"/>
      <c r="E23" s="28"/>
      <c r="F23" s="5"/>
      <c r="G23" s="29"/>
      <c r="H23" s="5"/>
      <c r="I23" s="29"/>
      <c r="J23" s="5"/>
      <c r="K23" s="183" t="s">
        <v>35</v>
      </c>
      <c r="L23" s="177">
        <f>DATE(YEAR(L19)+L22,MONTH(L19),DAY(L19))</f>
        <v>97634</v>
      </c>
      <c r="M23" s="188">
        <f>DATEDIF(L18,L23,"D")/365.25</f>
        <v>150.96783025325121</v>
      </c>
      <c r="N23" s="168"/>
      <c r="O23" s="141"/>
    </row>
    <row r="24" spans="2:16" x14ac:dyDescent="0.3">
      <c r="B24" s="135"/>
      <c r="C24" s="5"/>
      <c r="D24" s="5"/>
      <c r="E24" s="28"/>
      <c r="F24" s="5"/>
      <c r="G24" s="29"/>
      <c r="H24" s="5"/>
      <c r="I24" s="29"/>
      <c r="J24" s="5"/>
      <c r="K24" s="183" t="s">
        <v>73</v>
      </c>
      <c r="L24" s="178">
        <f>DATEDIF(L18,L23,"D")/365.25</f>
        <v>150.96783025325121</v>
      </c>
      <c r="M24" s="187" t="str">
        <f>DATEDIF(L18,L23,"y")&amp;" years,"&amp; DATEDIF(L18,L23,"ym") &amp;" month(s), "&amp; DATEDIF(L18,L23,"md")&amp;" Days"</f>
        <v>150 years,11 month(s), 20 Days</v>
      </c>
      <c r="N24" s="175"/>
      <c r="O24" s="141"/>
    </row>
    <row r="25" spans="2:16" x14ac:dyDescent="0.3">
      <c r="B25" s="135"/>
      <c r="C25" s="5"/>
      <c r="D25" s="5"/>
      <c r="E25" s="5"/>
      <c r="F25" s="8"/>
      <c r="G25" s="28"/>
      <c r="H25" s="2"/>
      <c r="I25" s="29"/>
      <c r="J25" s="5"/>
      <c r="K25" s="183" t="s">
        <v>28</v>
      </c>
      <c r="L25" s="105">
        <v>6.5000000000000002E-2</v>
      </c>
      <c r="M25" s="5"/>
      <c r="N25" s="5"/>
      <c r="O25" s="141"/>
    </row>
    <row r="26" spans="2:16" x14ac:dyDescent="0.3">
      <c r="B26" s="135"/>
      <c r="C26" s="5"/>
      <c r="D26" s="5"/>
      <c r="E26" s="5"/>
      <c r="F26" s="8"/>
      <c r="G26" s="28"/>
      <c r="H26" s="2"/>
      <c r="I26" s="29"/>
      <c r="J26" s="5"/>
      <c r="K26" s="183" t="s">
        <v>29</v>
      </c>
      <c r="L26" s="186">
        <f>L6</f>
        <v>0.05</v>
      </c>
      <c r="M26" s="5"/>
      <c r="N26" s="5"/>
      <c r="O26" s="141"/>
    </row>
    <row r="27" spans="2:16" x14ac:dyDescent="0.3">
      <c r="B27" s="135"/>
      <c r="C27" s="5"/>
      <c r="D27" s="5"/>
      <c r="E27" s="5"/>
      <c r="F27" s="8"/>
      <c r="G27" s="28"/>
      <c r="H27" s="2"/>
      <c r="I27" s="29"/>
      <c r="J27" s="5"/>
      <c r="K27" s="183" t="s">
        <v>30</v>
      </c>
      <c r="L27" s="184">
        <f>L29/(1-L28)</f>
        <v>1464646.4646464647</v>
      </c>
      <c r="M27" s="5"/>
      <c r="N27" s="5"/>
      <c r="O27" s="141"/>
    </row>
    <row r="28" spans="2:16" x14ac:dyDescent="0.3">
      <c r="B28" s="135"/>
      <c r="C28" s="5"/>
      <c r="D28" s="5"/>
      <c r="E28" s="5"/>
      <c r="F28" s="8"/>
      <c r="G28" s="28"/>
      <c r="H28" s="2"/>
      <c r="I28" s="29"/>
      <c r="J28" s="5"/>
      <c r="K28" s="183" t="s">
        <v>58</v>
      </c>
      <c r="L28" s="32">
        <v>0.01</v>
      </c>
      <c r="M28" s="5"/>
      <c r="N28" s="5"/>
      <c r="O28" s="141"/>
    </row>
    <row r="29" spans="2:16" x14ac:dyDescent="0.3">
      <c r="B29" s="135"/>
      <c r="C29" s="5"/>
      <c r="D29" s="5"/>
      <c r="E29" s="5"/>
      <c r="F29" s="8"/>
      <c r="G29" s="28"/>
      <c r="H29" s="2"/>
      <c r="I29" s="29"/>
      <c r="J29" s="5"/>
      <c r="K29" s="183" t="s">
        <v>57</v>
      </c>
      <c r="L29" s="30">
        <v>1450000</v>
      </c>
      <c r="M29" s="5"/>
      <c r="N29" s="137"/>
      <c r="O29" s="141"/>
    </row>
    <row r="30" spans="2:16" x14ac:dyDescent="0.3">
      <c r="B30" s="135"/>
      <c r="C30" s="5"/>
      <c r="D30" s="5"/>
      <c r="E30" s="5"/>
      <c r="F30" s="8"/>
      <c r="G30" s="28"/>
      <c r="H30" s="2"/>
      <c r="I30" s="29"/>
      <c r="J30" s="5"/>
      <c r="K30" s="183" t="s">
        <v>6</v>
      </c>
      <c r="L30" s="32">
        <v>0.81359999999999999</v>
      </c>
      <c r="M30" s="5"/>
      <c r="N30" s="231"/>
      <c r="O30" s="141"/>
    </row>
    <row r="31" spans="2:16" x14ac:dyDescent="0.3">
      <c r="B31" s="135"/>
      <c r="C31" s="5"/>
      <c r="D31" s="5"/>
      <c r="E31" s="5"/>
      <c r="F31" s="8"/>
      <c r="G31" s="28"/>
      <c r="H31" s="2"/>
      <c r="I31" s="29"/>
      <c r="J31" s="5"/>
      <c r="K31" s="183" t="s">
        <v>36</v>
      </c>
      <c r="L31" s="31">
        <f>IF(ISNUMBER(L29*L30),L29*L30,"0")</f>
        <v>1179720</v>
      </c>
      <c r="M31" s="5"/>
      <c r="N31" s="90"/>
      <c r="O31" s="141"/>
    </row>
    <row r="32" spans="2:16" x14ac:dyDescent="0.3">
      <c r="B32" s="26"/>
      <c r="C32" s="5"/>
      <c r="D32" s="5"/>
      <c r="E32" s="5"/>
      <c r="F32" s="29"/>
      <c r="G32" s="5"/>
      <c r="H32" s="5"/>
      <c r="I32" s="5"/>
      <c r="J32" s="5"/>
      <c r="K32" s="5"/>
      <c r="L32" s="5"/>
      <c r="M32" s="5"/>
      <c r="N32" s="4"/>
      <c r="O32" s="117"/>
    </row>
    <row r="33" spans="2:15" x14ac:dyDescent="0.3">
      <c r="B33" s="33" t="s">
        <v>2</v>
      </c>
      <c r="C33" s="5"/>
      <c r="D33" s="5"/>
      <c r="E33" s="5"/>
      <c r="F33" s="29"/>
      <c r="G33" s="5"/>
      <c r="H33" s="5"/>
      <c r="I33" s="5"/>
      <c r="J33" s="5"/>
      <c r="K33" s="5"/>
      <c r="L33" s="5"/>
      <c r="M33" s="4"/>
      <c r="N33" s="4"/>
      <c r="O33" s="117"/>
    </row>
    <row r="34" spans="2:15" x14ac:dyDescent="0.3">
      <c r="B34" s="33"/>
      <c r="C34" s="5"/>
      <c r="D34" s="5"/>
      <c r="E34" s="5"/>
      <c r="F34" s="29"/>
      <c r="G34" s="5"/>
      <c r="H34" s="5"/>
      <c r="I34" s="5"/>
      <c r="J34" s="5"/>
      <c r="K34" s="5"/>
      <c r="L34" s="5"/>
      <c r="M34" s="9"/>
      <c r="N34" s="4"/>
      <c r="O34" s="117"/>
    </row>
    <row r="35" spans="2:15" x14ac:dyDescent="0.3">
      <c r="B35" s="34" t="s">
        <v>4</v>
      </c>
      <c r="C35" s="5"/>
      <c r="D35" s="101">
        <v>300</v>
      </c>
      <c r="E35" s="98" t="s">
        <v>8</v>
      </c>
      <c r="F35" s="27">
        <v>33</v>
      </c>
      <c r="G35" s="5"/>
      <c r="H35" s="5" t="s">
        <v>13</v>
      </c>
      <c r="I35" s="100">
        <f>L25</f>
        <v>6.5000000000000002E-2</v>
      </c>
      <c r="J35" s="5"/>
      <c r="K35" s="99">
        <f>IF(D36&gt;0,D35,0)</f>
        <v>0</v>
      </c>
      <c r="L35" s="6"/>
      <c r="M35" s="10"/>
      <c r="N35" s="4"/>
      <c r="O35" s="35"/>
    </row>
    <row r="36" spans="2:15" x14ac:dyDescent="0.3">
      <c r="B36" s="34" t="s">
        <v>0</v>
      </c>
      <c r="C36" s="5"/>
      <c r="D36" s="96">
        <f>IF(ISNUMBER(DATEDIF(L18,F36,"d")/365.25),DATEDIF(L18,F36,"d")/365.25,0)</f>
        <v>0</v>
      </c>
      <c r="E36" s="98" t="s">
        <v>56</v>
      </c>
      <c r="F36" s="97">
        <f>DATE(YEAR(L$14)+INT(F35),MONTH(L$14)+MOD(F35,1)*12,DAY(L$14)+MOD(MOD(F35,1)*12,1)*365/12)</f>
        <v>40657</v>
      </c>
      <c r="G36" s="5"/>
      <c r="H36" s="5"/>
      <c r="I36" s="90"/>
      <c r="J36" s="5"/>
      <c r="K36" s="20">
        <f>IF(ISNUMBER(1/(I35+((0%/(((1+(0%))^F35)-1))/(1-0%)))),(1/(I35+((0%/(((1+(0%))^F35)-1))/(1-0%)))),((1-(POWER(1+I35,-D36)))/I35))</f>
        <v>0</v>
      </c>
      <c r="L36" s="6"/>
      <c r="M36" s="10"/>
      <c r="N36" s="4"/>
      <c r="O36" s="35"/>
    </row>
    <row r="37" spans="2:15" x14ac:dyDescent="0.3">
      <c r="B37" s="36"/>
      <c r="C37" s="5"/>
      <c r="D37" s="96"/>
      <c r="E37" s="5"/>
      <c r="F37" s="96"/>
      <c r="G37" s="5"/>
      <c r="H37" s="5"/>
      <c r="I37" s="90"/>
      <c r="J37" s="5"/>
      <c r="K37" s="19"/>
      <c r="L37" s="6"/>
      <c r="M37" s="94">
        <f>IF(ISNUMBER(K35*K36),K35*K36,0)</f>
        <v>0</v>
      </c>
      <c r="N37" s="104"/>
      <c r="O37" s="35"/>
    </row>
    <row r="38" spans="2:15" x14ac:dyDescent="0.3">
      <c r="B38" s="36"/>
      <c r="C38" s="5"/>
      <c r="D38" s="5"/>
      <c r="E38" s="5"/>
      <c r="F38" s="5"/>
      <c r="G38" s="5"/>
      <c r="H38" s="5"/>
      <c r="I38" s="90"/>
      <c r="J38" s="5"/>
      <c r="K38" s="19"/>
      <c r="L38" s="6"/>
      <c r="M38" s="95"/>
      <c r="N38" s="4"/>
      <c r="O38" s="35"/>
    </row>
    <row r="39" spans="2:15" x14ac:dyDescent="0.3">
      <c r="B39" s="34" t="s">
        <v>4</v>
      </c>
      <c r="C39" s="7"/>
      <c r="D39" s="101">
        <v>600</v>
      </c>
      <c r="E39" s="98" t="s">
        <v>8</v>
      </c>
      <c r="F39" s="27">
        <v>33</v>
      </c>
      <c r="G39" s="5"/>
      <c r="H39" s="5" t="s">
        <v>13</v>
      </c>
      <c r="I39" s="100">
        <f>L$25</f>
        <v>6.5000000000000002E-2</v>
      </c>
      <c r="J39" s="5"/>
      <c r="K39" s="99">
        <f>IF(D40&gt;0,D39,0)</f>
        <v>600</v>
      </c>
      <c r="L39" s="6"/>
      <c r="M39" s="95"/>
      <c r="N39" s="4"/>
      <c r="O39" s="35"/>
    </row>
    <row r="40" spans="2:15" x14ac:dyDescent="0.3">
      <c r="B40" s="34" t="s">
        <v>0</v>
      </c>
      <c r="C40" s="5"/>
      <c r="D40" s="96">
        <f>IF(F36&gt;L18,F39,(F40-L18)/365.25)</f>
        <v>27.975359342915812</v>
      </c>
      <c r="E40" s="98" t="s">
        <v>56</v>
      </c>
      <c r="F40" s="97">
        <f>DATE(YEAR(L$14)+INT(F35+F39),MONTH(L$14)+MOD(F35+F39,1)*12,DAY(L$14)+MOD(MOD(F35+F39,1)*12,1)*365/12)</f>
        <v>52711</v>
      </c>
      <c r="G40" s="5"/>
      <c r="H40" s="5"/>
      <c r="I40" s="5"/>
      <c r="J40" s="5"/>
      <c r="K40" s="20">
        <f>IF(ISNUMBER(1/(I39+((0%/(((1+(0%))^F39)-1))/(1-0%)))),(1/(I39+((0%/(((1+(0%))^F39)-1))/(1-0%)))),((1-(POWER(1+I39,-D40)))/I39))</f>
        <v>12.742379795166119</v>
      </c>
      <c r="L40" s="6"/>
      <c r="M40" s="95"/>
      <c r="N40" s="4"/>
      <c r="O40" s="37"/>
    </row>
    <row r="41" spans="2:15" x14ac:dyDescent="0.3">
      <c r="B41" s="34" t="s">
        <v>55</v>
      </c>
      <c r="C41" s="5"/>
      <c r="D41" s="96">
        <f>IF(F35&gt;M11,D40+D36,(F40-M11)/365.25)</f>
        <v>27.975359342915812</v>
      </c>
      <c r="E41" s="5"/>
      <c r="F41" s="103"/>
      <c r="G41" s="5"/>
      <c r="H41" s="5"/>
      <c r="I41" s="90"/>
      <c r="J41" s="5"/>
      <c r="K41" s="20">
        <f>IF(D41&gt;0,IF(D41&lt;=L15,SUM(1/(POWER(1+I39,D36))),1),1)</f>
        <v>1</v>
      </c>
      <c r="L41" s="6"/>
      <c r="M41" s="95"/>
      <c r="N41" s="4"/>
      <c r="O41" s="37"/>
    </row>
    <row r="42" spans="2:15" x14ac:dyDescent="0.3">
      <c r="B42" s="34"/>
      <c r="C42" s="5"/>
      <c r="D42" s="8"/>
      <c r="E42" s="5"/>
      <c r="F42" s="102"/>
      <c r="G42" s="5"/>
      <c r="H42" s="5"/>
      <c r="I42" s="90"/>
      <c r="J42" s="5"/>
      <c r="K42" s="21"/>
      <c r="L42" s="6"/>
      <c r="M42" s="94">
        <f>IF(ISNUMBER(K39*K40*K41),K39*K40*K41,0)</f>
        <v>7645.4278770996716</v>
      </c>
      <c r="N42" s="4"/>
      <c r="O42" s="37"/>
    </row>
    <row r="43" spans="2:15" x14ac:dyDescent="0.3">
      <c r="B43" s="34"/>
      <c r="C43" s="5"/>
      <c r="D43" s="8"/>
      <c r="E43" s="5"/>
      <c r="F43" s="5"/>
      <c r="G43" s="5"/>
      <c r="H43" s="5"/>
      <c r="I43" s="90"/>
      <c r="J43" s="5"/>
      <c r="K43" s="19"/>
      <c r="L43" s="6"/>
      <c r="M43" s="95"/>
      <c r="N43" s="4"/>
      <c r="O43" s="35"/>
    </row>
    <row r="44" spans="2:15" x14ac:dyDescent="0.3">
      <c r="B44" s="34" t="s">
        <v>4</v>
      </c>
      <c r="C44" s="7"/>
      <c r="D44" s="101">
        <v>900</v>
      </c>
      <c r="E44" s="98" t="s">
        <v>8</v>
      </c>
      <c r="F44" s="27">
        <v>33</v>
      </c>
      <c r="G44" s="5"/>
      <c r="H44" s="5" t="s">
        <v>13</v>
      </c>
      <c r="I44" s="100">
        <f>L$25</f>
        <v>6.5000000000000002E-2</v>
      </c>
      <c r="J44" s="5"/>
      <c r="K44" s="99">
        <f>IF(D45&gt;0,D44,0)</f>
        <v>900</v>
      </c>
      <c r="L44" s="6"/>
      <c r="M44" s="95"/>
      <c r="N44" s="4"/>
      <c r="O44" s="35"/>
    </row>
    <row r="45" spans="2:15" x14ac:dyDescent="0.3">
      <c r="B45" s="34" t="s">
        <v>0</v>
      </c>
      <c r="C45" s="5"/>
      <c r="D45" s="96">
        <f>IF(F40&gt;L18,F44,(F45-L18)/365.25)</f>
        <v>33</v>
      </c>
      <c r="E45" s="98" t="s">
        <v>56</v>
      </c>
      <c r="F45" s="97">
        <f>DATE(YEAR(L$14)+INT(F35+F39+F44),MONTH(L$14)+MOD(F35+F39+F44,1)*12,DAY(L$14)+MOD(MOD(F35+F39+F44,1)*12,1)*365/12)</f>
        <v>64764</v>
      </c>
      <c r="G45" s="5"/>
      <c r="H45" s="5"/>
      <c r="I45" s="5"/>
      <c r="J45" s="5"/>
      <c r="K45" s="20">
        <f>IF(ISNUMBER(1/(I44+((0%/(((1+(0%))^F44)-1))/(1-0%)))),(1/(I44+((0%/(((1+(0%))^F44)-1))/(1-0%)))),((1-(POWER(1+I44,-D45)))/I44))</f>
        <v>13.459088499657323</v>
      </c>
      <c r="L45" s="6"/>
      <c r="M45" s="95"/>
      <c r="N45" s="4"/>
      <c r="O45" s="37"/>
    </row>
    <row r="46" spans="2:15" x14ac:dyDescent="0.3">
      <c r="B46" s="34" t="s">
        <v>55</v>
      </c>
      <c r="C46" s="5"/>
      <c r="D46" s="96">
        <f>IF(F40&gt;L18,D45+D41,(F45-L18)/365.25)</f>
        <v>60.975359342915809</v>
      </c>
      <c r="E46" s="5"/>
      <c r="F46" s="5"/>
      <c r="G46" s="5"/>
      <c r="H46" s="5"/>
      <c r="I46" s="90"/>
      <c r="J46" s="5"/>
      <c r="K46" s="20">
        <f>IF(D46&gt;0,IF(D46&lt;=L15,SUM(1/(POWER(1+I44,D41))),1),1)</f>
        <v>0.17174531331420215</v>
      </c>
      <c r="L46" s="6"/>
      <c r="M46" s="95"/>
      <c r="N46" s="4"/>
      <c r="O46" s="35"/>
    </row>
    <row r="47" spans="2:15" x14ac:dyDescent="0.3">
      <c r="B47" s="34"/>
      <c r="C47" s="5"/>
      <c r="D47" s="8"/>
      <c r="E47" s="5"/>
      <c r="F47" s="96"/>
      <c r="G47" s="5"/>
      <c r="H47" s="5"/>
      <c r="I47" s="90"/>
      <c r="J47" s="5"/>
      <c r="K47" s="19"/>
      <c r="L47" s="6"/>
      <c r="M47" s="94">
        <f>IF(ISNUMBER(K44*K45*K46),K44*K45*K46,0)</f>
        <v>2080.3818341674996</v>
      </c>
      <c r="N47" s="4"/>
      <c r="O47" s="35"/>
    </row>
    <row r="48" spans="2:15" x14ac:dyDescent="0.3">
      <c r="B48" s="34"/>
      <c r="C48" s="5"/>
      <c r="D48" s="5"/>
      <c r="E48" s="5"/>
      <c r="F48" s="5"/>
      <c r="G48" s="5"/>
      <c r="H48" s="5"/>
      <c r="I48" s="90"/>
      <c r="J48" s="5"/>
      <c r="K48" s="19"/>
      <c r="L48" s="6"/>
      <c r="M48" s="95"/>
      <c r="N48" s="4"/>
      <c r="O48" s="35"/>
    </row>
    <row r="49" spans="2:16" x14ac:dyDescent="0.3">
      <c r="B49" s="34" t="s">
        <v>4</v>
      </c>
      <c r="C49" s="7"/>
      <c r="D49" s="101">
        <v>0</v>
      </c>
      <c r="E49" s="98" t="s">
        <v>8</v>
      </c>
      <c r="F49" s="27">
        <v>0</v>
      </c>
      <c r="G49" s="5"/>
      <c r="H49" s="5" t="s">
        <v>13</v>
      </c>
      <c r="I49" s="100">
        <f>L$25</f>
        <v>6.5000000000000002E-2</v>
      </c>
      <c r="J49" s="5"/>
      <c r="K49" s="99">
        <f>IF(D50&gt;0,D49,0)</f>
        <v>0</v>
      </c>
      <c r="L49" s="6"/>
      <c r="M49" s="95"/>
      <c r="N49" s="4"/>
      <c r="O49" s="35"/>
    </row>
    <row r="50" spans="2:16" x14ac:dyDescent="0.3">
      <c r="B50" s="34" t="s">
        <v>0</v>
      </c>
      <c r="C50" s="5"/>
      <c r="D50" s="96">
        <f>IF(F45&gt;L25,F49,(F50-L25)/365.25)</f>
        <v>0</v>
      </c>
      <c r="E50" s="98" t="s">
        <v>56</v>
      </c>
      <c r="F50" s="97">
        <f>DATE(YEAR(L$14)+INT(F35+F39+F44+F49),MONTH(L$14)+MOD(F35+F39+F44+F49,1)*12,DAY(L$14)+MOD(MOD(F35+F39+F44+F49,1)*12,1)*365/12)</f>
        <v>64764</v>
      </c>
      <c r="G50" s="5"/>
      <c r="H50" s="5"/>
      <c r="I50" s="5"/>
      <c r="J50" s="5"/>
      <c r="K50" s="20">
        <f>IF(ISNUMBER(1/(I49+((0%/(((1+(0%))^F49)-1))/(1-0%)))),(1/(I49+((0%/(((1+(0%))^F49)-1))/(1-0%)))),((1-(POWER(1+I49,-D50)))/I49))</f>
        <v>0</v>
      </c>
      <c r="L50" s="6"/>
      <c r="M50" s="95"/>
      <c r="N50" s="4"/>
      <c r="O50" s="35"/>
    </row>
    <row r="51" spans="2:16" x14ac:dyDescent="0.3">
      <c r="B51" s="34" t="s">
        <v>55</v>
      </c>
      <c r="C51" s="5"/>
      <c r="D51" s="96">
        <f>IF(F45&gt;L25,D50+D46,(F50-L25)/365.25)</f>
        <v>60.975359342915809</v>
      </c>
      <c r="E51" s="5"/>
      <c r="F51" s="5"/>
      <c r="G51" s="5"/>
      <c r="H51" s="5"/>
      <c r="I51" s="90"/>
      <c r="J51" s="5"/>
      <c r="K51" s="20">
        <f>IF(D51&gt;0,IF(D51&lt;=L15,SUM(1/(POWER(1+I49,D46))),1),1)</f>
        <v>2.1495514179882692E-2</v>
      </c>
      <c r="L51" s="6"/>
      <c r="M51" s="95"/>
      <c r="N51" s="4"/>
      <c r="O51" s="35"/>
    </row>
    <row r="52" spans="2:16" x14ac:dyDescent="0.3">
      <c r="B52" s="34"/>
      <c r="C52" s="5"/>
      <c r="D52" s="8"/>
      <c r="E52" s="5"/>
      <c r="F52" s="96"/>
      <c r="G52" s="5"/>
      <c r="H52" s="5"/>
      <c r="I52" s="90"/>
      <c r="J52" s="5"/>
      <c r="K52" s="19"/>
      <c r="L52" s="6"/>
      <c r="M52" s="94">
        <f>IF(ISNUMBER(K49*K50*K51),K49*K50*K51,0)</f>
        <v>0</v>
      </c>
      <c r="N52" s="4"/>
      <c r="O52" s="35"/>
    </row>
    <row r="53" spans="2:16" x14ac:dyDescent="0.3">
      <c r="B53" s="36"/>
      <c r="C53" s="5"/>
      <c r="D53" s="8"/>
      <c r="E53" s="5"/>
      <c r="F53" s="5"/>
      <c r="G53" s="5"/>
      <c r="H53" s="5"/>
      <c r="I53" s="90"/>
      <c r="J53" s="5"/>
      <c r="K53" s="19"/>
      <c r="L53" s="6"/>
      <c r="M53" s="95"/>
      <c r="N53" s="4"/>
      <c r="O53" s="35"/>
    </row>
    <row r="54" spans="2:16" x14ac:dyDescent="0.3">
      <c r="B54" s="34" t="s">
        <v>5</v>
      </c>
      <c r="C54" s="7"/>
      <c r="D54" s="101">
        <v>0</v>
      </c>
      <c r="E54" s="98" t="s">
        <v>8</v>
      </c>
      <c r="F54" s="27">
        <v>0</v>
      </c>
      <c r="G54" s="5"/>
      <c r="H54" s="5" t="s">
        <v>13</v>
      </c>
      <c r="I54" s="100">
        <f>L$25</f>
        <v>6.5000000000000002E-2</v>
      </c>
      <c r="J54" s="5"/>
      <c r="K54" s="99">
        <f>IF(D55&gt;0,D54,0)</f>
        <v>0</v>
      </c>
      <c r="L54" s="6"/>
      <c r="M54" s="95"/>
      <c r="N54" s="4"/>
      <c r="O54" s="35"/>
    </row>
    <row r="55" spans="2:16" x14ac:dyDescent="0.3">
      <c r="B55" s="34" t="s">
        <v>0</v>
      </c>
      <c r="C55" s="5"/>
      <c r="D55" s="96">
        <f>IF(F50&gt;L30,F54,(F55-L30)/365.25)</f>
        <v>0</v>
      </c>
      <c r="E55" s="98" t="s">
        <v>56</v>
      </c>
      <c r="F55" s="97">
        <f>DATE(YEAR(L$14)+INT(F35+F39+F44+F49+F54),MONTH(L$14)+MOD(F35+F39+F44+F49+F54,1)*12,DAY(L$14)+MOD(MOD(F35+F39+F44+F49+F54,1)*12,1)*365/12)</f>
        <v>64764</v>
      </c>
      <c r="G55" s="5"/>
      <c r="H55" s="5"/>
      <c r="I55" s="5"/>
      <c r="J55" s="5"/>
      <c r="K55" s="20">
        <f>IF(ISNUMBER(1/(I54+((0%/(((1+(0%))^F54)-1))/(1-0%)))),(1/(I54+((0%/(((1+(0%))^F54)-1))/(1-0%)))),((1-(POWER(1+I54,-D55)))/I54))</f>
        <v>0</v>
      </c>
      <c r="L55" s="6"/>
      <c r="M55" s="95"/>
      <c r="N55" s="4"/>
      <c r="O55" s="35"/>
    </row>
    <row r="56" spans="2:16" x14ac:dyDescent="0.3">
      <c r="B56" s="34" t="s">
        <v>55</v>
      </c>
      <c r="C56" s="5"/>
      <c r="D56" s="96">
        <f>IF(F50&gt;L30,D55+D51,(F55-L30)/365.25)</f>
        <v>60.975359342915809</v>
      </c>
      <c r="E56" s="5"/>
      <c r="F56" s="96"/>
      <c r="G56" s="5"/>
      <c r="H56" s="5"/>
      <c r="I56" s="5"/>
      <c r="J56" s="5"/>
      <c r="K56" s="20">
        <f>IF(D56&gt;0,IF(D56&lt;=L15,SUM(1/(POWER(1+I54,D51))),1),1)</f>
        <v>2.1495514179882692E-2</v>
      </c>
      <c r="L56" s="6"/>
      <c r="M56" s="95"/>
      <c r="N56" s="4"/>
      <c r="O56" s="35"/>
    </row>
    <row r="57" spans="2:16" x14ac:dyDescent="0.3">
      <c r="B57" s="34"/>
      <c r="C57" s="5"/>
      <c r="D57" s="8"/>
      <c r="E57" s="5"/>
      <c r="F57" s="5"/>
      <c r="G57" s="5"/>
      <c r="H57" s="5"/>
      <c r="I57" s="5"/>
      <c r="J57" s="5"/>
      <c r="K57" s="19"/>
      <c r="L57" s="6"/>
      <c r="M57" s="94">
        <f>IF(ISNUMBER(K54*K55*K56),K54*K55*K56,0)</f>
        <v>0</v>
      </c>
      <c r="N57" s="4"/>
      <c r="O57" s="38"/>
    </row>
    <row r="58" spans="2:16" x14ac:dyDescent="0.3">
      <c r="B58" s="36"/>
      <c r="C58" s="5"/>
      <c r="D58" s="5"/>
      <c r="E58" s="5"/>
      <c r="F58" s="5"/>
      <c r="G58" s="5"/>
      <c r="H58" s="5"/>
      <c r="I58" s="5"/>
      <c r="J58" s="5"/>
      <c r="K58" s="19"/>
      <c r="L58" s="6"/>
      <c r="M58" s="93"/>
      <c r="N58" s="4"/>
      <c r="O58" s="39">
        <f>M37+M42+M47+M52+M57</f>
        <v>9725.8097112671712</v>
      </c>
    </row>
    <row r="59" spans="2:16" ht="18" thickBot="1" x14ac:dyDescent="0.35">
      <c r="B59" s="51"/>
      <c r="C59" s="53"/>
      <c r="D59" s="53"/>
      <c r="E59" s="53"/>
      <c r="F59" s="53"/>
      <c r="G59" s="53"/>
      <c r="H59" s="53"/>
      <c r="I59" s="53"/>
      <c r="J59" s="53"/>
      <c r="K59" s="181"/>
      <c r="L59" s="54"/>
      <c r="M59" s="55"/>
      <c r="N59" s="56"/>
      <c r="O59" s="57"/>
    </row>
    <row r="60" spans="2:16" x14ac:dyDescent="0.3">
      <c r="B60" s="40" t="s">
        <v>3</v>
      </c>
      <c r="C60" s="41"/>
      <c r="D60" s="41"/>
      <c r="E60" s="41"/>
      <c r="F60" s="41"/>
      <c r="G60" s="41"/>
      <c r="H60" s="41"/>
      <c r="I60" s="41"/>
      <c r="J60" s="41"/>
      <c r="K60" s="42"/>
      <c r="L60" s="43"/>
      <c r="M60" s="44"/>
      <c r="N60" s="45"/>
      <c r="O60" s="46"/>
    </row>
    <row r="61" spans="2:16" x14ac:dyDescent="0.3">
      <c r="B61" s="36"/>
      <c r="C61" s="5"/>
      <c r="D61" s="8" t="s">
        <v>37</v>
      </c>
      <c r="E61" s="5"/>
      <c r="F61" s="5"/>
      <c r="G61" s="5"/>
      <c r="H61" s="5"/>
      <c r="I61" s="5"/>
      <c r="J61" s="5"/>
      <c r="K61" s="19"/>
      <c r="L61" s="6"/>
      <c r="M61" s="10"/>
      <c r="N61" s="4"/>
      <c r="O61" s="35"/>
    </row>
    <row r="62" spans="2:16" x14ac:dyDescent="0.3">
      <c r="B62" s="47"/>
      <c r="C62" s="5"/>
      <c r="D62" s="23" t="s">
        <v>31</v>
      </c>
      <c r="E62" s="7"/>
      <c r="F62" s="3"/>
      <c r="G62" s="17"/>
      <c r="H62" s="5"/>
      <c r="I62" s="5"/>
      <c r="J62" s="5"/>
      <c r="K62" s="19">
        <f>L27</f>
        <v>1464646.4646464647</v>
      </c>
      <c r="L62" s="89"/>
      <c r="M62" s="10"/>
      <c r="N62" s="4"/>
      <c r="O62" s="35"/>
      <c r="P62" s="74"/>
    </row>
    <row r="63" spans="2:16" x14ac:dyDescent="0.3">
      <c r="B63" s="47"/>
      <c r="C63" s="5"/>
      <c r="D63" s="23"/>
      <c r="E63" s="7"/>
      <c r="F63" s="3"/>
      <c r="G63" s="17"/>
      <c r="H63" s="7" t="s">
        <v>54</v>
      </c>
      <c r="I63" s="85">
        <v>0</v>
      </c>
      <c r="J63" s="5"/>
      <c r="K63" s="19">
        <f>K62*I63</f>
        <v>0</v>
      </c>
      <c r="L63" s="89"/>
      <c r="M63" s="10"/>
      <c r="N63" s="4"/>
      <c r="O63" s="35"/>
    </row>
    <row r="64" spans="2:16" x14ac:dyDescent="0.3">
      <c r="B64" s="36"/>
      <c r="C64" s="7"/>
      <c r="D64" s="23" t="s">
        <v>1</v>
      </c>
      <c r="E64" s="7"/>
      <c r="F64" s="87">
        <f>L21</f>
        <v>60.971937029431899</v>
      </c>
      <c r="G64" s="17"/>
      <c r="H64" s="5" t="s">
        <v>13</v>
      </c>
      <c r="I64" s="88">
        <f>L$26</f>
        <v>0.05</v>
      </c>
      <c r="J64" s="5"/>
      <c r="K64" s="18">
        <f>SUM(1/(POWER(1+I64,F64)))</f>
        <v>5.1056071072656077E-2</v>
      </c>
      <c r="L64" s="6"/>
      <c r="M64" s="10">
        <f>((K62-K63)*K64)</f>
        <v>74779.093995304356</v>
      </c>
      <c r="N64" s="4"/>
      <c r="O64" s="35"/>
    </row>
    <row r="65" spans="2:15" x14ac:dyDescent="0.3">
      <c r="B65" s="36"/>
      <c r="C65" s="7"/>
      <c r="D65" s="23"/>
      <c r="E65" s="7"/>
      <c r="F65" s="3"/>
      <c r="G65" s="17"/>
      <c r="H65" s="5"/>
      <c r="I65" s="90"/>
      <c r="J65" s="5"/>
      <c r="K65" s="18"/>
      <c r="L65" s="6"/>
      <c r="M65" s="10"/>
      <c r="N65" s="4"/>
      <c r="O65" s="35"/>
    </row>
    <row r="66" spans="2:15" x14ac:dyDescent="0.3">
      <c r="B66" s="36"/>
      <c r="C66" s="7"/>
      <c r="D66" s="48" t="s">
        <v>14</v>
      </c>
      <c r="E66" s="7"/>
      <c r="F66" s="3"/>
      <c r="G66" s="17"/>
      <c r="H66" s="5"/>
      <c r="I66" s="92" t="s">
        <v>53</v>
      </c>
      <c r="J66" s="111">
        <f>O58+M64</f>
        <v>84504.903706571524</v>
      </c>
      <c r="K66" s="18"/>
      <c r="L66" s="6"/>
      <c r="M66" s="91"/>
      <c r="N66" s="4"/>
      <c r="O66" s="39"/>
    </row>
    <row r="67" spans="2:15" x14ac:dyDescent="0.3">
      <c r="B67" s="36"/>
      <c r="C67" s="7"/>
      <c r="D67" s="8" t="s">
        <v>38</v>
      </c>
      <c r="E67" s="5"/>
      <c r="F67" s="5"/>
      <c r="G67" s="5"/>
      <c r="H67" s="5"/>
      <c r="I67" s="90"/>
      <c r="J67" s="5"/>
      <c r="K67" s="19"/>
      <c r="L67" s="6"/>
      <c r="M67" s="10"/>
      <c r="N67" s="4"/>
      <c r="O67" s="35"/>
    </row>
    <row r="68" spans="2:15" x14ac:dyDescent="0.3">
      <c r="B68" s="36"/>
      <c r="C68" s="7"/>
      <c r="D68" s="23" t="s">
        <v>31</v>
      </c>
      <c r="E68" s="7"/>
      <c r="F68" s="3"/>
      <c r="G68" s="17"/>
      <c r="H68" s="5"/>
      <c r="I68" s="90"/>
      <c r="J68" s="5"/>
      <c r="K68" s="19">
        <f>L27</f>
        <v>1464646.4646464647</v>
      </c>
      <c r="L68" s="89"/>
      <c r="M68" s="10"/>
      <c r="N68" s="4"/>
      <c r="O68" s="35"/>
    </row>
    <row r="69" spans="2:15" x14ac:dyDescent="0.3">
      <c r="B69" s="36"/>
      <c r="C69" s="7"/>
      <c r="D69" s="23" t="s">
        <v>1</v>
      </c>
      <c r="E69" s="7"/>
      <c r="F69" s="87">
        <f>DATEDIF(L18,L23,"D")/365.25</f>
        <v>150.96783025325121</v>
      </c>
      <c r="G69" s="17"/>
      <c r="H69" s="5" t="s">
        <v>13</v>
      </c>
      <c r="I69" s="88">
        <f>L$26</f>
        <v>0.05</v>
      </c>
      <c r="J69" s="5"/>
      <c r="K69" s="18">
        <f>SUM(1/(POWER(1+I69,F69)))</f>
        <v>6.3255383753088612E-4</v>
      </c>
      <c r="L69" s="6"/>
      <c r="M69" s="49">
        <f>SUM(K68*K69)</f>
        <v>926.4677418381666</v>
      </c>
      <c r="N69" s="4"/>
      <c r="O69" s="39">
        <f>M64-M69</f>
        <v>73852.626253466195</v>
      </c>
    </row>
    <row r="70" spans="2:15" x14ac:dyDescent="0.3">
      <c r="B70" s="36"/>
      <c r="C70" s="7"/>
      <c r="D70" s="23"/>
      <c r="E70" s="7"/>
      <c r="F70" s="87"/>
      <c r="G70" s="17"/>
      <c r="H70" s="5"/>
      <c r="I70" s="5"/>
      <c r="J70" s="5"/>
      <c r="K70" s="18"/>
      <c r="L70" s="6"/>
      <c r="M70" s="49"/>
      <c r="N70" s="4"/>
      <c r="O70" s="50"/>
    </row>
    <row r="71" spans="2:15" x14ac:dyDescent="0.3">
      <c r="B71" s="36"/>
      <c r="C71" s="7"/>
      <c r="D71" s="23"/>
      <c r="E71" s="7"/>
      <c r="F71" s="87"/>
      <c r="G71" s="17"/>
      <c r="H71" s="5"/>
      <c r="I71" s="5"/>
      <c r="J71" s="5"/>
      <c r="K71" s="18"/>
      <c r="L71" s="6"/>
      <c r="M71" s="49"/>
      <c r="N71" s="4"/>
      <c r="O71" s="86">
        <f>O58+O69</f>
        <v>83578.435964733362</v>
      </c>
    </row>
    <row r="72" spans="2:15" ht="18" thickBot="1" x14ac:dyDescent="0.35">
      <c r="B72" s="51"/>
      <c r="C72" s="52"/>
      <c r="D72" s="53"/>
      <c r="E72" s="53"/>
      <c r="F72" s="53"/>
      <c r="G72" s="53"/>
      <c r="H72" s="53"/>
      <c r="I72" s="53"/>
      <c r="J72" s="53"/>
      <c r="K72" s="54"/>
      <c r="L72" s="54"/>
      <c r="M72" s="55"/>
      <c r="N72" s="56"/>
      <c r="O72" s="57"/>
    </row>
    <row r="73" spans="2:15" x14ac:dyDescent="0.3">
      <c r="B73" s="58" t="s">
        <v>15</v>
      </c>
      <c r="C73" s="59"/>
      <c r="D73" s="59"/>
      <c r="E73" s="59"/>
      <c r="F73" s="59"/>
      <c r="G73" s="59"/>
      <c r="H73" s="59"/>
      <c r="I73" s="59"/>
      <c r="J73" s="59"/>
      <c r="K73" s="60"/>
      <c r="L73" s="60"/>
      <c r="M73" s="61"/>
      <c r="N73" s="62"/>
      <c r="O73" s="63"/>
    </row>
    <row r="74" spans="2:15" x14ac:dyDescent="0.3">
      <c r="B74" s="64"/>
      <c r="C74" s="11"/>
      <c r="D74" s="11" t="s">
        <v>52</v>
      </c>
      <c r="E74" s="11"/>
      <c r="F74" s="11"/>
      <c r="G74" s="11"/>
      <c r="H74" s="11"/>
      <c r="I74" s="11"/>
      <c r="J74" s="82"/>
      <c r="K74" s="112">
        <f>L31</f>
        <v>1179720</v>
      </c>
      <c r="L74" s="84"/>
      <c r="M74" s="13"/>
      <c r="N74" s="14"/>
      <c r="O74" s="65"/>
    </row>
    <row r="75" spans="2:15" x14ac:dyDescent="0.3">
      <c r="B75" s="64"/>
      <c r="C75" s="83" t="s">
        <v>49</v>
      </c>
      <c r="D75" s="11" t="s">
        <v>51</v>
      </c>
      <c r="E75" s="11"/>
      <c r="F75" s="11"/>
      <c r="G75" s="11"/>
      <c r="H75" s="11"/>
      <c r="I75" s="11"/>
      <c r="J75" s="11"/>
      <c r="K75" s="112">
        <f>M64+O58</f>
        <v>84504.903706571524</v>
      </c>
      <c r="L75" s="84"/>
      <c r="M75" s="13">
        <f>K74+K75</f>
        <v>1264224.9037065716</v>
      </c>
      <c r="N75" s="14"/>
      <c r="O75" s="65"/>
    </row>
    <row r="76" spans="2:15" x14ac:dyDescent="0.3">
      <c r="B76" s="64"/>
      <c r="C76" s="83"/>
      <c r="D76" s="11"/>
      <c r="E76" s="11"/>
      <c r="F76" s="11"/>
      <c r="G76" s="11"/>
      <c r="H76" s="11"/>
      <c r="I76" s="11"/>
      <c r="J76" s="11"/>
      <c r="K76" s="112"/>
      <c r="L76" s="84"/>
      <c r="M76" s="13"/>
      <c r="N76" s="14"/>
      <c r="O76" s="65"/>
    </row>
    <row r="77" spans="2:15" ht="21" x14ac:dyDescent="0.6">
      <c r="B77" s="64"/>
      <c r="C77" s="72"/>
      <c r="D77" s="11"/>
      <c r="E77" s="11"/>
      <c r="F77" s="11"/>
      <c r="G77" s="11"/>
      <c r="H77" s="72" t="s">
        <v>50</v>
      </c>
      <c r="I77" s="85">
        <v>0</v>
      </c>
      <c r="J77" s="11"/>
      <c r="K77" s="113">
        <f>K74*I77</f>
        <v>0</v>
      </c>
      <c r="L77" s="84"/>
      <c r="M77" s="13"/>
      <c r="N77" s="14"/>
      <c r="O77" s="65"/>
    </row>
    <row r="78" spans="2:15" x14ac:dyDescent="0.3">
      <c r="B78" s="64"/>
      <c r="C78" s="72"/>
      <c r="D78" s="11"/>
      <c r="E78" s="11"/>
      <c r="F78" s="11"/>
      <c r="G78" s="11"/>
      <c r="H78" s="11"/>
      <c r="I78" s="11"/>
      <c r="J78" s="11"/>
      <c r="K78" s="114"/>
      <c r="L78" s="84"/>
      <c r="M78" s="13"/>
      <c r="N78" s="14"/>
      <c r="O78" s="65"/>
    </row>
    <row r="79" spans="2:15" x14ac:dyDescent="0.3">
      <c r="B79" s="64"/>
      <c r="C79" s="72"/>
      <c r="D79" s="11"/>
      <c r="E79" s="11"/>
      <c r="F79" s="11"/>
      <c r="G79" s="11"/>
      <c r="H79" s="11"/>
      <c r="I79" s="11"/>
      <c r="J79" s="11"/>
      <c r="K79" s="114"/>
      <c r="L79" s="84"/>
      <c r="M79" s="13"/>
      <c r="N79" s="14"/>
      <c r="O79" s="65"/>
    </row>
    <row r="80" spans="2:15" x14ac:dyDescent="0.3">
      <c r="B80" s="64"/>
      <c r="C80" s="72"/>
      <c r="D80" s="11" t="s">
        <v>7</v>
      </c>
      <c r="E80" s="11"/>
      <c r="F80" s="11"/>
      <c r="G80" s="11"/>
      <c r="H80" s="11"/>
      <c r="I80" s="11"/>
      <c r="J80" s="11"/>
      <c r="K80" s="115">
        <f>L29</f>
        <v>1450000</v>
      </c>
      <c r="L80" s="84"/>
      <c r="M80" s="13"/>
      <c r="N80" s="14"/>
      <c r="O80" s="65"/>
    </row>
    <row r="81" spans="2:15" ht="21" x14ac:dyDescent="0.6">
      <c r="B81" s="64"/>
      <c r="C81" s="83" t="s">
        <v>49</v>
      </c>
      <c r="D81" s="11" t="s">
        <v>48</v>
      </c>
      <c r="E81" s="11"/>
      <c r="F81" s="11"/>
      <c r="G81" s="11"/>
      <c r="H81" s="11"/>
      <c r="I81" s="82"/>
      <c r="J81" s="82"/>
      <c r="K81" s="113">
        <f>M69</f>
        <v>926.4677418381666</v>
      </c>
      <c r="L81" s="12"/>
      <c r="M81" s="13">
        <f>K80+K81</f>
        <v>1450926.4677418382</v>
      </c>
      <c r="N81" s="14"/>
      <c r="O81" s="65"/>
    </row>
    <row r="82" spans="2:15" x14ac:dyDescent="0.3">
      <c r="B82" s="64"/>
      <c r="C82" s="11"/>
      <c r="D82" s="11"/>
      <c r="E82" s="11"/>
      <c r="F82" s="11"/>
      <c r="G82" s="11"/>
      <c r="H82" s="11"/>
      <c r="I82" s="11"/>
      <c r="J82" s="81" t="s">
        <v>47</v>
      </c>
      <c r="K82" s="80"/>
      <c r="L82" s="12"/>
      <c r="M82" s="79">
        <f>M81-M75+K77</f>
        <v>186701.56403526664</v>
      </c>
      <c r="N82" s="14"/>
      <c r="O82" s="65"/>
    </row>
    <row r="83" spans="2:15" x14ac:dyDescent="0.3">
      <c r="B83" s="64"/>
      <c r="C83" s="11"/>
      <c r="D83" s="11"/>
      <c r="E83" s="11"/>
      <c r="F83" s="11"/>
      <c r="G83" s="11"/>
      <c r="H83" s="72" t="s">
        <v>46</v>
      </c>
      <c r="I83" s="78">
        <f>1-I84</f>
        <v>0.5</v>
      </c>
      <c r="J83" s="11"/>
      <c r="K83" s="12"/>
      <c r="L83" s="12"/>
      <c r="M83" s="15"/>
      <c r="N83" s="14"/>
      <c r="O83" s="73">
        <f>IF(L21&lt;=80,SUM(M82*I83),0)</f>
        <v>93350.782017633319</v>
      </c>
    </row>
    <row r="84" spans="2:15" x14ac:dyDescent="0.3">
      <c r="B84" s="64"/>
      <c r="C84" s="11"/>
      <c r="D84" s="11"/>
      <c r="E84" s="11"/>
      <c r="F84" s="11"/>
      <c r="G84" s="11"/>
      <c r="H84" s="72" t="s">
        <v>45</v>
      </c>
      <c r="I84" s="77">
        <v>0.5</v>
      </c>
      <c r="J84" s="11"/>
      <c r="K84" s="12"/>
      <c r="L84" s="12"/>
      <c r="M84" s="15"/>
      <c r="N84" s="14"/>
      <c r="O84" s="73">
        <f>IF(L21&lt;=80,SUM(M82*I84),0)</f>
        <v>93350.782017633319</v>
      </c>
    </row>
    <row r="85" spans="2:15" x14ac:dyDescent="0.3">
      <c r="B85" s="64"/>
      <c r="C85" s="11"/>
      <c r="D85" s="11"/>
      <c r="E85" s="11"/>
      <c r="F85" s="11"/>
      <c r="G85" s="11"/>
      <c r="H85" s="72" t="s">
        <v>44</v>
      </c>
      <c r="I85" s="11"/>
      <c r="J85" s="11"/>
      <c r="K85" s="12"/>
      <c r="L85" s="12"/>
      <c r="M85" s="15"/>
      <c r="N85" s="14"/>
      <c r="O85" s="66">
        <f>O58+O69+O84</f>
        <v>176929.21798236668</v>
      </c>
    </row>
    <row r="86" spans="2:15" x14ac:dyDescent="0.3">
      <c r="B86" s="64"/>
      <c r="C86" s="11"/>
      <c r="D86" s="11"/>
      <c r="E86" s="11"/>
      <c r="F86" s="11"/>
      <c r="G86" s="11"/>
      <c r="H86" s="72" t="s">
        <v>43</v>
      </c>
      <c r="I86" s="11"/>
      <c r="J86" s="11"/>
      <c r="K86" s="12"/>
      <c r="L86" s="12"/>
      <c r="M86" s="15"/>
      <c r="N86" s="14"/>
      <c r="O86" s="76">
        <v>0</v>
      </c>
    </row>
    <row r="87" spans="2:15" x14ac:dyDescent="0.3">
      <c r="B87" s="64"/>
      <c r="C87" s="11"/>
      <c r="D87" s="11"/>
      <c r="E87" s="11"/>
      <c r="F87" s="11"/>
      <c r="G87" s="11"/>
      <c r="H87" s="72" t="s">
        <v>42</v>
      </c>
      <c r="I87" s="11"/>
      <c r="J87" s="11"/>
      <c r="K87" s="12"/>
      <c r="L87" s="12"/>
      <c r="M87" s="15"/>
      <c r="N87" s="14"/>
      <c r="O87" s="76">
        <v>0</v>
      </c>
    </row>
    <row r="88" spans="2:15" x14ac:dyDescent="0.3">
      <c r="B88" s="64"/>
      <c r="C88" s="11"/>
      <c r="D88" s="11"/>
      <c r="E88" s="11"/>
      <c r="F88" s="11"/>
      <c r="G88" s="11"/>
      <c r="H88" s="72" t="s">
        <v>41</v>
      </c>
      <c r="I88" s="11"/>
      <c r="J88" s="11"/>
      <c r="K88" s="12"/>
      <c r="L88" s="11"/>
      <c r="M88" s="15"/>
      <c r="N88" s="189" t="s">
        <v>40</v>
      </c>
      <c r="O88" s="66">
        <f>ROUND((O85+O86+O87),0)</f>
        <v>176929</v>
      </c>
    </row>
    <row r="89" spans="2:15" x14ac:dyDescent="0.3">
      <c r="B89" s="64"/>
      <c r="C89" s="11"/>
      <c r="D89" s="11"/>
      <c r="E89" s="11"/>
      <c r="F89" s="11"/>
      <c r="G89" s="11"/>
      <c r="H89" s="72"/>
      <c r="I89" s="11"/>
      <c r="J89" s="11"/>
      <c r="K89" s="11"/>
      <c r="L89" s="11"/>
      <c r="M89" s="81"/>
      <c r="N89" s="16"/>
      <c r="O89" s="73"/>
    </row>
    <row r="90" spans="2:15" ht="18" thickBot="1" x14ac:dyDescent="0.35">
      <c r="B90" s="67"/>
      <c r="C90" s="68"/>
      <c r="D90" s="69"/>
      <c r="E90" s="69"/>
      <c r="F90" s="69"/>
      <c r="G90" s="69"/>
      <c r="H90" s="69"/>
      <c r="I90" s="69"/>
      <c r="J90" s="69"/>
      <c r="K90" s="69"/>
      <c r="L90" s="69"/>
      <c r="M90" s="190" t="s">
        <v>39</v>
      </c>
      <c r="N90" s="70"/>
      <c r="O90" s="71"/>
    </row>
    <row r="91" spans="2:15" ht="18" thickBot="1" x14ac:dyDescent="0.35"/>
    <row r="92" spans="2:15" ht="18" thickBot="1" x14ac:dyDescent="0.35">
      <c r="F92" s="138"/>
      <c r="G92" s="139"/>
      <c r="H92" s="139"/>
      <c r="I92" s="139"/>
      <c r="J92" s="139"/>
      <c r="K92" s="139"/>
      <c r="L92" s="139"/>
      <c r="M92" s="139"/>
      <c r="N92" s="140"/>
    </row>
    <row r="93" spans="2:15" ht="18" thickBot="1" x14ac:dyDescent="0.35">
      <c r="F93" s="118" t="s">
        <v>9</v>
      </c>
      <c r="G93" s="119">
        <f>L25</f>
        <v>6.5000000000000002E-2</v>
      </c>
      <c r="H93" s="241" t="s">
        <v>75</v>
      </c>
      <c r="I93" s="242"/>
      <c r="J93" s="242"/>
      <c r="K93" s="242"/>
      <c r="L93" s="242"/>
      <c r="M93" s="242"/>
      <c r="N93" s="243"/>
    </row>
    <row r="94" spans="2:15" ht="18" thickBot="1" x14ac:dyDescent="0.35">
      <c r="F94" s="120" t="s">
        <v>10</v>
      </c>
      <c r="G94" s="228">
        <f>L29</f>
        <v>1450000</v>
      </c>
      <c r="H94" s="205">
        <f>ROUND((I94-O94),4)</f>
        <v>0.85</v>
      </c>
      <c r="I94" s="206">
        <f>ROUND((J94-O94),4)</f>
        <v>0.9</v>
      </c>
      <c r="J94" s="206">
        <f>ROUND((K94-O94),4)</f>
        <v>0.95</v>
      </c>
      <c r="K94" s="215">
        <v>1</v>
      </c>
      <c r="L94" s="206">
        <f>ROUND((K94+O94),4)</f>
        <v>1.05</v>
      </c>
      <c r="M94" s="206">
        <f>ROUND((L94+O94),4)</f>
        <v>1.1000000000000001</v>
      </c>
      <c r="N94" s="207">
        <f>ROUND((M94+O94),4)</f>
        <v>1.1499999999999999</v>
      </c>
      <c r="O94" s="198">
        <v>0.05</v>
      </c>
    </row>
    <row r="95" spans="2:15" ht="18" thickBot="1" x14ac:dyDescent="0.35">
      <c r="F95" s="154"/>
      <c r="G95" s="155">
        <f>O88</f>
        <v>176929</v>
      </c>
      <c r="H95" s="210">
        <f>K95*H94</f>
        <v>5.525E-2</v>
      </c>
      <c r="I95" s="211">
        <f>K95*I94</f>
        <v>5.8500000000000003E-2</v>
      </c>
      <c r="J95" s="212">
        <f>K95*J94</f>
        <v>6.1749999999999999E-2</v>
      </c>
      <c r="K95" s="213">
        <v>6.5000000000000002E-2</v>
      </c>
      <c r="L95" s="210">
        <f>K95*L94</f>
        <v>6.8250000000000005E-2</v>
      </c>
      <c r="M95" s="211">
        <f>K95*M94</f>
        <v>7.1500000000000008E-2</v>
      </c>
      <c r="N95" s="212">
        <f>K95*N94</f>
        <v>7.4749999999999997E-2</v>
      </c>
    </row>
    <row r="96" spans="2:15" x14ac:dyDescent="0.3">
      <c r="F96" s="193">
        <f>ROUND((F97-F107),4)</f>
        <v>0.9</v>
      </c>
      <c r="G96" s="199">
        <f>G101*F96</f>
        <v>1305000</v>
      </c>
      <c r="H96" s="156">
        <f t="dataTable" ref="H96:N106" dt2D="1" dtr="1" r1="L25" r2="L29"/>
        <v>160586</v>
      </c>
      <c r="I96" s="157">
        <v>160270</v>
      </c>
      <c r="J96" s="157">
        <v>159984</v>
      </c>
      <c r="K96" s="157">
        <v>159723</v>
      </c>
      <c r="L96" s="157">
        <v>159484</v>
      </c>
      <c r="M96" s="157">
        <v>159266</v>
      </c>
      <c r="N96" s="158">
        <v>159066</v>
      </c>
    </row>
    <row r="97" spans="6:15" x14ac:dyDescent="0.3">
      <c r="F97" s="194">
        <f>ROUND((F98-F107),4)</f>
        <v>0.92</v>
      </c>
      <c r="G97" s="199">
        <f>G101*F97</f>
        <v>1334000</v>
      </c>
      <c r="H97" s="159">
        <v>164027</v>
      </c>
      <c r="I97" s="160">
        <v>163712</v>
      </c>
      <c r="J97" s="160">
        <v>163425</v>
      </c>
      <c r="K97" s="160">
        <v>163164</v>
      </c>
      <c r="L97" s="160">
        <v>162926</v>
      </c>
      <c r="M97" s="160">
        <v>162707</v>
      </c>
      <c r="N97" s="161">
        <v>162507</v>
      </c>
    </row>
    <row r="98" spans="6:15" x14ac:dyDescent="0.3">
      <c r="F98" s="194">
        <f>ROUND((F99-F107),4)</f>
        <v>0.94</v>
      </c>
      <c r="G98" s="199">
        <f>G101*F98</f>
        <v>1363000</v>
      </c>
      <c r="H98" s="159">
        <v>167469</v>
      </c>
      <c r="I98" s="160">
        <v>167153</v>
      </c>
      <c r="J98" s="160">
        <v>166866</v>
      </c>
      <c r="K98" s="160">
        <v>166605</v>
      </c>
      <c r="L98" s="160">
        <v>166367</v>
      </c>
      <c r="M98" s="160">
        <v>166149</v>
      </c>
      <c r="N98" s="161">
        <v>165949</v>
      </c>
    </row>
    <row r="99" spans="6:15" x14ac:dyDescent="0.3">
      <c r="F99" s="194">
        <f>ROUND((F100-F107),4)</f>
        <v>0.96</v>
      </c>
      <c r="G99" s="199">
        <f>G101*F99</f>
        <v>1392000</v>
      </c>
      <c r="H99" s="159">
        <v>170910</v>
      </c>
      <c r="I99" s="160">
        <v>170594</v>
      </c>
      <c r="J99" s="160">
        <v>170308</v>
      </c>
      <c r="K99" s="160">
        <v>170047</v>
      </c>
      <c r="L99" s="160">
        <v>169808</v>
      </c>
      <c r="M99" s="160">
        <v>169590</v>
      </c>
      <c r="N99" s="161">
        <v>169390</v>
      </c>
    </row>
    <row r="100" spans="6:15" ht="18" thickBot="1" x14ac:dyDescent="0.35">
      <c r="F100" s="194">
        <f>ROUND((F101-F107),4)</f>
        <v>0.98</v>
      </c>
      <c r="G100" s="199">
        <f>G101*F100</f>
        <v>1421000</v>
      </c>
      <c r="H100" s="159">
        <v>174351</v>
      </c>
      <c r="I100" s="160">
        <v>174036</v>
      </c>
      <c r="J100" s="160">
        <v>173749</v>
      </c>
      <c r="K100" s="160">
        <v>173488</v>
      </c>
      <c r="L100" s="160">
        <v>173250</v>
      </c>
      <c r="M100" s="160">
        <v>173031</v>
      </c>
      <c r="N100" s="161">
        <v>172831</v>
      </c>
    </row>
    <row r="101" spans="6:15" ht="18" thickBot="1" x14ac:dyDescent="0.35">
      <c r="F101" s="195">
        <v>1</v>
      </c>
      <c r="G101" s="200">
        <v>1450000</v>
      </c>
      <c r="H101" s="159">
        <v>177793</v>
      </c>
      <c r="I101" s="160">
        <v>177477</v>
      </c>
      <c r="J101" s="160">
        <v>177190</v>
      </c>
      <c r="K101" s="160">
        <v>176929</v>
      </c>
      <c r="L101" s="160">
        <v>176691</v>
      </c>
      <c r="M101" s="160">
        <v>176473</v>
      </c>
      <c r="N101" s="161">
        <v>176273</v>
      </c>
    </row>
    <row r="102" spans="6:15" x14ac:dyDescent="0.3">
      <c r="F102" s="194">
        <f>ROUND((F101+F107),4)</f>
        <v>1.02</v>
      </c>
      <c r="G102" s="199">
        <f>G101*F102</f>
        <v>1479000</v>
      </c>
      <c r="H102" s="159">
        <v>181234</v>
      </c>
      <c r="I102" s="160">
        <v>180918</v>
      </c>
      <c r="J102" s="160">
        <v>180632</v>
      </c>
      <c r="K102" s="160">
        <v>180371</v>
      </c>
      <c r="L102" s="160">
        <v>180132</v>
      </c>
      <c r="M102" s="160">
        <v>179914</v>
      </c>
      <c r="N102" s="161">
        <v>179714</v>
      </c>
    </row>
    <row r="103" spans="6:15" x14ac:dyDescent="0.3">
      <c r="F103" s="194">
        <f>ROUND((F102+F107),4)</f>
        <v>1.04</v>
      </c>
      <c r="G103" s="199">
        <f>G101*F103</f>
        <v>1508000</v>
      </c>
      <c r="H103" s="159">
        <v>184675</v>
      </c>
      <c r="I103" s="160">
        <v>184360</v>
      </c>
      <c r="J103" s="160">
        <v>184073</v>
      </c>
      <c r="K103" s="160">
        <v>183812</v>
      </c>
      <c r="L103" s="160">
        <v>183573</v>
      </c>
      <c r="M103" s="160">
        <v>183355</v>
      </c>
      <c r="N103" s="161">
        <v>183155</v>
      </c>
    </row>
    <row r="104" spans="6:15" x14ac:dyDescent="0.3">
      <c r="F104" s="194">
        <f>ROUND((F103+F107),4)</f>
        <v>1.06</v>
      </c>
      <c r="G104" s="199">
        <f>G101*F104</f>
        <v>1537000</v>
      </c>
      <c r="H104" s="159">
        <v>188117</v>
      </c>
      <c r="I104" s="160">
        <v>187801</v>
      </c>
      <c r="J104" s="160">
        <v>187514</v>
      </c>
      <c r="K104" s="160">
        <v>187253</v>
      </c>
      <c r="L104" s="160">
        <v>187015</v>
      </c>
      <c r="M104" s="160">
        <v>186797</v>
      </c>
      <c r="N104" s="161">
        <v>186597</v>
      </c>
    </row>
    <row r="105" spans="6:15" x14ac:dyDescent="0.3">
      <c r="F105" s="194">
        <f>ROUND((F104+F107),4)</f>
        <v>1.08</v>
      </c>
      <c r="G105" s="199">
        <f>G101*F105</f>
        <v>1566000</v>
      </c>
      <c r="H105" s="159">
        <v>191558</v>
      </c>
      <c r="I105" s="160">
        <v>191242</v>
      </c>
      <c r="J105" s="160">
        <v>190956</v>
      </c>
      <c r="K105" s="160">
        <v>190695</v>
      </c>
      <c r="L105" s="160">
        <v>190456</v>
      </c>
      <c r="M105" s="160">
        <v>190238</v>
      </c>
      <c r="N105" s="161">
        <v>190038</v>
      </c>
    </row>
    <row r="106" spans="6:15" ht="18" thickBot="1" x14ac:dyDescent="0.35">
      <c r="F106" s="196">
        <f>ROUND((F105+F107),4)</f>
        <v>1.1000000000000001</v>
      </c>
      <c r="G106" s="199">
        <f>G101*F106</f>
        <v>1595000.0000000002</v>
      </c>
      <c r="H106" s="162">
        <v>194999</v>
      </c>
      <c r="I106" s="163">
        <v>194684</v>
      </c>
      <c r="J106" s="163">
        <v>194397</v>
      </c>
      <c r="K106" s="163">
        <v>194136</v>
      </c>
      <c r="L106" s="163">
        <v>193897</v>
      </c>
      <c r="M106" s="163">
        <v>193679</v>
      </c>
      <c r="N106" s="164">
        <v>193479</v>
      </c>
      <c r="O106" s="165"/>
    </row>
    <row r="107" spans="6:15" ht="18" thickBot="1" x14ac:dyDescent="0.35">
      <c r="F107" s="192">
        <v>0.02</v>
      </c>
      <c r="G107" s="139"/>
      <c r="H107" s="139"/>
      <c r="I107" s="139"/>
      <c r="J107" s="139"/>
      <c r="K107" s="139"/>
      <c r="L107" s="139"/>
      <c r="M107" s="139"/>
      <c r="N107" s="140"/>
    </row>
    <row r="108" spans="6:15" ht="18" thickBot="1" x14ac:dyDescent="0.35"/>
    <row r="109" spans="6:15" ht="18" thickBot="1" x14ac:dyDescent="0.35">
      <c r="F109" s="121" t="s">
        <v>9</v>
      </c>
      <c r="G109" s="122">
        <f>L25</f>
        <v>6.5000000000000002E-2</v>
      </c>
      <c r="H109" s="241" t="s">
        <v>11</v>
      </c>
      <c r="I109" s="242"/>
      <c r="J109" s="242"/>
      <c r="K109" s="242"/>
      <c r="L109" s="242"/>
      <c r="M109" s="242"/>
      <c r="N109" s="243"/>
    </row>
    <row r="110" spans="6:15" ht="18" thickBot="1" x14ac:dyDescent="0.35">
      <c r="F110" s="123" t="s">
        <v>70</v>
      </c>
      <c r="G110" s="124">
        <f>L30</f>
        <v>0.81359999999999999</v>
      </c>
      <c r="H110" s="205">
        <f>ROUND((I110-O110),4)</f>
        <v>0.85</v>
      </c>
      <c r="I110" s="206">
        <f>ROUND((J110-O110),4)</f>
        <v>0.9</v>
      </c>
      <c r="J110" s="206">
        <f>ROUND((K110-O110),4)</f>
        <v>0.95</v>
      </c>
      <c r="K110" s="215">
        <v>1</v>
      </c>
      <c r="L110" s="206">
        <f>ROUND((K110+O110),4)</f>
        <v>1.05</v>
      </c>
      <c r="M110" s="206">
        <f>ROUND((L110+O110),4)</f>
        <v>1.1000000000000001</v>
      </c>
      <c r="N110" s="207">
        <f>ROUND((M110+O110),4)</f>
        <v>1.1499999999999999</v>
      </c>
      <c r="O110" s="198">
        <v>0.05</v>
      </c>
    </row>
    <row r="111" spans="6:15" ht="18" thickBot="1" x14ac:dyDescent="0.35">
      <c r="F111" s="154"/>
      <c r="G111" s="166">
        <f>O88</f>
        <v>176929</v>
      </c>
      <c r="H111" s="210">
        <f>K111*H110</f>
        <v>5.525E-2</v>
      </c>
      <c r="I111" s="211">
        <f>K111*I110</f>
        <v>5.8500000000000003E-2</v>
      </c>
      <c r="J111" s="212">
        <f>K111*J110</f>
        <v>6.1749999999999999E-2</v>
      </c>
      <c r="K111" s="213">
        <v>6.5000000000000002E-2</v>
      </c>
      <c r="L111" s="210">
        <f>K111*L110</f>
        <v>6.8250000000000005E-2</v>
      </c>
      <c r="M111" s="211">
        <f>K111*M110</f>
        <v>7.1500000000000008E-2</v>
      </c>
      <c r="N111" s="212">
        <f>K111*N110</f>
        <v>7.4749999999999997E-2</v>
      </c>
    </row>
    <row r="112" spans="6:15" x14ac:dyDescent="0.3">
      <c r="F112" s="193">
        <f>ROUND((F113-F123),4)</f>
        <v>0.9</v>
      </c>
      <c r="G112" s="197">
        <f>G117*F112</f>
        <v>0.73224</v>
      </c>
      <c r="H112" s="156">
        <f t="dataTable" ref="H112:N122" dt2D="1" dtr="1" r1="L25" r2="L30" ca="1"/>
        <v>236779</v>
      </c>
      <c r="I112" s="157">
        <v>236463</v>
      </c>
      <c r="J112" s="157">
        <v>236176</v>
      </c>
      <c r="K112" s="157">
        <v>235915</v>
      </c>
      <c r="L112" s="157">
        <v>235677</v>
      </c>
      <c r="M112" s="157">
        <v>235459</v>
      </c>
      <c r="N112" s="158">
        <v>235259</v>
      </c>
    </row>
    <row r="113" spans="5:15" x14ac:dyDescent="0.3">
      <c r="F113" s="194">
        <f>ROUND((F114-F123),4)</f>
        <v>0.92</v>
      </c>
      <c r="G113" s="197">
        <f>G117*F113</f>
        <v>0.74851200000000007</v>
      </c>
      <c r="H113" s="159">
        <v>224981</v>
      </c>
      <c r="I113" s="160">
        <v>224666</v>
      </c>
      <c r="J113" s="160">
        <v>224379</v>
      </c>
      <c r="K113" s="160">
        <v>224118</v>
      </c>
      <c r="L113" s="160">
        <v>223880</v>
      </c>
      <c r="M113" s="160">
        <v>223661</v>
      </c>
      <c r="N113" s="161">
        <v>223461</v>
      </c>
    </row>
    <row r="114" spans="5:15" x14ac:dyDescent="0.3">
      <c r="F114" s="194">
        <f>ROUND((F115-F123),4)</f>
        <v>0.94</v>
      </c>
      <c r="G114" s="197">
        <f>G117*F114</f>
        <v>0.76478399999999991</v>
      </c>
      <c r="H114" s="159">
        <v>213184</v>
      </c>
      <c r="I114" s="160">
        <v>212869</v>
      </c>
      <c r="J114" s="160">
        <v>212582</v>
      </c>
      <c r="K114" s="160">
        <v>212321</v>
      </c>
      <c r="L114" s="160">
        <v>212082</v>
      </c>
      <c r="M114" s="160">
        <v>211864</v>
      </c>
      <c r="N114" s="161">
        <v>211664</v>
      </c>
    </row>
    <row r="115" spans="5:15" x14ac:dyDescent="0.3">
      <c r="F115" s="194">
        <f>ROUND((F116-F123),4)</f>
        <v>0.96</v>
      </c>
      <c r="G115" s="197">
        <f>G117*F115</f>
        <v>0.78105599999999997</v>
      </c>
      <c r="H115" s="159">
        <v>201387</v>
      </c>
      <c r="I115" s="160">
        <v>201071</v>
      </c>
      <c r="J115" s="160">
        <v>200785</v>
      </c>
      <c r="K115" s="160">
        <v>200524</v>
      </c>
      <c r="L115" s="160">
        <v>200285</v>
      </c>
      <c r="M115" s="160">
        <v>200067</v>
      </c>
      <c r="N115" s="161">
        <v>199867</v>
      </c>
    </row>
    <row r="116" spans="5:15" ht="18" thickBot="1" x14ac:dyDescent="0.35">
      <c r="F116" s="194">
        <f>ROUND((F117-F123),4)</f>
        <v>0.98</v>
      </c>
      <c r="G116" s="197">
        <f>G117*F116</f>
        <v>0.79732799999999993</v>
      </c>
      <c r="H116" s="159">
        <v>189590</v>
      </c>
      <c r="I116" s="160">
        <v>189274</v>
      </c>
      <c r="J116" s="160">
        <v>188988</v>
      </c>
      <c r="K116" s="160">
        <v>188726</v>
      </c>
      <c r="L116" s="160">
        <v>188488</v>
      </c>
      <c r="M116" s="160">
        <v>188270</v>
      </c>
      <c r="N116" s="161">
        <v>188070</v>
      </c>
    </row>
    <row r="117" spans="5:15" ht="18" thickBot="1" x14ac:dyDescent="0.35">
      <c r="F117" s="195">
        <v>1</v>
      </c>
      <c r="G117" s="198">
        <v>0.81359999999999999</v>
      </c>
      <c r="H117" s="159">
        <v>177793</v>
      </c>
      <c r="I117" s="160">
        <v>177477</v>
      </c>
      <c r="J117" s="160">
        <v>177190</v>
      </c>
      <c r="K117" s="160">
        <v>176929</v>
      </c>
      <c r="L117" s="160">
        <v>176691</v>
      </c>
      <c r="M117" s="160">
        <v>176473</v>
      </c>
      <c r="N117" s="161">
        <v>176273</v>
      </c>
    </row>
    <row r="118" spans="5:15" x14ac:dyDescent="0.3">
      <c r="F118" s="194">
        <f>ROUND((F117+F123),4)</f>
        <v>1.02</v>
      </c>
      <c r="G118" s="197">
        <f>G117*F118</f>
        <v>0.82987200000000005</v>
      </c>
      <c r="H118" s="159">
        <v>165995</v>
      </c>
      <c r="I118" s="160">
        <v>165680</v>
      </c>
      <c r="J118" s="160">
        <v>165393</v>
      </c>
      <c r="K118" s="160">
        <v>165132</v>
      </c>
      <c r="L118" s="160">
        <v>164894</v>
      </c>
      <c r="M118" s="160">
        <v>164675</v>
      </c>
      <c r="N118" s="161">
        <v>164475</v>
      </c>
    </row>
    <row r="119" spans="5:15" x14ac:dyDescent="0.3">
      <c r="F119" s="194">
        <f>ROUND((F118+F123),4)</f>
        <v>1.04</v>
      </c>
      <c r="G119" s="197">
        <f>G117*F119</f>
        <v>0.84614400000000001</v>
      </c>
      <c r="H119" s="159">
        <v>154198</v>
      </c>
      <c r="I119" s="160">
        <v>153883</v>
      </c>
      <c r="J119" s="160">
        <v>153596</v>
      </c>
      <c r="K119" s="160">
        <v>153335</v>
      </c>
      <c r="L119" s="160">
        <v>153096</v>
      </c>
      <c r="M119" s="160">
        <v>152878</v>
      </c>
      <c r="N119" s="161">
        <v>152678</v>
      </c>
    </row>
    <row r="120" spans="5:15" x14ac:dyDescent="0.3">
      <c r="F120" s="194">
        <f>ROUND((F119+F123),4)</f>
        <v>1.06</v>
      </c>
      <c r="G120" s="197">
        <f>G117*F120</f>
        <v>0.86241600000000007</v>
      </c>
      <c r="H120" s="159">
        <v>142401</v>
      </c>
      <c r="I120" s="160">
        <v>142085</v>
      </c>
      <c r="J120" s="160">
        <v>141799</v>
      </c>
      <c r="K120" s="160">
        <v>141538</v>
      </c>
      <c r="L120" s="160">
        <v>141299</v>
      </c>
      <c r="M120" s="160">
        <v>141081</v>
      </c>
      <c r="N120" s="161">
        <v>140881</v>
      </c>
    </row>
    <row r="121" spans="5:15" x14ac:dyDescent="0.3">
      <c r="F121" s="194">
        <f>ROUND((F120+F123),4)</f>
        <v>1.08</v>
      </c>
      <c r="G121" s="197">
        <f>G117*F121</f>
        <v>0.87868800000000002</v>
      </c>
      <c r="H121" s="159">
        <v>130604</v>
      </c>
      <c r="I121" s="160">
        <v>130288</v>
      </c>
      <c r="J121" s="160">
        <v>130002</v>
      </c>
      <c r="K121" s="160">
        <v>129740</v>
      </c>
      <c r="L121" s="160">
        <v>129502</v>
      </c>
      <c r="M121" s="160">
        <v>129284</v>
      </c>
      <c r="N121" s="161">
        <v>129084</v>
      </c>
    </row>
    <row r="122" spans="5:15" ht="18" thickBot="1" x14ac:dyDescent="0.35">
      <c r="F122" s="196">
        <f>ROUND((F121+F123),4)</f>
        <v>1.1000000000000001</v>
      </c>
      <c r="G122" s="197">
        <f>G117*F122</f>
        <v>0.89496000000000009</v>
      </c>
      <c r="H122" s="162">
        <v>118807</v>
      </c>
      <c r="I122" s="163">
        <v>118491</v>
      </c>
      <c r="J122" s="163">
        <v>118204</v>
      </c>
      <c r="K122" s="163">
        <v>117943</v>
      </c>
      <c r="L122" s="163">
        <v>117705</v>
      </c>
      <c r="M122" s="163">
        <v>117487</v>
      </c>
      <c r="N122" s="164">
        <v>117287</v>
      </c>
    </row>
    <row r="123" spans="5:15" ht="18" thickBot="1" x14ac:dyDescent="0.35">
      <c r="F123" s="192">
        <v>0.02</v>
      </c>
      <c r="G123" s="139"/>
      <c r="H123" s="139"/>
      <c r="I123" s="139"/>
      <c r="J123" s="139"/>
      <c r="K123" s="139"/>
      <c r="L123" s="139"/>
      <c r="M123" s="139"/>
      <c r="N123" s="140"/>
    </row>
    <row r="124" spans="5:15" ht="18" thickBot="1" x14ac:dyDescent="0.35"/>
    <row r="125" spans="5:15" ht="18" thickBot="1" x14ac:dyDescent="0.35">
      <c r="E125" s="165"/>
      <c r="F125" s="201" t="s">
        <v>70</v>
      </c>
      <c r="G125" s="122">
        <f>L30</f>
        <v>0.81359999999999999</v>
      </c>
      <c r="H125" s="241" t="s">
        <v>74</v>
      </c>
      <c r="I125" s="242"/>
      <c r="J125" s="242"/>
      <c r="K125" s="242"/>
      <c r="L125" s="242"/>
      <c r="M125" s="242"/>
      <c r="N125" s="243"/>
      <c r="O125" s="204"/>
    </row>
    <row r="126" spans="5:15" ht="18" thickBot="1" x14ac:dyDescent="0.35">
      <c r="E126" s="165"/>
      <c r="F126" s="125" t="s">
        <v>10</v>
      </c>
      <c r="G126" s="229">
        <f>L29</f>
        <v>1450000</v>
      </c>
      <c r="H126" s="205">
        <f>ROUND((I126-O126),4)</f>
        <v>0.94</v>
      </c>
      <c r="I126" s="206">
        <f>ROUND((J126-O126),4)</f>
        <v>0.96</v>
      </c>
      <c r="J126" s="206">
        <f>ROUND((K126-O126),4)</f>
        <v>0.98</v>
      </c>
      <c r="K126" s="215">
        <v>1</v>
      </c>
      <c r="L126" s="206">
        <f>ROUND((K126+O126),4)</f>
        <v>1.02</v>
      </c>
      <c r="M126" s="206">
        <f>ROUND((L126+O126),4)</f>
        <v>1.04</v>
      </c>
      <c r="N126" s="207">
        <f>ROUND((M126+O126),4)</f>
        <v>1.06</v>
      </c>
      <c r="O126" s="198">
        <v>0.02</v>
      </c>
    </row>
    <row r="127" spans="5:15" ht="18" thickBot="1" x14ac:dyDescent="0.35">
      <c r="E127" s="165"/>
      <c r="F127" s="154"/>
      <c r="G127" s="155">
        <f>O88</f>
        <v>176929</v>
      </c>
      <c r="H127" s="216">
        <f>K127*H126</f>
        <v>1363000</v>
      </c>
      <c r="I127" s="217">
        <f>K127*I126</f>
        <v>1392000</v>
      </c>
      <c r="J127" s="218">
        <f>K127*J126</f>
        <v>1421000</v>
      </c>
      <c r="K127" s="219">
        <v>1450000</v>
      </c>
      <c r="L127" s="216">
        <f>K127*L126</f>
        <v>1479000</v>
      </c>
      <c r="M127" s="217">
        <f>K127*M126</f>
        <v>1508000</v>
      </c>
      <c r="N127" s="218">
        <f>K127*N126</f>
        <v>1537000</v>
      </c>
    </row>
    <row r="128" spans="5:15" x14ac:dyDescent="0.3">
      <c r="E128" s="165"/>
      <c r="F128" s="193">
        <f>ROUND((F129-F139),4)</f>
        <v>0.9</v>
      </c>
      <c r="G128" s="197">
        <f>G133*F128</f>
        <v>0.73224</v>
      </c>
      <c r="H128" s="156">
        <f t="dataTable" ref="H128:N138" dt2D="1" dtr="1" r1="L29" r2="L30" ca="1"/>
        <v>222052</v>
      </c>
      <c r="I128" s="157">
        <v>226673</v>
      </c>
      <c r="J128" s="157">
        <v>231294</v>
      </c>
      <c r="K128" s="157">
        <v>235915</v>
      </c>
      <c r="L128" s="157">
        <v>240536</v>
      </c>
      <c r="M128" s="157">
        <v>245157</v>
      </c>
      <c r="N128" s="158">
        <v>249778</v>
      </c>
    </row>
    <row r="129" spans="5:15" x14ac:dyDescent="0.3">
      <c r="E129" s="165"/>
      <c r="F129" s="194">
        <f>ROUND((F130-F139),4)</f>
        <v>0.92</v>
      </c>
      <c r="G129" s="197">
        <f>G133*F129</f>
        <v>0.74851200000000007</v>
      </c>
      <c r="H129" s="159">
        <v>210963</v>
      </c>
      <c r="I129" s="160">
        <v>215348</v>
      </c>
      <c r="J129" s="160">
        <v>219733</v>
      </c>
      <c r="K129" s="160">
        <v>224118</v>
      </c>
      <c r="L129" s="160">
        <v>228503</v>
      </c>
      <c r="M129" s="160">
        <v>232888</v>
      </c>
      <c r="N129" s="161">
        <v>237273</v>
      </c>
    </row>
    <row r="130" spans="5:15" x14ac:dyDescent="0.3">
      <c r="E130" s="165"/>
      <c r="F130" s="194">
        <f>ROUND((F131-F139),4)</f>
        <v>0.94</v>
      </c>
      <c r="G130" s="197">
        <f>G133*F130</f>
        <v>0.76478399999999991</v>
      </c>
      <c r="H130" s="159">
        <v>199873</v>
      </c>
      <c r="I130" s="160">
        <v>204023</v>
      </c>
      <c r="J130" s="160">
        <v>208172</v>
      </c>
      <c r="K130" s="160">
        <v>212321</v>
      </c>
      <c r="L130" s="160">
        <v>216470</v>
      </c>
      <c r="M130" s="160">
        <v>220619</v>
      </c>
      <c r="N130" s="161">
        <v>224768</v>
      </c>
    </row>
    <row r="131" spans="5:15" x14ac:dyDescent="0.3">
      <c r="E131" s="165"/>
      <c r="F131" s="194">
        <f>ROUND((F132-F139),4)</f>
        <v>0.96</v>
      </c>
      <c r="G131" s="197">
        <f>G133*F131</f>
        <v>0.78105599999999997</v>
      </c>
      <c r="H131" s="159">
        <v>188784</v>
      </c>
      <c r="I131" s="160">
        <v>192697</v>
      </c>
      <c r="J131" s="160">
        <v>196610</v>
      </c>
      <c r="K131" s="160">
        <v>200524</v>
      </c>
      <c r="L131" s="160">
        <v>204437</v>
      </c>
      <c r="M131" s="160">
        <v>208350</v>
      </c>
      <c r="N131" s="161">
        <v>212263</v>
      </c>
    </row>
    <row r="132" spans="5:15" ht="18" thickBot="1" x14ac:dyDescent="0.35">
      <c r="E132" s="165"/>
      <c r="F132" s="194">
        <f>ROUND((F133-F139),4)</f>
        <v>0.98</v>
      </c>
      <c r="G132" s="197">
        <f>G133*F132</f>
        <v>0.79732799999999993</v>
      </c>
      <c r="H132" s="159">
        <v>177695</v>
      </c>
      <c r="I132" s="160">
        <v>181372</v>
      </c>
      <c r="J132" s="160">
        <v>185049</v>
      </c>
      <c r="K132" s="160">
        <v>188726</v>
      </c>
      <c r="L132" s="160">
        <v>192404</v>
      </c>
      <c r="M132" s="160">
        <v>196081</v>
      </c>
      <c r="N132" s="161">
        <v>199758</v>
      </c>
    </row>
    <row r="133" spans="5:15" ht="18" thickBot="1" x14ac:dyDescent="0.35">
      <c r="E133" s="165"/>
      <c r="F133" s="195">
        <v>1</v>
      </c>
      <c r="G133" s="198">
        <v>0.81359999999999999</v>
      </c>
      <c r="H133" s="159">
        <v>166605</v>
      </c>
      <c r="I133" s="160">
        <v>170047</v>
      </c>
      <c r="J133" s="160">
        <v>173488</v>
      </c>
      <c r="K133" s="160">
        <v>176929</v>
      </c>
      <c r="L133" s="160">
        <v>180371</v>
      </c>
      <c r="M133" s="160">
        <v>183812</v>
      </c>
      <c r="N133" s="161">
        <v>187253</v>
      </c>
    </row>
    <row r="134" spans="5:15" x14ac:dyDescent="0.3">
      <c r="E134" s="165"/>
      <c r="F134" s="194">
        <f>ROUND((F133+F139),4)</f>
        <v>1.02</v>
      </c>
      <c r="G134" s="197">
        <f>G133*F134</f>
        <v>0.82987200000000005</v>
      </c>
      <c r="H134" s="159">
        <v>155516</v>
      </c>
      <c r="I134" s="160">
        <v>158721</v>
      </c>
      <c r="J134" s="160">
        <v>161927</v>
      </c>
      <c r="K134" s="160">
        <v>165132</v>
      </c>
      <c r="L134" s="160">
        <v>168337</v>
      </c>
      <c r="M134" s="160">
        <v>171543</v>
      </c>
      <c r="N134" s="161">
        <v>174748</v>
      </c>
    </row>
    <row r="135" spans="5:15" x14ac:dyDescent="0.3">
      <c r="E135" s="165"/>
      <c r="F135" s="194">
        <f>ROUND((F134+F139),4)</f>
        <v>1.04</v>
      </c>
      <c r="G135" s="197">
        <f>G133*F135</f>
        <v>0.84614400000000001</v>
      </c>
      <c r="H135" s="159">
        <v>144427</v>
      </c>
      <c r="I135" s="160">
        <v>147396</v>
      </c>
      <c r="J135" s="160">
        <v>150365</v>
      </c>
      <c r="K135" s="160">
        <v>153335</v>
      </c>
      <c r="L135" s="160">
        <v>156304</v>
      </c>
      <c r="M135" s="160">
        <v>159274</v>
      </c>
      <c r="N135" s="161">
        <v>162243</v>
      </c>
    </row>
    <row r="136" spans="5:15" x14ac:dyDescent="0.3">
      <c r="E136" s="165"/>
      <c r="F136" s="194">
        <f>ROUND((F135+F139),4)</f>
        <v>1.06</v>
      </c>
      <c r="G136" s="197">
        <f>G133*F136</f>
        <v>0.86241600000000007</v>
      </c>
      <c r="H136" s="159">
        <v>133337</v>
      </c>
      <c r="I136" s="160">
        <v>136071</v>
      </c>
      <c r="J136" s="160">
        <v>138804</v>
      </c>
      <c r="K136" s="160">
        <v>141538</v>
      </c>
      <c r="L136" s="160">
        <v>144271</v>
      </c>
      <c r="M136" s="160">
        <v>147005</v>
      </c>
      <c r="N136" s="161">
        <v>149738</v>
      </c>
    </row>
    <row r="137" spans="5:15" x14ac:dyDescent="0.3">
      <c r="E137" s="165"/>
      <c r="F137" s="194">
        <f>ROUND((F136+F139),4)</f>
        <v>1.08</v>
      </c>
      <c r="G137" s="197">
        <f>G133*F137</f>
        <v>0.87868800000000002</v>
      </c>
      <c r="H137" s="159">
        <v>122248</v>
      </c>
      <c r="I137" s="160">
        <v>124745</v>
      </c>
      <c r="J137" s="160">
        <v>127243</v>
      </c>
      <c r="K137" s="160">
        <v>129740</v>
      </c>
      <c r="L137" s="160">
        <v>132238</v>
      </c>
      <c r="M137" s="160">
        <v>134736</v>
      </c>
      <c r="N137" s="161">
        <v>137233</v>
      </c>
    </row>
    <row r="138" spans="5:15" ht="18" thickBot="1" x14ac:dyDescent="0.35">
      <c r="E138" s="165"/>
      <c r="F138" s="196">
        <f>ROUND((F137+F139),4)</f>
        <v>1.1000000000000001</v>
      </c>
      <c r="G138" s="202">
        <f>G133*F138</f>
        <v>0.89496000000000009</v>
      </c>
      <c r="H138" s="162">
        <v>111158</v>
      </c>
      <c r="I138" s="163">
        <v>113420</v>
      </c>
      <c r="J138" s="163">
        <v>115682</v>
      </c>
      <c r="K138" s="163">
        <v>117943</v>
      </c>
      <c r="L138" s="163">
        <v>120205</v>
      </c>
      <c r="M138" s="163">
        <v>122466</v>
      </c>
      <c r="N138" s="164">
        <v>124728</v>
      </c>
    </row>
    <row r="139" spans="5:15" ht="18" thickBot="1" x14ac:dyDescent="0.35">
      <c r="F139" s="192">
        <v>0.02</v>
      </c>
      <c r="G139" s="139"/>
      <c r="H139" s="139"/>
      <c r="I139" s="139"/>
      <c r="J139" s="139"/>
      <c r="K139" s="139"/>
      <c r="L139" s="139"/>
      <c r="M139" s="139"/>
      <c r="N139" s="140"/>
    </row>
    <row r="140" spans="5:15" ht="18" thickBot="1" x14ac:dyDescent="0.35"/>
    <row r="141" spans="5:15" ht="18" thickBot="1" x14ac:dyDescent="0.35">
      <c r="F141" s="126" t="s">
        <v>9</v>
      </c>
      <c r="G141" s="208">
        <f>L25</f>
        <v>6.5000000000000002E-2</v>
      </c>
      <c r="H141" s="241" t="s">
        <v>16</v>
      </c>
      <c r="I141" s="242"/>
      <c r="J141" s="242"/>
      <c r="K141" s="242"/>
      <c r="L141" s="242"/>
      <c r="M141" s="242"/>
      <c r="N141" s="214" t="s">
        <v>18</v>
      </c>
    </row>
    <row r="142" spans="5:15" ht="18" thickBot="1" x14ac:dyDescent="0.35">
      <c r="F142" s="127" t="s">
        <v>17</v>
      </c>
      <c r="G142" s="209">
        <f>L26</f>
        <v>0.05</v>
      </c>
      <c r="H142" s="205">
        <f>ROUND((I142-O142),4)</f>
        <v>0.7</v>
      </c>
      <c r="I142" s="206">
        <f>ROUND((J142-O142),4)</f>
        <v>0.8</v>
      </c>
      <c r="J142" s="206">
        <f>ROUND((K142-O142),4)</f>
        <v>0.9</v>
      </c>
      <c r="K142" s="215">
        <v>1</v>
      </c>
      <c r="L142" s="206">
        <f>ROUND((K142+O142),4)</f>
        <v>1.1000000000000001</v>
      </c>
      <c r="M142" s="206">
        <f>ROUND((L142+O142),4)</f>
        <v>1.2</v>
      </c>
      <c r="N142" s="207">
        <f>ROUND((M142+O142),4)</f>
        <v>1.3</v>
      </c>
      <c r="O142" s="198">
        <v>0.1</v>
      </c>
    </row>
    <row r="143" spans="5:15" ht="18" thickBot="1" x14ac:dyDescent="0.35">
      <c r="F143" s="191"/>
      <c r="G143" s="203">
        <f>O88</f>
        <v>176929</v>
      </c>
      <c r="H143" s="210">
        <f>K143*H142</f>
        <v>4.5499999999999999E-2</v>
      </c>
      <c r="I143" s="211">
        <f>K143*I142</f>
        <v>5.2000000000000005E-2</v>
      </c>
      <c r="J143" s="212">
        <f>K143*J142</f>
        <v>5.8500000000000003E-2</v>
      </c>
      <c r="K143" s="213">
        <v>6.5000000000000002E-2</v>
      </c>
      <c r="L143" s="210">
        <f>K143*L142</f>
        <v>7.1500000000000008E-2</v>
      </c>
      <c r="M143" s="211">
        <f>K143*M142</f>
        <v>7.8E-2</v>
      </c>
      <c r="N143" s="212">
        <f>K143*N142</f>
        <v>8.4500000000000006E-2</v>
      </c>
    </row>
    <row r="144" spans="5:15" x14ac:dyDescent="0.3">
      <c r="F144" s="193">
        <f>ROUND((F145-F155),4)</f>
        <v>0.9</v>
      </c>
      <c r="G144" s="197">
        <f>G149*F144</f>
        <v>4.5000000000000005E-2</v>
      </c>
      <c r="H144" s="156">
        <f t="dataTable" ref="H144:N154" dt2D="1" dtr="1" r1="L25" r2="L26" ca="1"/>
        <v>191095</v>
      </c>
      <c r="I144" s="157">
        <v>190282</v>
      </c>
      <c r="J144" s="157">
        <v>189619</v>
      </c>
      <c r="K144" s="157">
        <v>189071</v>
      </c>
      <c r="L144" s="157">
        <v>188614</v>
      </c>
      <c r="M144" s="157">
        <v>188230</v>
      </c>
      <c r="N144" s="158">
        <v>187904</v>
      </c>
    </row>
    <row r="145" spans="2:14" x14ac:dyDescent="0.3">
      <c r="F145" s="194">
        <f>ROUND((F146-F155),4)</f>
        <v>0.92</v>
      </c>
      <c r="G145" s="197">
        <f>G149*F145</f>
        <v>4.6000000000000006E-2</v>
      </c>
      <c r="H145" s="159">
        <v>188389</v>
      </c>
      <c r="I145" s="160">
        <v>187577</v>
      </c>
      <c r="J145" s="160">
        <v>186913</v>
      </c>
      <c r="K145" s="160">
        <v>186365</v>
      </c>
      <c r="L145" s="160">
        <v>185909</v>
      </c>
      <c r="M145" s="160">
        <v>185525</v>
      </c>
      <c r="N145" s="161">
        <v>185198</v>
      </c>
    </row>
    <row r="146" spans="2:14" x14ac:dyDescent="0.3">
      <c r="F146" s="194">
        <f>ROUND((F147-F155),4)</f>
        <v>0.94</v>
      </c>
      <c r="G146" s="197">
        <f>G149*F146</f>
        <v>4.7E-2</v>
      </c>
      <c r="H146" s="159">
        <v>185829</v>
      </c>
      <c r="I146" s="160">
        <v>185017</v>
      </c>
      <c r="J146" s="160">
        <v>184353</v>
      </c>
      <c r="K146" s="160">
        <v>183805</v>
      </c>
      <c r="L146" s="160">
        <v>183349</v>
      </c>
      <c r="M146" s="160">
        <v>182965</v>
      </c>
      <c r="N146" s="161">
        <v>182638</v>
      </c>
    </row>
    <row r="147" spans="2:14" x14ac:dyDescent="0.3">
      <c r="F147" s="194">
        <f>ROUND((F148-F155),4)</f>
        <v>0.96</v>
      </c>
      <c r="G147" s="197">
        <f>G149*F147</f>
        <v>4.8000000000000001E-2</v>
      </c>
      <c r="H147" s="159">
        <v>183408</v>
      </c>
      <c r="I147" s="160">
        <v>182595</v>
      </c>
      <c r="J147" s="160">
        <v>181932</v>
      </c>
      <c r="K147" s="160">
        <v>181384</v>
      </c>
      <c r="L147" s="160">
        <v>180927</v>
      </c>
      <c r="M147" s="160">
        <v>180543</v>
      </c>
      <c r="N147" s="161">
        <v>180217</v>
      </c>
    </row>
    <row r="148" spans="2:14" ht="18" thickBot="1" x14ac:dyDescent="0.35">
      <c r="F148" s="194">
        <f>ROUND((F149-F155),4)</f>
        <v>0.98</v>
      </c>
      <c r="G148" s="197">
        <f>G149*F148</f>
        <v>4.9000000000000002E-2</v>
      </c>
      <c r="H148" s="159">
        <v>181118</v>
      </c>
      <c r="I148" s="160">
        <v>180306</v>
      </c>
      <c r="J148" s="160">
        <v>179642</v>
      </c>
      <c r="K148" s="160">
        <v>179094</v>
      </c>
      <c r="L148" s="160">
        <v>178638</v>
      </c>
      <c r="M148" s="160">
        <v>178253</v>
      </c>
      <c r="N148" s="161">
        <v>177927</v>
      </c>
    </row>
    <row r="149" spans="2:14" ht="18" thickBot="1" x14ac:dyDescent="0.35">
      <c r="F149" s="195">
        <v>1</v>
      </c>
      <c r="G149" s="198">
        <v>0.05</v>
      </c>
      <c r="H149" s="159">
        <v>178953</v>
      </c>
      <c r="I149" s="160">
        <v>178141</v>
      </c>
      <c r="J149" s="160">
        <v>177477</v>
      </c>
      <c r="K149" s="160">
        <v>176929</v>
      </c>
      <c r="L149" s="160">
        <v>176473</v>
      </c>
      <c r="M149" s="160">
        <v>176089</v>
      </c>
      <c r="N149" s="161">
        <v>175762</v>
      </c>
    </row>
    <row r="150" spans="2:14" x14ac:dyDescent="0.3">
      <c r="F150" s="194">
        <f>ROUND((F149+F155),4)</f>
        <v>1.02</v>
      </c>
      <c r="G150" s="197">
        <f>G149*F150</f>
        <v>5.1000000000000004E-2</v>
      </c>
      <c r="H150" s="159">
        <v>176907</v>
      </c>
      <c r="I150" s="160">
        <v>176094</v>
      </c>
      <c r="J150" s="160">
        <v>175431</v>
      </c>
      <c r="K150" s="160">
        <v>174883</v>
      </c>
      <c r="L150" s="160">
        <v>174426</v>
      </c>
      <c r="M150" s="160">
        <v>174042</v>
      </c>
      <c r="N150" s="161">
        <v>173716</v>
      </c>
    </row>
    <row r="151" spans="2:14" x14ac:dyDescent="0.3">
      <c r="F151" s="194">
        <f>ROUND((F150+F155),4)</f>
        <v>1.04</v>
      </c>
      <c r="G151" s="197">
        <f>G149*F151</f>
        <v>5.2000000000000005E-2</v>
      </c>
      <c r="H151" s="159">
        <v>174973</v>
      </c>
      <c r="I151" s="160">
        <v>174160</v>
      </c>
      <c r="J151" s="160">
        <v>173497</v>
      </c>
      <c r="K151" s="160">
        <v>172949</v>
      </c>
      <c r="L151" s="160">
        <v>172492</v>
      </c>
      <c r="M151" s="160">
        <v>172108</v>
      </c>
      <c r="N151" s="161">
        <v>171782</v>
      </c>
    </row>
    <row r="152" spans="2:14" x14ac:dyDescent="0.3">
      <c r="F152" s="194">
        <f>ROUND((F151+F155),4)</f>
        <v>1.06</v>
      </c>
      <c r="G152" s="197">
        <f>G149*F152</f>
        <v>5.3000000000000005E-2</v>
      </c>
      <c r="H152" s="159">
        <v>173145</v>
      </c>
      <c r="I152" s="160">
        <v>172333</v>
      </c>
      <c r="J152" s="160">
        <v>171669</v>
      </c>
      <c r="K152" s="160">
        <v>171121</v>
      </c>
      <c r="L152" s="160">
        <v>170665</v>
      </c>
      <c r="M152" s="160">
        <v>170281</v>
      </c>
      <c r="N152" s="161">
        <v>169954</v>
      </c>
    </row>
    <row r="153" spans="2:14" x14ac:dyDescent="0.3">
      <c r="F153" s="194">
        <f>ROUND((F152+F155),4)</f>
        <v>1.08</v>
      </c>
      <c r="G153" s="197">
        <f>G149*F153</f>
        <v>5.4000000000000006E-2</v>
      </c>
      <c r="H153" s="159">
        <v>171419</v>
      </c>
      <c r="I153" s="160">
        <v>170606</v>
      </c>
      <c r="J153" s="160">
        <v>169943</v>
      </c>
      <c r="K153" s="160">
        <v>169395</v>
      </c>
      <c r="L153" s="160">
        <v>168938</v>
      </c>
      <c r="M153" s="160">
        <v>168554</v>
      </c>
      <c r="N153" s="161">
        <v>168228</v>
      </c>
    </row>
    <row r="154" spans="2:14" ht="18" thickBot="1" x14ac:dyDescent="0.35">
      <c r="F154" s="196">
        <f>ROUND((F153+F155),4)</f>
        <v>1.1000000000000001</v>
      </c>
      <c r="G154" s="197">
        <f>G149*F154</f>
        <v>5.5000000000000007E-2</v>
      </c>
      <c r="H154" s="162">
        <v>169788</v>
      </c>
      <c r="I154" s="163">
        <v>168975</v>
      </c>
      <c r="J154" s="163">
        <v>168311</v>
      </c>
      <c r="K154" s="163">
        <v>167764</v>
      </c>
      <c r="L154" s="163">
        <v>167307</v>
      </c>
      <c r="M154" s="163">
        <v>166923</v>
      </c>
      <c r="N154" s="164">
        <v>166597</v>
      </c>
    </row>
    <row r="155" spans="2:14" ht="18" thickBot="1" x14ac:dyDescent="0.35">
      <c r="F155" s="192">
        <v>0.02</v>
      </c>
      <c r="G155" s="167" t="s">
        <v>19</v>
      </c>
      <c r="H155" s="139"/>
      <c r="I155" s="139"/>
      <c r="J155" s="139"/>
      <c r="K155" s="139"/>
      <c r="L155" s="139"/>
      <c r="M155" s="139"/>
      <c r="N155" s="140"/>
    </row>
    <row r="157" spans="2:14" x14ac:dyDescent="0.3">
      <c r="B157" s="128"/>
    </row>
    <row r="158" spans="2:14" x14ac:dyDescent="0.3">
      <c r="B158" s="128"/>
    </row>
    <row r="159" spans="2:14" x14ac:dyDescent="0.3">
      <c r="B159" s="128"/>
    </row>
    <row r="160" spans="2:14" x14ac:dyDescent="0.3">
      <c r="B160" s="128"/>
    </row>
    <row r="161" spans="2:2" x14ac:dyDescent="0.3">
      <c r="B161" s="128"/>
    </row>
    <row r="162" spans="2:2" x14ac:dyDescent="0.3">
      <c r="B162" s="128"/>
    </row>
    <row r="163" spans="2:2" x14ac:dyDescent="0.3">
      <c r="B163" s="128"/>
    </row>
    <row r="164" spans="2:2" x14ac:dyDescent="0.3">
      <c r="B164" s="128"/>
    </row>
    <row r="165" spans="2:2" x14ac:dyDescent="0.3">
      <c r="B165" s="128"/>
    </row>
    <row r="166" spans="2:2" x14ac:dyDescent="0.3">
      <c r="B166" s="128"/>
    </row>
    <row r="167" spans="2:2" x14ac:dyDescent="0.3">
      <c r="B167" s="128"/>
    </row>
    <row r="168" spans="2:2" x14ac:dyDescent="0.3">
      <c r="B168" s="128"/>
    </row>
    <row r="169" spans="2:2" x14ac:dyDescent="0.3">
      <c r="B169" s="128"/>
    </row>
    <row r="170" spans="2:2" x14ac:dyDescent="0.3">
      <c r="B170" s="128"/>
    </row>
    <row r="171" spans="2:2" x14ac:dyDescent="0.3">
      <c r="B171" s="128"/>
    </row>
    <row r="172" spans="2:2" x14ac:dyDescent="0.3">
      <c r="B172" s="128"/>
    </row>
    <row r="173" spans="2:2" x14ac:dyDescent="0.3">
      <c r="B173" s="128"/>
    </row>
    <row r="174" spans="2:2" x14ac:dyDescent="0.3">
      <c r="B174" s="169"/>
    </row>
    <row r="175" spans="2:2" x14ac:dyDescent="0.3">
      <c r="B175" s="169"/>
    </row>
    <row r="176" spans="2:2" x14ac:dyDescent="0.3">
      <c r="B176" s="170"/>
    </row>
    <row r="177" spans="2:2" x14ac:dyDescent="0.3">
      <c r="B177" s="170"/>
    </row>
    <row r="178" spans="2:2" x14ac:dyDescent="0.3">
      <c r="B178" s="171"/>
    </row>
    <row r="179" spans="2:2" x14ac:dyDescent="0.3">
      <c r="B179" s="171"/>
    </row>
    <row r="180" spans="2:2" x14ac:dyDescent="0.3">
      <c r="B180" s="171"/>
    </row>
    <row r="182" spans="2:2" x14ac:dyDescent="0.3">
      <c r="B182" s="230"/>
    </row>
    <row r="183" spans="2:2" x14ac:dyDescent="0.3">
      <c r="B183" s="230"/>
    </row>
    <row r="184" spans="2:2" x14ac:dyDescent="0.3">
      <c r="B184" s="230"/>
    </row>
    <row r="185" spans="2:2" x14ac:dyDescent="0.3">
      <c r="B185" s="230"/>
    </row>
    <row r="186" spans="2:2" x14ac:dyDescent="0.3">
      <c r="B186" s="230"/>
    </row>
    <row r="188" spans="2:2" x14ac:dyDescent="0.3">
      <c r="B188" s="172"/>
    </row>
    <row r="190" spans="2:2" x14ac:dyDescent="0.3">
      <c r="B190" s="172"/>
    </row>
    <row r="192" spans="2:2" x14ac:dyDescent="0.3">
      <c r="B192" s="172"/>
    </row>
    <row r="193" spans="2:5" x14ac:dyDescent="0.3">
      <c r="B193" s="172"/>
    </row>
    <row r="194" spans="2:5" x14ac:dyDescent="0.3">
      <c r="B194" s="128"/>
    </row>
    <row r="195" spans="2:5" x14ac:dyDescent="0.3">
      <c r="B195" s="128"/>
    </row>
    <row r="197" spans="2:5" x14ac:dyDescent="0.3">
      <c r="B197" s="173"/>
    </row>
    <row r="198" spans="2:5" x14ac:dyDescent="0.3">
      <c r="B198" s="8"/>
    </row>
    <row r="199" spans="2:5" x14ac:dyDescent="0.3">
      <c r="B199" s="8"/>
    </row>
    <row r="200" spans="2:5" x14ac:dyDescent="0.3">
      <c r="B200" s="8"/>
    </row>
    <row r="201" spans="2:5" x14ac:dyDescent="0.3">
      <c r="B201" s="8"/>
    </row>
    <row r="203" spans="2:5" x14ac:dyDescent="0.3">
      <c r="B203" s="174"/>
    </row>
    <row r="204" spans="2:5" x14ac:dyDescent="0.3">
      <c r="B204" s="174"/>
    </row>
    <row r="206" spans="2:5" x14ac:dyDescent="0.3">
      <c r="B206" s="144"/>
      <c r="C206" s="145"/>
      <c r="D206" s="146"/>
      <c r="E206" s="147"/>
    </row>
    <row r="207" spans="2:5" x14ac:dyDescent="0.3">
      <c r="B207" s="148"/>
      <c r="C207" s="142"/>
      <c r="D207" s="149"/>
      <c r="E207" s="150"/>
    </row>
    <row r="208" spans="2:5" x14ac:dyDescent="0.3">
      <c r="B208" s="148"/>
      <c r="C208" s="142"/>
      <c r="D208" s="149"/>
      <c r="E208" s="150"/>
    </row>
    <row r="209" spans="2:5" x14ac:dyDescent="0.3">
      <c r="B209" s="148"/>
      <c r="C209" s="142"/>
      <c r="D209" s="149"/>
      <c r="E209" s="151"/>
    </row>
    <row r="210" spans="2:5" x14ac:dyDescent="0.3">
      <c r="B210" s="152"/>
      <c r="C210" s="143"/>
      <c r="D210" s="143"/>
      <c r="E210" s="153"/>
    </row>
    <row r="214" spans="2:5" x14ac:dyDescent="0.3">
      <c r="B214" s="220"/>
    </row>
  </sheetData>
  <mergeCells count="5">
    <mergeCell ref="M15:O15"/>
    <mergeCell ref="H109:N109"/>
    <mergeCell ref="H125:N125"/>
    <mergeCell ref="H141:M141"/>
    <mergeCell ref="H93:N93"/>
  </mergeCells>
  <conditionalFormatting sqref="H96:N106">
    <cfRule type="cellIs" dxfId="3" priority="11" operator="equal">
      <formula>$O$88</formula>
    </cfRule>
    <cfRule type="colorScale" priority="27">
      <colorScale>
        <cfvo type="min"/>
        <cfvo type="max"/>
        <color rgb="FFFF5050"/>
        <color rgb="FF00FF00"/>
      </colorScale>
    </cfRule>
  </conditionalFormatting>
  <conditionalFormatting sqref="H112:N122">
    <cfRule type="cellIs" dxfId="2" priority="10" operator="equal">
      <formula>$O$88</formula>
    </cfRule>
    <cfRule type="colorScale" priority="26">
      <colorScale>
        <cfvo type="min"/>
        <cfvo type="max"/>
        <color rgb="FFFF5050"/>
        <color rgb="FF00FF00"/>
      </colorScale>
    </cfRule>
  </conditionalFormatting>
  <conditionalFormatting sqref="H128:N138">
    <cfRule type="cellIs" dxfId="1" priority="9" operator="equal">
      <formula>$O$88</formula>
    </cfRule>
    <cfRule type="colorScale" priority="22">
      <colorScale>
        <cfvo type="min"/>
        <cfvo type="max"/>
        <color rgb="FFFF5050"/>
        <color rgb="FF00FF00"/>
      </colorScale>
    </cfRule>
  </conditionalFormatting>
  <conditionalFormatting sqref="H144:N154">
    <cfRule type="cellIs" dxfId="0" priority="7" operator="equal">
      <formula>$O$88</formula>
    </cfRule>
    <cfRule type="colorScale" priority="28">
      <colorScale>
        <cfvo type="min"/>
        <cfvo type="max"/>
        <color rgb="FFFF5050"/>
        <color rgb="FF00FF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Freeholder</vt:lpstr>
    </vt:vector>
  </TitlesOfParts>
  <Company>EasyValuations.com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Antony Milton</dc:creator>
  <cp:lastModifiedBy>Antony Milton</cp:lastModifiedBy>
  <cp:lastPrinted>2018-01-22T11:54:59Z</cp:lastPrinted>
  <dcterms:created xsi:type="dcterms:W3CDTF">2006-03-24T14:50:59Z</dcterms:created>
  <dcterms:modified xsi:type="dcterms:W3CDTF">2026-01-24T18:18:01Z</dcterms:modified>
</cp:coreProperties>
</file>