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3" documentId="8_{401601FE-AD97-4A4D-8381-50A5337F0517}" xr6:coauthVersionLast="47" xr6:coauthVersionMax="47" xr10:uidLastSave="{FC26DB34-9761-4018-A66F-B4B61B32310D}"/>
  <bookViews>
    <workbookView xWindow="12" yWindow="0" windowWidth="23028" windowHeight="12240" xr2:uid="{00000000-000D-0000-FFFF-FFFF00000000}"/>
  </bookViews>
  <sheets>
    <sheet name="S9(1a)Short" sheetId="71" r:id="rId1"/>
  </sheets>
  <definedNames>
    <definedName name="bbb" localSheetId="0">#REF!</definedName>
    <definedName name="bbb">#REF!</definedName>
    <definedName name="bbbbbb">#REF!</definedName>
    <definedName name="BJBK">#REF!</definedName>
    <definedName name="Bongo" localSheetId="0">#REF!</definedName>
    <definedName name="Bongo">#REF!</definedName>
    <definedName name="bonho" localSheetId="0">#REF!</definedName>
    <definedName name="bonho">#REF!</definedName>
    <definedName name="Compound_interest_rate" localSheetId="0">#REF!</definedName>
    <definedName name="Compound_interest_rate">#REF!</definedName>
    <definedName name="Compound_interest_rate_with_tax" localSheetId="0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 localSheetId="0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 localSheetId="0">#REF!</definedName>
    <definedName name="gsdgffsd">#REF!</definedName>
    <definedName name="hhkl" localSheetId="0">#REF!</definedName>
    <definedName name="hhkl">#REF!</definedName>
    <definedName name="int">#REF!</definedName>
    <definedName name="jhbbj" localSheetId="0">#REF!</definedName>
    <definedName name="jhbbj">#REF!</definedName>
    <definedName name="jjknljl">#REF!</definedName>
    <definedName name="JKHKJ" localSheetId="0">#REF!</definedName>
    <definedName name="JKHKJ">#REF!</definedName>
    <definedName name="lhhhk">#REF!</definedName>
    <definedName name="loan_amount">#REF!</definedName>
    <definedName name="mmm" localSheetId="0">#REF!</definedName>
    <definedName name="mmm">#REF!</definedName>
    <definedName name="nknknkn">#REF!</definedName>
    <definedName name="nnn" localSheetId="0">#REF!</definedName>
    <definedName name="nnn">#REF!</definedName>
    <definedName name="nnnn" localSheetId="0">#REF!</definedName>
    <definedName name="nnnn">#REF!</definedName>
    <definedName name="nper">term*periods_per_year</definedName>
    <definedName name="periods_per_year">INDEX({12,24,26,52,26,52},MATCH(#REF!,frequency,0))</definedName>
    <definedName name="Rate_of_tax" localSheetId="0">#REF!</definedName>
    <definedName name="Rate_of_tax">#REF!</definedName>
    <definedName name="reerwwer">#REF!</definedName>
    <definedName name="rrwwrewr">#REF!</definedName>
    <definedName name="sddS" localSheetId="0">#REF!</definedName>
    <definedName name="sddS">#REF!</definedName>
    <definedName name="sdsdsd" localSheetId="0">#REF!</definedName>
    <definedName name="sdsdsd">#REF!</definedName>
    <definedName name="sfsafsd" localSheetId="0">#REF!</definedName>
    <definedName name="sfsafsd">#REF!</definedName>
    <definedName name="sgsdfgs">#REF!</definedName>
    <definedName name="Sinking_fund_effect" localSheetId="0">#REF!</definedName>
    <definedName name="Sinking_fund_effect">#REF!</definedName>
    <definedName name="Sinking_fund_rate" localSheetId="0">#REF!</definedName>
    <definedName name="Sinking_fund_rate">#REF!</definedName>
    <definedName name="start_rate">#REF!</definedName>
    <definedName name="Tax_effect" localSheetId="0">#REF!</definedName>
    <definedName name="Tax_effect">#REF!</definedName>
    <definedName name="term">#REF!</definedName>
    <definedName name="Unexpired" localSheetId="0">#REF!</definedName>
    <definedName name="Unexpired">#REF!</definedName>
    <definedName name="Unexpired_years" localSheetId="0">#REF!</definedName>
    <definedName name="Unexpired_years">#REF!</definedName>
    <definedName name="variable">IF(#REF!="Variable Rate",TRUE,FALSE)</definedName>
    <definedName name="vvv" localSheetId="0">#REF!</definedName>
    <definedName name="vvv">#REF!</definedName>
    <definedName name="wrewerwer">#REF!</definedName>
    <definedName name="xxx">#REF!</definedName>
    <definedName name="xxxxxxx" localSheetId="0">#REF!</definedName>
    <definedName name="xxxxxxx">#REF!</definedName>
    <definedName name="Yield" localSheetId="0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71" l="1"/>
  <c r="F58" i="71"/>
  <c r="I57" i="71"/>
  <c r="F53" i="71"/>
  <c r="I52" i="71"/>
  <c r="F48" i="71"/>
  <c r="I47" i="71"/>
  <c r="F43" i="71"/>
  <c r="D48" i="71" s="1"/>
  <c r="K47" i="71" s="1"/>
  <c r="I42" i="71"/>
  <c r="F39" i="71"/>
  <c r="I38" i="71"/>
  <c r="K26" i="71"/>
  <c r="K17" i="71"/>
  <c r="L18" i="71" s="1"/>
  <c r="D53" i="71" l="1"/>
  <c r="K52" i="71" s="1"/>
  <c r="D43" i="71"/>
  <c r="K42" i="71" s="1"/>
  <c r="K30" i="71"/>
  <c r="K32" i="71" s="1"/>
  <c r="K28" i="71"/>
  <c r="M15" i="71"/>
  <c r="K20" i="71"/>
  <c r="D39" i="71"/>
  <c r="K38" i="71" s="1"/>
  <c r="K18" i="71"/>
  <c r="K53" i="71"/>
  <c r="K48" i="71"/>
  <c r="D44" i="71"/>
  <c r="K64" i="71"/>
  <c r="K65" i="71" s="1"/>
  <c r="K43" i="71" l="1"/>
  <c r="K39" i="71"/>
  <c r="K44" i="71"/>
  <c r="F66" i="71"/>
  <c r="K66" i="71" s="1"/>
  <c r="M66" i="71" s="1"/>
  <c r="O66" i="71" s="1"/>
  <c r="D49" i="71"/>
  <c r="M40" i="71" l="1"/>
  <c r="D58" i="71"/>
  <c r="M45" i="71"/>
  <c r="K49" i="71"/>
  <c r="M50" i="71" s="1"/>
  <c r="D54" i="71"/>
  <c r="K57" i="71" l="1"/>
  <c r="K58" i="71"/>
  <c r="K54" i="71"/>
  <c r="M55" i="71" s="1"/>
  <c r="D59" i="71"/>
  <c r="K59" i="71" l="1"/>
  <c r="M60" i="71" s="1"/>
  <c r="O61" i="71" s="1"/>
  <c r="O68" i="71" s="1"/>
</calcChain>
</file>

<file path=xl/sharedStrings.xml><?xml version="1.0" encoding="utf-8"?>
<sst xmlns="http://schemas.openxmlformats.org/spreadsheetml/2006/main" count="75" uniqueCount="53">
  <si>
    <t xml:space="preserve">Years Purchase for </t>
  </si>
  <si>
    <t xml:space="preserve">PV of £1 in </t>
  </si>
  <si>
    <t>Valuing the Term</t>
  </si>
  <si>
    <t xml:space="preserve">Ground rent @ </t>
  </si>
  <si>
    <t xml:space="preserve">Ground rent @  </t>
  </si>
  <si>
    <t xml:space="preserve">Deferment Rate : </t>
  </si>
  <si>
    <t>for</t>
  </si>
  <si>
    <t xml:space="preserve">Relativity : </t>
  </si>
  <si>
    <t>@</t>
  </si>
  <si>
    <t>Date Lease Commences</t>
  </si>
  <si>
    <t xml:space="preserve">Date of Valuation </t>
  </si>
  <si>
    <t>Unexpired Term</t>
  </si>
  <si>
    <t>Subject to Contract &amp; Without Prejudice</t>
  </si>
  <si>
    <t>Lease Expiry Date</t>
  </si>
  <si>
    <t>Extension</t>
  </si>
  <si>
    <t>Extended Lease Expiry Date</t>
  </si>
  <si>
    <t>Loss of Reversion</t>
  </si>
  <si>
    <t xml:space="preserve"> to </t>
  </si>
  <si>
    <t>PV of £1 deferred for</t>
  </si>
  <si>
    <t>Term of Lease - Years</t>
  </si>
  <si>
    <t>Term of Lease - Days</t>
  </si>
  <si>
    <t>Term of Lease - Months</t>
  </si>
  <si>
    <t>Less Value for Improvents</t>
  </si>
  <si>
    <t>Plus Mesne Profits</t>
  </si>
  <si>
    <t>Less Costs for Possession</t>
  </si>
  <si>
    <t xml:space="preserve">LESS - Property Value subject to Local Government and Housing Act 1989 : </t>
  </si>
  <si>
    <t>Reversion to Full Market Value</t>
  </si>
  <si>
    <t>Freehold Acquisition Valuation</t>
  </si>
  <si>
    <t>Less Physical disadvantages of property</t>
  </si>
  <si>
    <t>Freehold Value - Gross</t>
  </si>
  <si>
    <t>Adjusted Freehold VP Value Net</t>
  </si>
  <si>
    <t>Existing Leasehold Interest</t>
  </si>
  <si>
    <t xml:space="preserve">No Act World' : </t>
  </si>
  <si>
    <t>Adjusted Leasehold Value</t>
  </si>
  <si>
    <t xml:space="preserve">Capitalisation Rate (Term) : </t>
  </si>
  <si>
    <t xml:space="preserve">Determination of Price to be paid for the Freehold Interest </t>
  </si>
  <si>
    <t>under Section 9(1)of the Leasehold Reform Act 1967 (The Act)</t>
  </si>
  <si>
    <t>Current Value of Standing House with VP and "developed to its best advantages"</t>
  </si>
  <si>
    <t xml:space="preserve">Decapitalisation Rate (Extension) : </t>
  </si>
  <si>
    <t>Overall Total Payable for Lease Enfranchisement</t>
  </si>
  <si>
    <t xml:space="preserve">Notes; </t>
  </si>
  <si>
    <t>The price paid for lease extension is calculated in accordance with the Leasehold Reform Act 1967 as amended.</t>
  </si>
  <si>
    <t>Section 9(1) valuation basis in accordance with RV less than £1,000 as at March 1990.</t>
  </si>
  <si>
    <t>Less - Sch 10 Local Govt &amp; Housing Act 1989 Rights</t>
  </si>
  <si>
    <t>Section 9(1a) - Enfranchisement of a House (‘Higher Value’) – Long Unexpired Term Valuation</t>
  </si>
  <si>
    <t>Current Val of Standing Hse with Deduction for Uncertainty (Clarisse)</t>
  </si>
  <si>
    <t>Because at the valuation date the unexpired term is over 80 years, the share of marriage value payable is taken to be nil.</t>
  </si>
  <si>
    <t>The price is assessed under section 9(1A). After the enfranchisement the tenant becomes a freeholder in possession.</t>
  </si>
  <si>
    <t xml:space="preserve">The freeholder is to be compensated for the loss of his or her freehold interest which presently comprises the right to receive the </t>
  </si>
  <si>
    <t>ground rent and the right to vacant possession at the end of the lease. The price payable is the present value of the rental</t>
  </si>
  <si>
    <t>income stream and the present value of the reversion to freehold vacant possession value.</t>
  </si>
  <si>
    <t>Section 9(1a) - No Marriage Value Payable</t>
  </si>
  <si>
    <t>House +80yrs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</si>
</sst>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_-&quot;£&quot;* #,##0_-;\-&quot;£&quot;* #,##0_-;_-&quot;£&quot;* &quot;-&quot;??_-;_-@_-"/>
    <numFmt numFmtId="166" formatCode="#,##0.0000"/>
    <numFmt numFmtId="167" formatCode="_-[$£-809]* #,##0_-;\-[$£-809]* #,##0_-;_-[$£-809]* &quot;-&quot;??_-;_-@_-"/>
    <numFmt numFmtId="168" formatCode="#,##0.00\ &quot;years&quot;"/>
    <numFmt numFmtId="171" formatCode="&quot;£&quot;#,##0"/>
    <numFmt numFmtId="173" formatCode="[$-F800]dddd\,\ mmmm\ dd\,\ yyyy"/>
    <numFmt numFmtId="174" formatCode="_-* #,##0.0000_-;\-* #,##0.0000_-;_-* &quot;-&quot;??_-;_-@_-"/>
    <numFmt numFmtId="175" formatCode="#,##0.00\ &quot; years&quot;"/>
    <numFmt numFmtId="176" formatCode="#,##0\ &quot; months&quot;"/>
    <numFmt numFmtId="177" formatCode="#,##0\ &quot; days&quot;"/>
    <numFmt numFmtId="178" formatCode="#,##0.000\ &quot;years&quot;"/>
  </numFmts>
  <fonts count="24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color rgb="FF000000"/>
      <name val="Trebuchet MS"/>
      <family val="2"/>
    </font>
    <font>
      <u/>
      <sz val="14"/>
      <name val="Arial"/>
      <family val="2"/>
    </font>
    <font>
      <b/>
      <sz val="14"/>
      <color rgb="FF0070C0"/>
      <name val="Arial"/>
      <family val="2"/>
    </font>
    <font>
      <sz val="14"/>
      <color rgb="FFFF00FF"/>
      <name val="Arial"/>
      <family val="2"/>
    </font>
    <font>
      <b/>
      <sz val="14"/>
      <color rgb="FF7030A0"/>
      <name val="Arial"/>
      <family val="2"/>
    </font>
    <font>
      <b/>
      <u/>
      <sz val="23"/>
      <color rgb="FF3399FF"/>
      <name val="Arial"/>
      <family val="2"/>
    </font>
    <font>
      <b/>
      <u/>
      <sz val="10"/>
      <color rgb="FF3399FF"/>
      <name val="Arial"/>
      <family val="2"/>
    </font>
    <font>
      <b/>
      <sz val="14"/>
      <color theme="1"/>
      <name val="Arial"/>
      <family val="2"/>
    </font>
    <font>
      <b/>
      <sz val="14"/>
      <color rgb="FF3E0DF1"/>
      <name val="Arial"/>
      <family val="2"/>
    </font>
    <font>
      <b/>
      <u/>
      <sz val="14"/>
      <color rgb="FF7030A0"/>
      <name val="Arial"/>
      <family val="2"/>
    </font>
    <font>
      <sz val="14"/>
      <color rgb="FF3E0DF1"/>
      <name val="Arial"/>
      <family val="2"/>
    </font>
    <font>
      <b/>
      <sz val="23"/>
      <color rgb="FF002060"/>
      <name val="Arial"/>
      <family val="2"/>
    </font>
    <font>
      <sz val="10"/>
      <color theme="1" tint="4.9989318521683403E-2"/>
      <name val="Arial"/>
      <family val="2"/>
    </font>
    <font>
      <b/>
      <sz val="22"/>
      <color theme="1" tint="4.9989318521683403E-2"/>
      <name val="Arial"/>
      <family val="2"/>
    </font>
    <font>
      <b/>
      <sz val="23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FF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5">
    <xf numFmtId="167" fontId="0" fillId="0" borderId="0" xfId="0"/>
    <xf numFmtId="167" fontId="4" fillId="0" borderId="0" xfId="0" applyFont="1"/>
    <xf numFmtId="164" fontId="2" fillId="3" borderId="0" xfId="0" applyNumberFormat="1" applyFont="1" applyFill="1"/>
    <xf numFmtId="167" fontId="2" fillId="3" borderId="0" xfId="0" applyFont="1" applyFill="1"/>
    <xf numFmtId="167" fontId="0" fillId="3" borderId="0" xfId="0" applyFill="1"/>
    <xf numFmtId="167" fontId="1" fillId="3" borderId="7" xfId="0" applyFont="1" applyFill="1" applyBorder="1"/>
    <xf numFmtId="167" fontId="0" fillId="3" borderId="8" xfId="0" applyFill="1" applyBorder="1"/>
    <xf numFmtId="167" fontId="0" fillId="3" borderId="5" xfId="0" applyFill="1" applyBorder="1"/>
    <xf numFmtId="167" fontId="0" fillId="3" borderId="6" xfId="0" applyFill="1" applyBorder="1"/>
    <xf numFmtId="167" fontId="2" fillId="3" borderId="8" xfId="0" applyFont="1" applyFill="1" applyBorder="1"/>
    <xf numFmtId="164" fontId="0" fillId="3" borderId="0" xfId="0" applyNumberFormat="1" applyFill="1"/>
    <xf numFmtId="167" fontId="8" fillId="3" borderId="0" xfId="0" applyFont="1" applyFill="1" applyAlignment="1">
      <alignment horizontal="center"/>
    </xf>
    <xf numFmtId="167" fontId="8" fillId="3" borderId="0" xfId="0" applyFont="1" applyFill="1"/>
    <xf numFmtId="164" fontId="6" fillId="3" borderId="0" xfId="0" applyNumberFormat="1" applyFont="1" applyFill="1"/>
    <xf numFmtId="167" fontId="6" fillId="3" borderId="0" xfId="0" applyFont="1" applyFill="1"/>
    <xf numFmtId="167" fontId="6" fillId="3" borderId="2" xfId="0" applyFont="1" applyFill="1" applyBorder="1"/>
    <xf numFmtId="167" fontId="6" fillId="3" borderId="0" xfId="0" applyFont="1" applyFill="1" applyAlignment="1">
      <alignment horizontal="right"/>
    </xf>
    <xf numFmtId="167" fontId="7" fillId="3" borderId="0" xfId="0" applyFont="1" applyFill="1"/>
    <xf numFmtId="6" fontId="6" fillId="3" borderId="2" xfId="0" applyNumberFormat="1" applyFont="1" applyFill="1" applyBorder="1"/>
    <xf numFmtId="171" fontId="6" fillId="3" borderId="0" xfId="0" applyNumberFormat="1" applyFont="1" applyFill="1"/>
    <xf numFmtId="171" fontId="6" fillId="3" borderId="3" xfId="0" applyNumberFormat="1" applyFont="1" applyFill="1" applyBorder="1"/>
    <xf numFmtId="166" fontId="6" fillId="3" borderId="2" xfId="0" applyNumberFormat="1" applyFont="1" applyFill="1" applyBorder="1"/>
    <xf numFmtId="3" fontId="6" fillId="3" borderId="2" xfId="0" applyNumberFormat="1" applyFont="1" applyFill="1" applyBorder="1"/>
    <xf numFmtId="166" fontId="6" fillId="3" borderId="2" xfId="0" applyNumberFormat="1" applyFont="1" applyFill="1" applyBorder="1" applyAlignment="1">
      <alignment horizontal="right"/>
    </xf>
    <xf numFmtId="44" fontId="6" fillId="3" borderId="3" xfId="0" applyNumberFormat="1" applyFont="1" applyFill="1" applyBorder="1"/>
    <xf numFmtId="166" fontId="12" fillId="3" borderId="2" xfId="0" applyNumberFormat="1" applyFont="1" applyFill="1" applyBorder="1"/>
    <xf numFmtId="175" fontId="7" fillId="3" borderId="0" xfId="1" applyNumberFormat="1" applyFont="1" applyFill="1" applyBorder="1" applyAlignment="1">
      <alignment horizontal="center"/>
    </xf>
    <xf numFmtId="167" fontId="5" fillId="3" borderId="4" xfId="0" applyFont="1" applyFill="1" applyBorder="1"/>
    <xf numFmtId="167" fontId="13" fillId="3" borderId="5" xfId="0" applyFont="1" applyFill="1" applyBorder="1"/>
    <xf numFmtId="164" fontId="0" fillId="3" borderId="5" xfId="0" applyNumberFormat="1" applyFill="1" applyBorder="1"/>
    <xf numFmtId="167" fontId="9" fillId="3" borderId="8" xfId="0" applyFont="1" applyFill="1" applyBorder="1" applyAlignment="1">
      <alignment vertical="center"/>
    </xf>
    <xf numFmtId="17" fontId="7" fillId="3" borderId="0" xfId="0" applyNumberFormat="1" applyFont="1" applyFill="1" applyAlignment="1">
      <alignment horizontal="left"/>
    </xf>
    <xf numFmtId="167" fontId="7" fillId="3" borderId="0" xfId="0" applyFont="1" applyFill="1" applyAlignment="1">
      <alignment horizontal="right"/>
    </xf>
    <xf numFmtId="165" fontId="7" fillId="3" borderId="0" xfId="2" applyNumberFormat="1" applyFont="1" applyFill="1" applyBorder="1" applyAlignment="1">
      <alignment horizontal="right"/>
    </xf>
    <xf numFmtId="171" fontId="9" fillId="3" borderId="8" xfId="0" applyNumberFormat="1" applyFont="1" applyFill="1" applyBorder="1" applyAlignment="1">
      <alignment vertical="center"/>
    </xf>
    <xf numFmtId="167" fontId="10" fillId="3" borderId="7" xfId="0" applyFont="1" applyFill="1" applyBorder="1"/>
    <xf numFmtId="167" fontId="6" fillId="3" borderId="7" xfId="0" applyFont="1" applyFill="1" applyBorder="1" applyAlignment="1">
      <alignment horizontal="left"/>
    </xf>
    <xf numFmtId="171" fontId="6" fillId="3" borderId="8" xfId="0" applyNumberFormat="1" applyFont="1" applyFill="1" applyBorder="1"/>
    <xf numFmtId="167" fontId="6" fillId="3" borderId="7" xfId="0" applyFont="1" applyFill="1" applyBorder="1"/>
    <xf numFmtId="174" fontId="6" fillId="3" borderId="8" xfId="1" applyNumberFormat="1" applyFont="1" applyFill="1" applyBorder="1"/>
    <xf numFmtId="171" fontId="6" fillId="3" borderId="23" xfId="0" applyNumberFormat="1" applyFont="1" applyFill="1" applyBorder="1"/>
    <xf numFmtId="171" fontId="7" fillId="3" borderId="8" xfId="0" applyNumberFormat="1" applyFont="1" applyFill="1" applyBorder="1"/>
    <xf numFmtId="167" fontId="6" fillId="3" borderId="5" xfId="0" applyFont="1" applyFill="1" applyBorder="1"/>
    <xf numFmtId="3" fontId="6" fillId="3" borderId="21" xfId="0" applyNumberFormat="1" applyFont="1" applyFill="1" applyBorder="1"/>
    <xf numFmtId="167" fontId="6" fillId="3" borderId="21" xfId="0" applyFont="1" applyFill="1" applyBorder="1"/>
    <xf numFmtId="171" fontId="6" fillId="3" borderId="19" xfId="0" applyNumberFormat="1" applyFont="1" applyFill="1" applyBorder="1"/>
    <xf numFmtId="164" fontId="6" fillId="3" borderId="5" xfId="0" applyNumberFormat="1" applyFont="1" applyFill="1" applyBorder="1"/>
    <xf numFmtId="171" fontId="6" fillId="3" borderId="6" xfId="0" applyNumberFormat="1" applyFont="1" applyFill="1" applyBorder="1"/>
    <xf numFmtId="171" fontId="5" fillId="3" borderId="8" xfId="0" applyNumberFormat="1" applyFont="1" applyFill="1" applyBorder="1"/>
    <xf numFmtId="167" fontId="6" fillId="3" borderId="10" xfId="0" applyFont="1" applyFill="1" applyBorder="1" applyAlignment="1">
      <alignment horizontal="right"/>
    </xf>
    <xf numFmtId="167" fontId="6" fillId="3" borderId="10" xfId="0" applyFont="1" applyFill="1" applyBorder="1"/>
    <xf numFmtId="167" fontId="6" fillId="3" borderId="22" xfId="0" applyFont="1" applyFill="1" applyBorder="1"/>
    <xf numFmtId="171" fontId="6" fillId="3" borderId="20" xfId="0" applyNumberFormat="1" applyFont="1" applyFill="1" applyBorder="1"/>
    <xf numFmtId="164" fontId="6" fillId="3" borderId="10" xfId="0" applyNumberFormat="1" applyFont="1" applyFill="1" applyBorder="1"/>
    <xf numFmtId="171" fontId="6" fillId="3" borderId="11" xfId="0" applyNumberFormat="1" applyFont="1" applyFill="1" applyBorder="1"/>
    <xf numFmtId="167" fontId="6" fillId="3" borderId="0" xfId="0" applyFont="1" applyFill="1" applyAlignment="1">
      <alignment horizontal="left"/>
    </xf>
    <xf numFmtId="164" fontId="6" fillId="3" borderId="2" xfId="0" applyNumberFormat="1" applyFont="1" applyFill="1" applyBorder="1"/>
    <xf numFmtId="168" fontId="7" fillId="3" borderId="0" xfId="0" applyNumberFormat="1" applyFont="1" applyFill="1"/>
    <xf numFmtId="167" fontId="7" fillId="3" borderId="7" xfId="0" applyFont="1" applyFill="1" applyBorder="1"/>
    <xf numFmtId="43" fontId="7" fillId="3" borderId="0" xfId="1" applyFont="1" applyFill="1" applyBorder="1"/>
    <xf numFmtId="9" fontId="8" fillId="3" borderId="0" xfId="3" applyFont="1" applyFill="1" applyBorder="1" applyAlignment="1">
      <alignment horizontal="left"/>
    </xf>
    <xf numFmtId="14" fontId="6" fillId="3" borderId="0" xfId="0" applyNumberFormat="1" applyFont="1" applyFill="1"/>
    <xf numFmtId="167" fontId="6" fillId="3" borderId="0" xfId="0" applyFont="1" applyFill="1" applyAlignment="1">
      <alignment horizontal="center"/>
    </xf>
    <xf numFmtId="8" fontId="6" fillId="3" borderId="2" xfId="2" applyNumberFormat="1" applyFont="1" applyFill="1" applyBorder="1"/>
    <xf numFmtId="168" fontId="7" fillId="3" borderId="0" xfId="0" applyNumberFormat="1" applyFont="1" applyFill="1" applyAlignment="1">
      <alignment horizontal="left"/>
    </xf>
    <xf numFmtId="168" fontId="6" fillId="3" borderId="0" xfId="0" applyNumberFormat="1" applyFont="1" applyFill="1" applyAlignment="1">
      <alignment horizontal="right"/>
    </xf>
    <xf numFmtId="167" fontId="6" fillId="3" borderId="7" xfId="0" applyFont="1" applyFill="1" applyBorder="1" applyAlignment="1">
      <alignment horizontal="right"/>
    </xf>
    <xf numFmtId="168" fontId="6" fillId="3" borderId="0" xfId="0" applyNumberFormat="1" applyFont="1" applyFill="1"/>
    <xf numFmtId="165" fontId="6" fillId="3" borderId="3" xfId="2" applyNumberFormat="1" applyFont="1" applyFill="1" applyBorder="1" applyAlignment="1">
      <alignment horizontal="right"/>
    </xf>
    <xf numFmtId="165" fontId="6" fillId="3" borderId="3" xfId="0" applyNumberFormat="1" applyFont="1" applyFill="1" applyBorder="1"/>
    <xf numFmtId="10" fontId="6" fillId="3" borderId="0" xfId="3" applyNumberFormat="1" applyFont="1" applyFill="1" applyBorder="1"/>
    <xf numFmtId="178" fontId="7" fillId="3" borderId="0" xfId="0" applyNumberFormat="1" applyFont="1" applyFill="1" applyAlignment="1">
      <alignment horizontal="left"/>
    </xf>
    <xf numFmtId="10" fontId="11" fillId="6" borderId="15" xfId="3" applyNumberFormat="1" applyFont="1" applyFill="1" applyBorder="1"/>
    <xf numFmtId="167" fontId="2" fillId="3" borderId="0" xfId="0" applyFont="1" applyFill="1" applyAlignment="1">
      <alignment horizontal="center"/>
    </xf>
    <xf numFmtId="175" fontId="8" fillId="2" borderId="15" xfId="0" applyNumberFormat="1" applyFont="1" applyFill="1" applyBorder="1"/>
    <xf numFmtId="10" fontId="8" fillId="6" borderId="15" xfId="1" applyNumberFormat="1" applyFont="1" applyFill="1" applyBorder="1"/>
    <xf numFmtId="165" fontId="8" fillId="2" borderId="15" xfId="2" applyNumberFormat="1" applyFont="1" applyFill="1" applyBorder="1" applyAlignment="1">
      <alignment horizontal="right"/>
    </xf>
    <xf numFmtId="10" fontId="8" fillId="2" borderId="15" xfId="3" applyNumberFormat="1" applyFont="1" applyFill="1" applyBorder="1" applyAlignment="1">
      <alignment horizontal="right"/>
    </xf>
    <xf numFmtId="8" fontId="8" fillId="2" borderId="15" xfId="0" applyNumberFormat="1" applyFont="1" applyFill="1" applyBorder="1"/>
    <xf numFmtId="167" fontId="15" fillId="3" borderId="7" xfId="0" applyFont="1" applyFill="1" applyBorder="1"/>
    <xf numFmtId="167" fontId="14" fillId="3" borderId="0" xfId="0" applyFont="1" applyFill="1" applyAlignment="1">
      <alignment horizontal="center"/>
    </xf>
    <xf numFmtId="167" fontId="13" fillId="3" borderId="5" xfId="0" applyFont="1" applyFill="1" applyBorder="1" applyAlignment="1">
      <alignment horizontal="right"/>
    </xf>
    <xf numFmtId="175" fontId="8" fillId="2" borderId="15" xfId="1" applyNumberFormat="1" applyFont="1" applyFill="1" applyBorder="1" applyAlignment="1">
      <alignment horizontal="center"/>
    </xf>
    <xf numFmtId="176" fontId="8" fillId="2" borderId="16" xfId="0" applyNumberFormat="1" applyFont="1" applyFill="1" applyBorder="1" applyAlignment="1">
      <alignment horizontal="center"/>
    </xf>
    <xf numFmtId="177" fontId="8" fillId="2" borderId="18" xfId="0" applyNumberFormat="1" applyFont="1" applyFill="1" applyBorder="1" applyAlignment="1">
      <alignment horizontal="center"/>
    </xf>
    <xf numFmtId="14" fontId="16" fillId="3" borderId="0" xfId="0" applyNumberFormat="1" applyFont="1" applyFill="1" applyAlignment="1">
      <alignment horizontal="left"/>
    </xf>
    <xf numFmtId="173" fontId="8" fillId="2" borderId="17" xfId="0" applyNumberFormat="1" applyFont="1" applyFill="1" applyBorder="1" applyAlignment="1">
      <alignment horizontal="center"/>
    </xf>
    <xf numFmtId="173" fontId="8" fillId="2" borderId="18" xfId="0" applyNumberFormat="1" applyFont="1" applyFill="1" applyBorder="1" applyAlignment="1">
      <alignment horizontal="center"/>
    </xf>
    <xf numFmtId="173" fontId="7" fillId="3" borderId="1" xfId="0" applyNumberFormat="1" applyFont="1" applyFill="1" applyBorder="1" applyAlignment="1">
      <alignment horizontal="center"/>
    </xf>
    <xf numFmtId="173" fontId="7" fillId="3" borderId="0" xfId="0" applyNumberFormat="1" applyFont="1" applyFill="1" applyAlignment="1">
      <alignment horizontal="center"/>
    </xf>
    <xf numFmtId="175" fontId="8" fillId="2" borderId="17" xfId="1" applyNumberFormat="1" applyFont="1" applyFill="1" applyBorder="1" applyAlignment="1">
      <alignment horizontal="center"/>
    </xf>
    <xf numFmtId="10" fontId="0" fillId="3" borderId="0" xfId="3" applyNumberFormat="1" applyFont="1" applyFill="1" applyBorder="1"/>
    <xf numFmtId="43" fontId="7" fillId="3" borderId="0" xfId="1" applyFont="1" applyFill="1" applyBorder="1" applyAlignment="1">
      <alignment horizontal="left"/>
    </xf>
    <xf numFmtId="167" fontId="18" fillId="3" borderId="7" xfId="0" applyFont="1" applyFill="1" applyBorder="1"/>
    <xf numFmtId="167" fontId="18" fillId="3" borderId="4" xfId="0" applyFont="1" applyFill="1" applyBorder="1" applyAlignment="1">
      <alignment horizontal="left"/>
    </xf>
    <xf numFmtId="10" fontId="8" fillId="7" borderId="15" xfId="1" applyNumberFormat="1" applyFont="1" applyFill="1" applyBorder="1"/>
    <xf numFmtId="10" fontId="11" fillId="7" borderId="15" xfId="3" applyNumberFormat="1" applyFont="1" applyFill="1" applyBorder="1"/>
    <xf numFmtId="10" fontId="8" fillId="5" borderId="15" xfId="1" applyNumberFormat="1" applyFont="1" applyFill="1" applyBorder="1"/>
    <xf numFmtId="167" fontId="7" fillId="3" borderId="0" xfId="0" quotePrefix="1" applyFont="1" applyFill="1" applyAlignment="1">
      <alignment horizontal="right"/>
    </xf>
    <xf numFmtId="10" fontId="8" fillId="2" borderId="15" xfId="3" applyNumberFormat="1" applyFont="1" applyFill="1" applyBorder="1"/>
    <xf numFmtId="167" fontId="17" fillId="3" borderId="0" xfId="0" applyFont="1" applyFill="1" applyAlignment="1">
      <alignment horizontal="center"/>
    </xf>
    <xf numFmtId="167" fontId="7" fillId="3" borderId="0" xfId="0" applyFont="1" applyFill="1" applyAlignment="1">
      <alignment horizontal="left"/>
    </xf>
    <xf numFmtId="167" fontId="17" fillId="3" borderId="7" xfId="0" applyFont="1" applyFill="1" applyBorder="1"/>
    <xf numFmtId="167" fontId="19" fillId="3" borderId="7" xfId="0" applyFont="1" applyFill="1" applyBorder="1"/>
    <xf numFmtId="167" fontId="19" fillId="3" borderId="9" xfId="0" applyFont="1" applyFill="1" applyBorder="1"/>
    <xf numFmtId="167" fontId="0" fillId="3" borderId="5" xfId="0" applyFill="1" applyBorder="1" applyAlignment="1">
      <alignment horizontal="left"/>
    </xf>
    <xf numFmtId="167" fontId="0" fillId="4" borderId="0" xfId="0" applyFill="1"/>
    <xf numFmtId="167" fontId="2" fillId="4" borderId="0" xfId="0" applyFont="1" applyFill="1"/>
    <xf numFmtId="167" fontId="21" fillId="4" borderId="13" xfId="0" applyFont="1" applyFill="1" applyBorder="1"/>
    <xf numFmtId="167" fontId="21" fillId="4" borderId="14" xfId="0" applyFont="1" applyFill="1" applyBorder="1"/>
    <xf numFmtId="167" fontId="22" fillId="4" borderId="13" xfId="0" applyFont="1" applyFill="1" applyBorder="1"/>
    <xf numFmtId="167" fontId="20" fillId="4" borderId="4" xfId="0" applyFont="1" applyFill="1" applyBorder="1" applyAlignment="1">
      <alignment horizontal="left"/>
    </xf>
    <xf numFmtId="167" fontId="0" fillId="4" borderId="5" xfId="0" applyFill="1" applyBorder="1"/>
    <xf numFmtId="167" fontId="2" fillId="4" borderId="5" xfId="0" applyFont="1" applyFill="1" applyBorder="1"/>
    <xf numFmtId="167" fontId="0" fillId="4" borderId="6" xfId="0" applyFill="1" applyBorder="1"/>
    <xf numFmtId="167" fontId="20" fillId="4" borderId="9" xfId="0" applyFont="1" applyFill="1" applyBorder="1" applyAlignment="1">
      <alignment horizontal="left"/>
    </xf>
    <xf numFmtId="167" fontId="0" fillId="4" borderId="10" xfId="0" applyFill="1" applyBorder="1"/>
    <xf numFmtId="167" fontId="2" fillId="4" borderId="10" xfId="0" applyFont="1" applyFill="1" applyBorder="1"/>
    <xf numFmtId="167" fontId="0" fillId="4" borderId="11" xfId="0" applyFill="1" applyBorder="1"/>
    <xf numFmtId="167" fontId="20" fillId="4" borderId="7" xfId="0" applyFont="1" applyFill="1" applyBorder="1" applyAlignment="1">
      <alignment horizontal="left"/>
    </xf>
    <xf numFmtId="167" fontId="0" fillId="4" borderId="8" xfId="0" applyFill="1" applyBorder="1"/>
    <xf numFmtId="167" fontId="23" fillId="4" borderId="12" xfId="0" applyFont="1" applyFill="1" applyBorder="1" applyAlignment="1">
      <alignment horizontal="left"/>
    </xf>
    <xf numFmtId="175" fontId="7" fillId="3" borderId="0" xfId="1" applyNumberFormat="1" applyFont="1" applyFill="1" applyBorder="1" applyAlignment="1">
      <alignment horizontal="left"/>
    </xf>
    <xf numFmtId="167" fontId="0" fillId="0" borderId="0" xfId="0"/>
    <xf numFmtId="167" fontId="0" fillId="0" borderId="8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3E0DF1"/>
      <color rgb="FF99FFCC"/>
      <color rgb="FFFF3399"/>
      <color rgb="FFCCFFCC"/>
      <color rgb="FFFFFFCC"/>
      <color rgb="FF990000"/>
      <color rgb="FFCC66FF"/>
      <color rgb="FFFFCCFF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</sheetPr>
  <dimension ref="B1:O71"/>
  <sheetViews>
    <sheetView tabSelected="1" topLeftCell="A57" zoomScale="65" zoomScaleNormal="65" workbookViewId="0">
      <selection activeCell="A12" sqref="A12"/>
    </sheetView>
  </sheetViews>
  <sheetFormatPr defaultRowHeight="13.2" x14ac:dyDescent="0.25"/>
  <cols>
    <col min="1" max="1" width="2.109375" customWidth="1"/>
    <col min="2" max="2" width="27.6640625" customWidth="1"/>
    <col min="3" max="3" width="13.88671875" customWidth="1"/>
    <col min="4" max="4" width="32.88671875" bestFit="1" customWidth="1"/>
    <col min="5" max="5" width="11.5546875" customWidth="1"/>
    <col min="6" max="6" width="44.44140625" customWidth="1"/>
    <col min="7" max="7" width="17.33203125" customWidth="1"/>
    <col min="8" max="8" width="11.5546875" bestFit="1" customWidth="1"/>
    <col min="9" max="9" width="17.109375" bestFit="1" customWidth="1"/>
    <col min="10" max="10" width="19" bestFit="1" customWidth="1"/>
    <col min="11" max="11" width="45.33203125" bestFit="1" customWidth="1"/>
    <col min="12" max="12" width="2.109375" customWidth="1"/>
    <col min="13" max="13" width="17.33203125" bestFit="1" customWidth="1"/>
    <col min="14" max="14" width="4.109375" customWidth="1"/>
    <col min="15" max="15" width="15.44140625" bestFit="1" customWidth="1"/>
  </cols>
  <sheetData>
    <row r="1" spans="2:15" ht="13.8" thickBot="1" x14ac:dyDescent="0.3">
      <c r="B1" s="1"/>
    </row>
    <row r="2" spans="2:15" ht="28.8" x14ac:dyDescent="0.5">
      <c r="B2" s="111" t="s">
        <v>46</v>
      </c>
      <c r="C2" s="112"/>
      <c r="D2" s="112"/>
      <c r="E2" s="112"/>
      <c r="F2" s="112"/>
      <c r="G2" s="113"/>
      <c r="H2" s="112"/>
      <c r="I2" s="112"/>
      <c r="J2" s="112"/>
      <c r="K2" s="112"/>
      <c r="L2" s="112"/>
      <c r="M2" s="112"/>
      <c r="N2" s="112"/>
      <c r="O2" s="114"/>
    </row>
    <row r="3" spans="2:15" ht="28.8" x14ac:dyDescent="0.5">
      <c r="B3" s="119" t="s">
        <v>47</v>
      </c>
      <c r="C3" s="106"/>
      <c r="D3" s="106"/>
      <c r="E3" s="106"/>
      <c r="F3" s="106"/>
      <c r="G3" s="107"/>
      <c r="H3" s="106"/>
      <c r="I3" s="106"/>
      <c r="J3" s="106"/>
      <c r="K3" s="106"/>
      <c r="L3" s="106"/>
      <c r="M3" s="106"/>
      <c r="N3" s="106"/>
      <c r="O3" s="120"/>
    </row>
    <row r="4" spans="2:15" ht="28.8" x14ac:dyDescent="0.5">
      <c r="B4" s="119" t="s">
        <v>48</v>
      </c>
      <c r="C4" s="106"/>
      <c r="D4" s="106"/>
      <c r="E4" s="106"/>
      <c r="F4" s="106"/>
      <c r="G4" s="107"/>
      <c r="H4" s="106"/>
      <c r="I4" s="106"/>
      <c r="J4" s="106"/>
      <c r="K4" s="106"/>
      <c r="L4" s="106"/>
      <c r="M4" s="106"/>
      <c r="N4" s="106"/>
      <c r="O4" s="120"/>
    </row>
    <row r="5" spans="2:15" ht="28.8" x14ac:dyDescent="0.5">
      <c r="B5" s="119" t="s">
        <v>49</v>
      </c>
      <c r="C5" s="106"/>
      <c r="D5" s="106"/>
      <c r="E5" s="106"/>
      <c r="F5" s="106"/>
      <c r="G5" s="107"/>
      <c r="H5" s="106"/>
      <c r="I5" s="106"/>
      <c r="J5" s="106"/>
      <c r="K5" s="106"/>
      <c r="L5" s="106"/>
      <c r="M5" s="106"/>
      <c r="N5" s="106"/>
      <c r="O5" s="120"/>
    </row>
    <row r="6" spans="2:15" ht="29.4" thickBot="1" x14ac:dyDescent="0.55000000000000004">
      <c r="B6" s="115" t="s">
        <v>50</v>
      </c>
      <c r="C6" s="116"/>
      <c r="D6" s="116"/>
      <c r="E6" s="116"/>
      <c r="F6" s="116"/>
      <c r="G6" s="117"/>
      <c r="H6" s="116"/>
      <c r="I6" s="116"/>
      <c r="J6" s="116"/>
      <c r="K6" s="116"/>
      <c r="L6" s="116"/>
      <c r="M6" s="116"/>
      <c r="N6" s="116"/>
      <c r="O6" s="118"/>
    </row>
    <row r="7" spans="2:15" ht="29.4" thickBot="1" x14ac:dyDescent="0.55000000000000004">
      <c r="B7" s="121" t="s">
        <v>52</v>
      </c>
      <c r="C7" s="108"/>
      <c r="D7" s="108"/>
      <c r="E7" s="108"/>
      <c r="F7" s="110" t="s">
        <v>51</v>
      </c>
      <c r="G7" s="108"/>
      <c r="H7" s="108"/>
      <c r="I7" s="108"/>
      <c r="J7" s="108"/>
      <c r="K7" s="108"/>
      <c r="L7" s="108"/>
      <c r="M7" s="108"/>
      <c r="N7" s="108"/>
      <c r="O7" s="109"/>
    </row>
    <row r="8" spans="2:15" ht="17.399999999999999" x14ac:dyDescent="0.3">
      <c r="B8" s="27" t="s">
        <v>27</v>
      </c>
      <c r="C8" s="7"/>
      <c r="D8" s="7"/>
      <c r="E8" s="7"/>
      <c r="F8" s="105"/>
      <c r="G8" s="28"/>
      <c r="H8" s="7"/>
      <c r="I8" s="7"/>
      <c r="J8" s="7"/>
      <c r="K8" s="7"/>
      <c r="L8" s="7"/>
      <c r="M8" s="29"/>
      <c r="N8" s="81" t="s">
        <v>12</v>
      </c>
      <c r="O8" s="8"/>
    </row>
    <row r="9" spans="2:15" ht="18" x14ac:dyDescent="0.3">
      <c r="B9" s="58"/>
      <c r="C9" s="14"/>
      <c r="D9" s="14"/>
      <c r="E9" s="14"/>
      <c r="F9" s="17"/>
      <c r="G9" s="31"/>
      <c r="H9" s="4"/>
      <c r="I9" s="14"/>
      <c r="J9" s="26"/>
      <c r="K9" s="59"/>
      <c r="L9" s="14"/>
      <c r="M9" s="13"/>
      <c r="N9" s="13"/>
      <c r="O9" s="30"/>
    </row>
    <row r="10" spans="2:15" ht="28.8" x14ac:dyDescent="0.5">
      <c r="B10" s="79"/>
      <c r="C10" s="3"/>
      <c r="D10" s="3"/>
      <c r="E10" s="3"/>
      <c r="F10" s="80" t="s">
        <v>44</v>
      </c>
      <c r="G10" s="3"/>
      <c r="H10" s="3"/>
      <c r="I10" s="3"/>
      <c r="J10" s="3"/>
      <c r="K10" s="3"/>
      <c r="L10" s="3"/>
      <c r="M10" s="2"/>
      <c r="N10" s="2"/>
      <c r="O10" s="9"/>
    </row>
    <row r="11" spans="2:15" ht="17.399999999999999" x14ac:dyDescent="0.3">
      <c r="B11" s="5"/>
      <c r="C11" s="4"/>
      <c r="D11" s="4"/>
      <c r="E11" s="3"/>
      <c r="F11" s="100" t="s">
        <v>35</v>
      </c>
      <c r="G11" s="73"/>
      <c r="H11" s="4"/>
      <c r="I11" s="4"/>
      <c r="J11" s="4"/>
      <c r="K11" s="4"/>
      <c r="L11" s="4"/>
      <c r="M11" s="10"/>
      <c r="N11" s="10"/>
      <c r="O11" s="6"/>
    </row>
    <row r="12" spans="2:15" ht="18" x14ac:dyDescent="0.3">
      <c r="B12" s="58" t="s">
        <v>9</v>
      </c>
      <c r="C12" s="14"/>
      <c r="D12" s="14"/>
      <c r="E12" s="3"/>
      <c r="F12" s="100" t="s">
        <v>36</v>
      </c>
      <c r="G12" s="73"/>
      <c r="H12" s="4"/>
      <c r="I12" s="14"/>
      <c r="J12" s="14"/>
      <c r="K12" s="86">
        <v>4500</v>
      </c>
      <c r="L12" s="4"/>
      <c r="M12" s="10"/>
      <c r="N12" s="13"/>
      <c r="O12" s="30"/>
    </row>
    <row r="13" spans="2:15" ht="18" x14ac:dyDescent="0.3">
      <c r="B13" s="58" t="s">
        <v>19</v>
      </c>
      <c r="C13" s="14"/>
      <c r="D13" s="14"/>
      <c r="E13" s="3"/>
      <c r="F13" s="73"/>
      <c r="G13" s="73"/>
      <c r="H13" s="4"/>
      <c r="I13" s="17"/>
      <c r="J13" s="14"/>
      <c r="K13" s="90">
        <v>180</v>
      </c>
      <c r="L13" s="4"/>
      <c r="M13" s="10"/>
      <c r="N13" s="13"/>
      <c r="O13" s="30"/>
    </row>
    <row r="14" spans="2:15" ht="18" x14ac:dyDescent="0.3">
      <c r="B14" s="58" t="s">
        <v>21</v>
      </c>
      <c r="C14" s="14"/>
      <c r="D14" s="14"/>
      <c r="E14" s="3"/>
      <c r="F14" s="73"/>
      <c r="G14" s="73"/>
      <c r="H14" s="4"/>
      <c r="I14" s="17"/>
      <c r="J14" s="14"/>
      <c r="K14" s="83">
        <v>0</v>
      </c>
      <c r="L14" s="4"/>
      <c r="M14" s="10"/>
      <c r="N14" s="13"/>
      <c r="O14" s="30"/>
    </row>
    <row r="15" spans="2:15" ht="17.399999999999999" x14ac:dyDescent="0.3">
      <c r="B15" s="58" t="s">
        <v>20</v>
      </c>
      <c r="C15" s="14"/>
      <c r="D15" s="14"/>
      <c r="E15" s="3"/>
      <c r="F15" s="73"/>
      <c r="G15" s="73"/>
      <c r="H15" s="4"/>
      <c r="I15" s="17"/>
      <c r="J15" s="14"/>
      <c r="K15" s="84">
        <v>0</v>
      </c>
      <c r="L15" s="4"/>
      <c r="M15" s="122">
        <f>DATEDIF(K12,K17,"D")/365.25</f>
        <v>179.99726214921287</v>
      </c>
      <c r="N15" s="123"/>
      <c r="O15" s="124"/>
    </row>
    <row r="16" spans="2:15" ht="18" x14ac:dyDescent="0.3">
      <c r="B16" s="58" t="s">
        <v>10</v>
      </c>
      <c r="C16" s="14"/>
      <c r="D16" s="14"/>
      <c r="E16" s="3"/>
      <c r="F16" s="73"/>
      <c r="G16" s="73"/>
      <c r="H16" s="4"/>
      <c r="I16" s="17"/>
      <c r="J16" s="14"/>
      <c r="K16" s="87">
        <v>43112</v>
      </c>
      <c r="L16" s="4"/>
      <c r="M16" s="10"/>
      <c r="N16" s="13"/>
      <c r="O16" s="30"/>
    </row>
    <row r="17" spans="2:15" ht="18" x14ac:dyDescent="0.3">
      <c r="B17" s="58" t="s">
        <v>13</v>
      </c>
      <c r="C17" s="14"/>
      <c r="D17" s="14"/>
      <c r="E17" s="3"/>
      <c r="F17" s="73"/>
      <c r="G17" s="73"/>
      <c r="H17" s="4"/>
      <c r="I17" s="17"/>
      <c r="J17" s="14"/>
      <c r="K17" s="88">
        <f>DATE(YEAR(K12)+K13,MONTH(K12)+K14,DAY(K12)+K15-1)</f>
        <v>70244</v>
      </c>
      <c r="L17" s="4"/>
      <c r="M17" s="10"/>
      <c r="N17" s="13"/>
      <c r="O17" s="30"/>
    </row>
    <row r="18" spans="2:15" ht="18" x14ac:dyDescent="0.3">
      <c r="B18" s="58" t="s">
        <v>11</v>
      </c>
      <c r="C18" s="14"/>
      <c r="D18" s="14"/>
      <c r="E18" s="14"/>
      <c r="F18" s="73"/>
      <c r="G18" s="73"/>
      <c r="H18" s="4"/>
      <c r="I18" s="17"/>
      <c r="J18" s="14"/>
      <c r="K18" s="26">
        <f>DATEDIF(K16,K17,"D")/365.25</f>
        <v>74.283367556468178</v>
      </c>
      <c r="L18" s="85" t="str">
        <f>DATEDIF(K16,K17,"y")&amp;" years,"&amp; DATEDIF(K16,K17,"ym") &amp;" month(s), "&amp; DATEDIF(K16,K17,"md")&amp;" Days"</f>
        <v>74 years,3 month(s), 13 Days</v>
      </c>
      <c r="M18" s="4"/>
      <c r="N18" s="10"/>
      <c r="O18" s="30"/>
    </row>
    <row r="19" spans="2:15" ht="18" x14ac:dyDescent="0.3">
      <c r="B19" s="58" t="s">
        <v>14</v>
      </c>
      <c r="C19" s="14"/>
      <c r="D19" s="14"/>
      <c r="E19" s="14"/>
      <c r="F19" s="73"/>
      <c r="G19" s="73"/>
      <c r="H19" s="14"/>
      <c r="I19" s="59"/>
      <c r="J19" s="14"/>
      <c r="K19" s="82">
        <v>0</v>
      </c>
      <c r="L19" s="4"/>
      <c r="M19" s="4"/>
      <c r="N19" s="10"/>
      <c r="O19" s="30"/>
    </row>
    <row r="20" spans="2:15" ht="18" x14ac:dyDescent="0.3">
      <c r="B20" s="58" t="s">
        <v>15</v>
      </c>
      <c r="C20" s="14"/>
      <c r="D20" s="14"/>
      <c r="E20" s="14"/>
      <c r="F20" s="73"/>
      <c r="G20" s="31"/>
      <c r="H20" s="4"/>
      <c r="I20" s="59"/>
      <c r="J20" s="14"/>
      <c r="K20" s="88">
        <f>DATE(YEAR(K17)+K19,MONTH(K17),DAY(K17))</f>
        <v>70244</v>
      </c>
      <c r="L20" s="4"/>
      <c r="M20" s="4"/>
      <c r="N20" s="10"/>
      <c r="O20" s="30"/>
    </row>
    <row r="21" spans="2:15" ht="18" x14ac:dyDescent="0.3">
      <c r="B21" s="58" t="s">
        <v>29</v>
      </c>
      <c r="C21" s="14" t="s">
        <v>37</v>
      </c>
      <c r="D21" s="14"/>
      <c r="E21" s="14"/>
      <c r="F21" s="59"/>
      <c r="G21" s="92"/>
      <c r="H21" s="32"/>
      <c r="I21" s="17"/>
      <c r="J21" s="11"/>
      <c r="K21" s="76">
        <v>350000</v>
      </c>
      <c r="L21" s="4"/>
      <c r="M21" s="4"/>
      <c r="N21" s="10"/>
      <c r="O21" s="30"/>
    </row>
    <row r="22" spans="2:15" ht="18" x14ac:dyDescent="0.3">
      <c r="B22" s="58"/>
      <c r="C22" s="14" t="s">
        <v>22</v>
      </c>
      <c r="D22" s="14"/>
      <c r="E22" s="14"/>
      <c r="F22" s="59"/>
      <c r="G22" s="31"/>
      <c r="H22" s="60"/>
      <c r="I22" s="17"/>
      <c r="J22" s="32"/>
      <c r="K22" s="76">
        <v>0</v>
      </c>
      <c r="L22" s="4"/>
      <c r="M22" s="4"/>
      <c r="N22" s="10"/>
      <c r="O22" s="30"/>
    </row>
    <row r="23" spans="2:15" ht="18" x14ac:dyDescent="0.3">
      <c r="B23" s="58"/>
      <c r="C23" s="14" t="s">
        <v>28</v>
      </c>
      <c r="D23" s="14"/>
      <c r="E23" s="14"/>
      <c r="F23" s="59"/>
      <c r="G23" s="31"/>
      <c r="H23" s="60"/>
      <c r="I23" s="17"/>
      <c r="J23" s="32"/>
      <c r="K23" s="76">
        <v>0</v>
      </c>
      <c r="L23" s="4"/>
      <c r="M23" s="4"/>
      <c r="N23" s="10"/>
      <c r="O23" s="30"/>
    </row>
    <row r="24" spans="2:15" ht="18" x14ac:dyDescent="0.3">
      <c r="B24" s="58"/>
      <c r="C24" s="14" t="s">
        <v>24</v>
      </c>
      <c r="D24" s="14"/>
      <c r="E24" s="14"/>
      <c r="F24" s="59"/>
      <c r="G24" s="31"/>
      <c r="H24" s="60"/>
      <c r="I24" s="17"/>
      <c r="J24" s="32"/>
      <c r="K24" s="76">
        <v>0</v>
      </c>
      <c r="L24" s="4"/>
      <c r="M24" s="4"/>
      <c r="N24" s="10"/>
      <c r="O24" s="30"/>
    </row>
    <row r="25" spans="2:15" ht="18" x14ac:dyDescent="0.3">
      <c r="B25" s="58"/>
      <c r="C25" s="14" t="s">
        <v>23</v>
      </c>
      <c r="D25" s="14"/>
      <c r="E25" s="14"/>
      <c r="F25" s="59"/>
      <c r="G25" s="31"/>
      <c r="H25" s="60"/>
      <c r="I25" s="17"/>
      <c r="J25" s="32"/>
      <c r="K25" s="76">
        <v>0</v>
      </c>
      <c r="L25" s="4"/>
      <c r="M25" s="4"/>
      <c r="N25" s="10"/>
      <c r="O25" s="30"/>
    </row>
    <row r="26" spans="2:15" ht="18" x14ac:dyDescent="0.3">
      <c r="B26" s="58" t="s">
        <v>30</v>
      </c>
      <c r="C26" s="14"/>
      <c r="D26" s="14"/>
      <c r="E26" s="14"/>
      <c r="F26" s="59"/>
      <c r="G26" s="92"/>
      <c r="H26" s="60"/>
      <c r="I26" s="17"/>
      <c r="J26" s="32"/>
      <c r="K26" s="33">
        <f>K21-K22-K23-K24+K25</f>
        <v>350000</v>
      </c>
      <c r="L26" s="4"/>
      <c r="M26" s="91"/>
      <c r="N26" s="13"/>
      <c r="O26" s="34"/>
    </row>
    <row r="27" spans="2:15" ht="18" x14ac:dyDescent="0.3">
      <c r="B27" s="58"/>
      <c r="C27" s="14"/>
      <c r="D27" s="14"/>
      <c r="E27" s="14"/>
      <c r="F27" s="17"/>
      <c r="G27" s="31"/>
      <c r="H27" s="60"/>
      <c r="I27" s="17"/>
      <c r="J27" s="32" t="s">
        <v>25</v>
      </c>
      <c r="K27" s="77">
        <v>0</v>
      </c>
      <c r="L27" s="4"/>
      <c r="M27" s="91"/>
      <c r="N27" s="13"/>
      <c r="O27" s="34"/>
    </row>
    <row r="28" spans="2:15" ht="18" x14ac:dyDescent="0.3">
      <c r="B28" s="58"/>
      <c r="C28" s="14"/>
      <c r="D28" s="14"/>
      <c r="E28" s="14"/>
      <c r="F28" s="17"/>
      <c r="G28" s="31"/>
      <c r="H28" s="60"/>
      <c r="I28" s="17"/>
      <c r="J28" s="32"/>
      <c r="K28" s="33">
        <f>K26*(1-K27)</f>
        <v>350000</v>
      </c>
      <c r="L28" s="4"/>
      <c r="M28" s="91"/>
      <c r="N28" s="13"/>
      <c r="O28" s="34"/>
    </row>
    <row r="29" spans="2:15" ht="18" x14ac:dyDescent="0.3">
      <c r="B29" s="58"/>
      <c r="C29" s="14"/>
      <c r="D29" s="14"/>
      <c r="E29" s="14"/>
      <c r="F29" s="17"/>
      <c r="G29" s="31"/>
      <c r="H29" s="60"/>
      <c r="I29" s="17"/>
      <c r="J29" s="32" t="s">
        <v>7</v>
      </c>
      <c r="K29" s="77">
        <v>0.96470588235294119</v>
      </c>
      <c r="L29" s="4"/>
      <c r="M29" s="91"/>
      <c r="N29" s="13"/>
      <c r="O29" s="34"/>
    </row>
    <row r="30" spans="2:15" ht="18" x14ac:dyDescent="0.3">
      <c r="B30" s="58" t="s">
        <v>31</v>
      </c>
      <c r="C30" s="14"/>
      <c r="D30" s="14"/>
      <c r="E30" s="14"/>
      <c r="F30" s="17"/>
      <c r="G30" s="31"/>
      <c r="H30" s="60"/>
      <c r="I30" s="17"/>
      <c r="J30" s="32"/>
      <c r="K30" s="33">
        <f>K26*K29</f>
        <v>337647.0588235294</v>
      </c>
      <c r="L30" s="4"/>
      <c r="M30" s="91"/>
      <c r="N30" s="13"/>
      <c r="O30" s="34"/>
    </row>
    <row r="31" spans="2:15" ht="18" x14ac:dyDescent="0.3">
      <c r="B31" s="58"/>
      <c r="C31" s="14"/>
      <c r="D31" s="14"/>
      <c r="E31" s="14"/>
      <c r="F31" s="17"/>
      <c r="G31" s="31"/>
      <c r="H31" s="60"/>
      <c r="I31" s="17"/>
      <c r="J31" s="98" t="s">
        <v>32</v>
      </c>
      <c r="K31" s="77">
        <v>0</v>
      </c>
      <c r="L31" s="4"/>
      <c r="M31" s="91"/>
      <c r="N31" s="13"/>
      <c r="O31" s="34"/>
    </row>
    <row r="32" spans="2:15" ht="18" x14ac:dyDescent="0.3">
      <c r="B32" s="58" t="s">
        <v>33</v>
      </c>
      <c r="C32" s="14"/>
      <c r="D32" s="14"/>
      <c r="E32" s="14"/>
      <c r="F32" s="17"/>
      <c r="G32" s="31"/>
      <c r="H32" s="60"/>
      <c r="I32" s="17"/>
      <c r="J32" s="98"/>
      <c r="K32" s="33">
        <f>K30*(1-K31)</f>
        <v>337647.0588235294</v>
      </c>
      <c r="L32" s="4"/>
      <c r="M32" s="91"/>
      <c r="N32" s="13"/>
      <c r="O32" s="34"/>
    </row>
    <row r="33" spans="2:15" ht="18" x14ac:dyDescent="0.3">
      <c r="B33" s="58"/>
      <c r="C33" s="14"/>
      <c r="D33" s="14"/>
      <c r="E33" s="14"/>
      <c r="F33" s="32"/>
      <c r="G33" s="31"/>
      <c r="H33" s="11"/>
      <c r="I33" s="17"/>
      <c r="J33" s="32" t="s">
        <v>34</v>
      </c>
      <c r="K33" s="95">
        <v>7.0000000000000007E-2</v>
      </c>
      <c r="L33" s="4"/>
      <c r="M33" s="4"/>
      <c r="N33" s="10"/>
      <c r="O33" s="30"/>
    </row>
    <row r="34" spans="2:15" ht="18" x14ac:dyDescent="0.3">
      <c r="B34" s="58"/>
      <c r="C34" s="14"/>
      <c r="D34" s="14"/>
      <c r="E34" s="14"/>
      <c r="F34" s="32"/>
      <c r="G34" s="31"/>
      <c r="H34" s="11"/>
      <c r="I34" s="17"/>
      <c r="J34" s="32" t="s">
        <v>38</v>
      </c>
      <c r="K34" s="97">
        <v>5.2499999999999998E-2</v>
      </c>
      <c r="L34" s="4"/>
      <c r="M34" s="4"/>
      <c r="N34" s="10"/>
      <c r="O34" s="30"/>
    </row>
    <row r="35" spans="2:15" ht="18" x14ac:dyDescent="0.3">
      <c r="B35" s="58"/>
      <c r="C35" s="14"/>
      <c r="D35" s="14"/>
      <c r="E35" s="14"/>
      <c r="F35" s="32"/>
      <c r="G35" s="31"/>
      <c r="H35" s="11"/>
      <c r="I35" s="17"/>
      <c r="J35" s="32" t="s">
        <v>5</v>
      </c>
      <c r="K35" s="75">
        <v>5.2499999999999998E-2</v>
      </c>
      <c r="L35" s="4"/>
      <c r="M35" s="4"/>
      <c r="N35" s="10"/>
      <c r="O35" s="30"/>
    </row>
    <row r="36" spans="2:15" ht="18" x14ac:dyDescent="0.3">
      <c r="B36" s="93" t="s">
        <v>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3"/>
      <c r="N36" s="13"/>
      <c r="O36" s="34"/>
    </row>
    <row r="37" spans="2:15" ht="18" x14ac:dyDescent="0.3">
      <c r="B37" s="35"/>
      <c r="C37" s="14"/>
      <c r="D37" s="14"/>
      <c r="E37" s="14"/>
      <c r="F37" s="61"/>
      <c r="G37" s="14"/>
      <c r="H37" s="14"/>
      <c r="I37" s="14"/>
      <c r="J37" s="14"/>
      <c r="K37" s="14"/>
      <c r="L37" s="14"/>
      <c r="M37" s="19"/>
      <c r="N37" s="13"/>
      <c r="O37" s="34"/>
    </row>
    <row r="38" spans="2:15" ht="17.399999999999999" x14ac:dyDescent="0.3">
      <c r="B38" s="36" t="s">
        <v>3</v>
      </c>
      <c r="C38" s="14"/>
      <c r="D38" s="78">
        <v>1E-4</v>
      </c>
      <c r="E38" s="62" t="s">
        <v>6</v>
      </c>
      <c r="F38" s="74">
        <v>180</v>
      </c>
      <c r="G38" s="14"/>
      <c r="H38" s="14"/>
      <c r="I38" s="96">
        <f>K33</f>
        <v>7.0000000000000007E-2</v>
      </c>
      <c r="J38" s="14"/>
      <c r="K38" s="63">
        <f>IF(D39&gt;0,D38,0)</f>
        <v>1E-4</v>
      </c>
      <c r="L38" s="15"/>
      <c r="M38" s="20"/>
      <c r="N38" s="13"/>
      <c r="O38" s="37"/>
    </row>
    <row r="39" spans="2:15" ht="17.399999999999999" x14ac:dyDescent="0.3">
      <c r="B39" s="36" t="s">
        <v>0</v>
      </c>
      <c r="C39" s="14"/>
      <c r="D39" s="64">
        <f>IF(ISNUMBER(DATEDIF(K16,F39,"d")/365.25),DATEDIF(K16,F39,"d")/365.25,0)</f>
        <v>74.286105407255306</v>
      </c>
      <c r="E39" s="62" t="s">
        <v>17</v>
      </c>
      <c r="F39" s="89">
        <f>DATE(YEAR(K12)+INT(F38),MONTH(K12)+MOD(F38,1)*12,DAY(K12)+MOD(MOD(F38,1)*12,1)*365/12)</f>
        <v>70245</v>
      </c>
      <c r="G39" s="14"/>
      <c r="H39" s="14"/>
      <c r="I39" s="70"/>
      <c r="J39" s="14"/>
      <c r="K39" s="23">
        <f>IF(ISNUMBER(1/(I38+((0%/(((1+(0%))^F38)-1))/(1-0%)))),(1/(I38+((0%/(((1+(0%))^F38)-1))/(1-0%)))),((1-(POWER(1+I38,-D39)))/I38))</f>
        <v>14.191937454485521</v>
      </c>
      <c r="L39" s="15"/>
      <c r="M39" s="20"/>
      <c r="N39" s="13"/>
      <c r="O39" s="37"/>
    </row>
    <row r="40" spans="2:15" ht="17.399999999999999" x14ac:dyDescent="0.3">
      <c r="B40" s="38"/>
      <c r="C40" s="14"/>
      <c r="D40" s="64"/>
      <c r="E40" s="14"/>
      <c r="F40" s="64"/>
      <c r="G40" s="14"/>
      <c r="H40" s="14"/>
      <c r="I40" s="70"/>
      <c r="J40" s="14"/>
      <c r="K40" s="22"/>
      <c r="L40" s="15"/>
      <c r="M40" s="68">
        <f>IF(ISNUMBER(K38*K39),K38*K39,0)</f>
        <v>1.4191937454485521E-3</v>
      </c>
      <c r="N40" s="56"/>
      <c r="O40" s="37"/>
    </row>
    <row r="41" spans="2:15" ht="17.399999999999999" x14ac:dyDescent="0.3">
      <c r="B41" s="38"/>
      <c r="C41" s="14"/>
      <c r="D41" s="14"/>
      <c r="E41" s="14"/>
      <c r="F41" s="14"/>
      <c r="G41" s="14"/>
      <c r="H41" s="14"/>
      <c r="I41" s="70"/>
      <c r="J41" s="14"/>
      <c r="K41" s="22"/>
      <c r="L41" s="15"/>
      <c r="M41" s="69"/>
      <c r="N41" s="13"/>
      <c r="O41" s="37"/>
    </row>
    <row r="42" spans="2:15" ht="17.399999999999999" x14ac:dyDescent="0.3">
      <c r="B42" s="36" t="s">
        <v>3</v>
      </c>
      <c r="C42" s="16"/>
      <c r="D42" s="78">
        <v>0</v>
      </c>
      <c r="E42" s="62" t="s">
        <v>6</v>
      </c>
      <c r="F42" s="74">
        <v>0</v>
      </c>
      <c r="G42" s="14"/>
      <c r="H42" s="14" t="s">
        <v>8</v>
      </c>
      <c r="I42" s="96">
        <f>K33</f>
        <v>7.0000000000000007E-2</v>
      </c>
      <c r="J42" s="14"/>
      <c r="K42" s="63">
        <f>IF(D43&gt;0,D42,0)</f>
        <v>0</v>
      </c>
      <c r="L42" s="15"/>
      <c r="M42" s="69"/>
      <c r="N42" s="13"/>
      <c r="O42" s="37"/>
    </row>
    <row r="43" spans="2:15" ht="17.399999999999999" x14ac:dyDescent="0.3">
      <c r="B43" s="36" t="s">
        <v>0</v>
      </c>
      <c r="C43" s="14"/>
      <c r="D43" s="64">
        <f>IF(F39&gt;K16,F42,(F43-K16)/365.25)</f>
        <v>0</v>
      </c>
      <c r="E43" s="62" t="s">
        <v>17</v>
      </c>
      <c r="F43" s="89">
        <f>DATE(YEAR(K12)+INT(F38+F42),MONTH(K12)+MOD(F38+F42,1)*12,DAY(K12)+MOD(MOD(F38+F42,1)*12,1)*365/12)</f>
        <v>70245</v>
      </c>
      <c r="G43" s="14"/>
      <c r="H43" s="14"/>
      <c r="I43" s="14"/>
      <c r="J43" s="14"/>
      <c r="K43" s="23">
        <f>IF(ISNUMBER(1/(I42+((0%/(((1+(0%))^F42)-1))/(1-0%)))),(1/(I42+((0%/(((1+(0%))^F42)-1))/(1-0%)))),((1-(POWER(1+I42,-D43)))/I42))</f>
        <v>0</v>
      </c>
      <c r="L43" s="15"/>
      <c r="M43" s="69"/>
      <c r="N43" s="13"/>
      <c r="O43" s="39"/>
    </row>
    <row r="44" spans="2:15" ht="17.399999999999999" x14ac:dyDescent="0.3">
      <c r="B44" s="36" t="s">
        <v>18</v>
      </c>
      <c r="C44" s="14"/>
      <c r="D44" s="64">
        <f>IF(F38&gt;K16,D43+D39,(F43-K16)/365.25)</f>
        <v>74.286105407255306</v>
      </c>
      <c r="E44" s="14"/>
      <c r="F44" s="65"/>
      <c r="G44" s="14"/>
      <c r="H44" s="14"/>
      <c r="I44" s="70"/>
      <c r="J44" s="14"/>
      <c r="K44" s="23">
        <f>IF(D44&gt;0,IF(D44&lt;=K13,SUM(1/(POWER(1+I42,D39))),1),1)</f>
        <v>6.564378186013551E-3</v>
      </c>
      <c r="L44" s="15"/>
      <c r="M44" s="69"/>
      <c r="N44" s="13"/>
      <c r="O44" s="39"/>
    </row>
    <row r="45" spans="2:15" ht="17.399999999999999" x14ac:dyDescent="0.3">
      <c r="B45" s="36"/>
      <c r="C45" s="14"/>
      <c r="D45" s="17"/>
      <c r="E45" s="14"/>
      <c r="F45" s="71"/>
      <c r="G45" s="14"/>
      <c r="H45" s="14"/>
      <c r="I45" s="70"/>
      <c r="J45" s="14"/>
      <c r="K45" s="25"/>
      <c r="L45" s="15"/>
      <c r="M45" s="68">
        <f>IF(ISNUMBER(K42*K43*K44),K42*K43*K44,0)</f>
        <v>0</v>
      </c>
      <c r="N45" s="13"/>
      <c r="O45" s="39"/>
    </row>
    <row r="46" spans="2:15" ht="17.399999999999999" x14ac:dyDescent="0.3">
      <c r="B46" s="36"/>
      <c r="C46" s="14"/>
      <c r="D46" s="17"/>
      <c r="E46" s="14"/>
      <c r="F46" s="14"/>
      <c r="G46" s="14"/>
      <c r="H46" s="14"/>
      <c r="I46" s="70"/>
      <c r="J46" s="14"/>
      <c r="K46" s="22"/>
      <c r="L46" s="15"/>
      <c r="M46" s="69"/>
      <c r="N46" s="13"/>
      <c r="O46" s="37"/>
    </row>
    <row r="47" spans="2:15" ht="17.399999999999999" x14ac:dyDescent="0.3">
      <c r="B47" s="36" t="s">
        <v>3</v>
      </c>
      <c r="C47" s="16"/>
      <c r="D47" s="78">
        <v>0</v>
      </c>
      <c r="E47" s="62" t="s">
        <v>6</v>
      </c>
      <c r="F47" s="74">
        <v>0</v>
      </c>
      <c r="G47" s="14"/>
      <c r="H47" s="14" t="s">
        <v>8</v>
      </c>
      <c r="I47" s="96">
        <f>K33</f>
        <v>7.0000000000000007E-2</v>
      </c>
      <c r="J47" s="14"/>
      <c r="K47" s="63">
        <f>IF(D48&gt;0,D47,0)</f>
        <v>0</v>
      </c>
      <c r="L47" s="15"/>
      <c r="M47" s="69"/>
      <c r="N47" s="13"/>
      <c r="O47" s="37"/>
    </row>
    <row r="48" spans="2:15" ht="17.399999999999999" x14ac:dyDescent="0.3">
      <c r="B48" s="36" t="s">
        <v>0</v>
      </c>
      <c r="C48" s="14"/>
      <c r="D48" s="64">
        <f>IF(F43&gt;K16,F47,(F48-K16)/365.25)</f>
        <v>0</v>
      </c>
      <c r="E48" s="62" t="s">
        <v>17</v>
      </c>
      <c r="F48" s="89">
        <f>DATE(YEAR(K12)+INT(F38+F42+F47),MONTH(K12)+MOD(F38+F42+F47,1)*12,DAY(K12)+MOD(MOD(F38+F42+F47,1)*12,1)*365/12)</f>
        <v>70245</v>
      </c>
      <c r="G48" s="14"/>
      <c r="H48" s="14"/>
      <c r="I48" s="14"/>
      <c r="J48" s="14"/>
      <c r="K48" s="23">
        <f>IF(ISNUMBER(1/(I47+((0%/(((1+(0%))^F47)-1))/(1-0%)))),(1/(I47+((0%/(((1+(0%))^F47)-1))/(1-0%)))),((1-(POWER(1+I47,-D48)))/I47))</f>
        <v>0</v>
      </c>
      <c r="L48" s="15"/>
      <c r="M48" s="69"/>
      <c r="N48" s="13"/>
      <c r="O48" s="39"/>
    </row>
    <row r="49" spans="2:15" ht="17.399999999999999" x14ac:dyDescent="0.3">
      <c r="B49" s="36" t="s">
        <v>18</v>
      </c>
      <c r="C49" s="14"/>
      <c r="D49" s="64">
        <f>IF(F43&gt;K16,D48+D44,(F48-K16)/365.25)</f>
        <v>74.286105407255306</v>
      </c>
      <c r="E49" s="14"/>
      <c r="F49" s="14"/>
      <c r="G49" s="14"/>
      <c r="H49" s="14"/>
      <c r="I49" s="70"/>
      <c r="J49" s="14"/>
      <c r="K49" s="23">
        <f>IF(D49&gt;0,IF(D49&lt;=K13,SUM(1/(POWER(1+I47,D44))),1),1)</f>
        <v>6.564378186013551E-3</v>
      </c>
      <c r="L49" s="15"/>
      <c r="M49" s="69"/>
      <c r="N49" s="13"/>
      <c r="O49" s="37"/>
    </row>
    <row r="50" spans="2:15" ht="17.399999999999999" x14ac:dyDescent="0.3">
      <c r="B50" s="36"/>
      <c r="C50" s="14"/>
      <c r="D50" s="17"/>
      <c r="E50" s="14"/>
      <c r="F50" s="64"/>
      <c r="G50" s="14"/>
      <c r="H50" s="14"/>
      <c r="I50" s="70"/>
      <c r="J50" s="14"/>
      <c r="K50" s="22"/>
      <c r="L50" s="15"/>
      <c r="M50" s="68">
        <f>IF(ISNUMBER(K47*K48*K49),K47*K48*K49,0)</f>
        <v>0</v>
      </c>
      <c r="N50" s="13"/>
      <c r="O50" s="37"/>
    </row>
    <row r="51" spans="2:15" ht="17.399999999999999" x14ac:dyDescent="0.3">
      <c r="B51" s="36"/>
      <c r="C51" s="14"/>
      <c r="D51" s="14"/>
      <c r="E51" s="14"/>
      <c r="F51" s="14"/>
      <c r="G51" s="14"/>
      <c r="H51" s="14"/>
      <c r="I51" s="70"/>
      <c r="J51" s="14"/>
      <c r="K51" s="22"/>
      <c r="L51" s="15"/>
      <c r="M51" s="69"/>
      <c r="N51" s="13"/>
      <c r="O51" s="37"/>
    </row>
    <row r="52" spans="2:15" ht="17.399999999999999" x14ac:dyDescent="0.3">
      <c r="B52" s="36" t="s">
        <v>3</v>
      </c>
      <c r="C52" s="16"/>
      <c r="D52" s="78">
        <v>0</v>
      </c>
      <c r="E52" s="62" t="s">
        <v>6</v>
      </c>
      <c r="F52" s="74">
        <v>0</v>
      </c>
      <c r="G52" s="14"/>
      <c r="H52" s="14" t="s">
        <v>8</v>
      </c>
      <c r="I52" s="96">
        <f>K33</f>
        <v>7.0000000000000007E-2</v>
      </c>
      <c r="J52" s="14"/>
      <c r="K52" s="63">
        <f>IF(D53&gt;0,D52,0)</f>
        <v>0</v>
      </c>
      <c r="L52" s="15"/>
      <c r="M52" s="69"/>
      <c r="N52" s="13"/>
      <c r="O52" s="37"/>
    </row>
    <row r="53" spans="2:15" ht="17.399999999999999" x14ac:dyDescent="0.3">
      <c r="B53" s="36" t="s">
        <v>0</v>
      </c>
      <c r="C53" s="14"/>
      <c r="D53" s="64">
        <f>IF(F48&gt;K16,F52,(F53-K33)/365.25)</f>
        <v>0</v>
      </c>
      <c r="E53" s="62" t="s">
        <v>17</v>
      </c>
      <c r="F53" s="89">
        <f>DATE(YEAR(K12)+INT(F38+F42+F47+F52),MONTH(K12)+MOD(F38+F42+F47+F52,1)*12,DAY(K12)+MOD(MOD(F38+F42+F47+F52,1)*12,1)*365/12)</f>
        <v>70245</v>
      </c>
      <c r="G53" s="14"/>
      <c r="H53" s="14"/>
      <c r="I53" s="14"/>
      <c r="J53" s="14"/>
      <c r="K53" s="23">
        <f>IF(ISNUMBER(1/(I52+((0%/(((1+(0%))^F52)-1))/(1-0%)))),(1/(I52+((0%/(((1+(0%))^F52)-1))/(1-0%)))),((1-(POWER(1+I52,-D53)))/I52))</f>
        <v>0</v>
      </c>
      <c r="L53" s="15"/>
      <c r="M53" s="69"/>
      <c r="N53" s="13"/>
      <c r="O53" s="37"/>
    </row>
    <row r="54" spans="2:15" ht="17.399999999999999" x14ac:dyDescent="0.3">
      <c r="B54" s="36" t="s">
        <v>18</v>
      </c>
      <c r="C54" s="14"/>
      <c r="D54" s="64">
        <f>IF(F48&gt;K16,D53+D49,(F53-K16)/365.25)</f>
        <v>74.286105407255306</v>
      </c>
      <c r="E54" s="14"/>
      <c r="F54" s="14"/>
      <c r="G54" s="14"/>
      <c r="H54" s="14"/>
      <c r="I54" s="70"/>
      <c r="J54" s="14"/>
      <c r="K54" s="23">
        <f>IF(D54&gt;0,IF(D54&lt;=K13,SUM(1/(POWER(1+I52,D49))),1),1)</f>
        <v>6.564378186013551E-3</v>
      </c>
      <c r="L54" s="15"/>
      <c r="M54" s="69"/>
      <c r="N54" s="13"/>
      <c r="O54" s="37"/>
    </row>
    <row r="55" spans="2:15" ht="17.399999999999999" x14ac:dyDescent="0.3">
      <c r="B55" s="36"/>
      <c r="C55" s="14"/>
      <c r="D55" s="17"/>
      <c r="E55" s="14"/>
      <c r="F55" s="64"/>
      <c r="G55" s="14"/>
      <c r="H55" s="14"/>
      <c r="I55" s="70"/>
      <c r="J55" s="14"/>
      <c r="K55" s="22"/>
      <c r="L55" s="15"/>
      <c r="M55" s="68">
        <f>IF(ISNUMBER(K52*K53*K54),K52*K53*K54,0)</f>
        <v>0</v>
      </c>
      <c r="N55" s="13"/>
      <c r="O55" s="37"/>
    </row>
    <row r="56" spans="2:15" ht="17.399999999999999" x14ac:dyDescent="0.3">
      <c r="B56" s="38"/>
      <c r="C56" s="14"/>
      <c r="D56" s="17"/>
      <c r="E56" s="14"/>
      <c r="F56" s="14"/>
      <c r="G56" s="14"/>
      <c r="H56" s="14"/>
      <c r="I56" s="70"/>
      <c r="J56" s="14"/>
      <c r="K56" s="22"/>
      <c r="L56" s="15"/>
      <c r="M56" s="69"/>
      <c r="N56" s="13"/>
      <c r="O56" s="37"/>
    </row>
    <row r="57" spans="2:15" ht="17.399999999999999" x14ac:dyDescent="0.3">
      <c r="B57" s="36" t="s">
        <v>4</v>
      </c>
      <c r="C57" s="16"/>
      <c r="D57" s="78">
        <v>0</v>
      </c>
      <c r="E57" s="62" t="s">
        <v>6</v>
      </c>
      <c r="F57" s="74">
        <v>0</v>
      </c>
      <c r="G57" s="14"/>
      <c r="H57" s="14" t="s">
        <v>8</v>
      </c>
      <c r="I57" s="96">
        <f>K33</f>
        <v>7.0000000000000007E-2</v>
      </c>
      <c r="J57" s="14"/>
      <c r="K57" s="63">
        <f>IF(D58&gt;0,D57,0)</f>
        <v>0</v>
      </c>
      <c r="L57" s="15"/>
      <c r="M57" s="69"/>
      <c r="N57" s="13"/>
      <c r="O57" s="37"/>
    </row>
    <row r="58" spans="2:15" ht="17.399999999999999" x14ac:dyDescent="0.3">
      <c r="B58" s="36" t="s">
        <v>0</v>
      </c>
      <c r="C58" s="14"/>
      <c r="D58" s="64">
        <f>IF(F53&gt;K16,F57,(F58-K39)/365.25)</f>
        <v>0</v>
      </c>
      <c r="E58" s="62" t="s">
        <v>17</v>
      </c>
      <c r="F58" s="89">
        <f>DATE(YEAR(K12)+INT(F38+F42+F47+F52+F57),MONTH(K12)+MOD(F38+F42+F47+F52+F57,1)*12,DAY(K12)+MOD(MOD(F38+F42+F47+F52+F57,1)*12,1)*365/12)</f>
        <v>70245</v>
      </c>
      <c r="G58" s="14"/>
      <c r="H58" s="14"/>
      <c r="I58" s="14"/>
      <c r="J58" s="14"/>
      <c r="K58" s="23">
        <f>IF(ISNUMBER(1/(I57+((0%/(((1+(0%))^F57)-1))/(1-0%)))),(1/(I57+((0%/(((1+(0%))^F57)-1))/(1-0%)))),((1-(POWER(1+I57,-D58)))/I57))</f>
        <v>0</v>
      </c>
      <c r="L58" s="15"/>
      <c r="M58" s="69"/>
      <c r="N58" s="13"/>
      <c r="O58" s="37"/>
    </row>
    <row r="59" spans="2:15" ht="17.399999999999999" x14ac:dyDescent="0.3">
      <c r="B59" s="36" t="s">
        <v>18</v>
      </c>
      <c r="C59" s="14"/>
      <c r="D59" s="64">
        <f>IF(F53&gt;K16,D58+D54,(F58-K16)/365.25)</f>
        <v>74.286105407255306</v>
      </c>
      <c r="E59" s="14"/>
      <c r="F59" s="64"/>
      <c r="G59" s="14"/>
      <c r="H59" s="14"/>
      <c r="I59" s="14"/>
      <c r="J59" s="14"/>
      <c r="K59" s="23">
        <f>IF(D59&gt;0,IF(D59&lt;=K13,SUM(1/(POWER(1+I57,D54))),1),1)</f>
        <v>6.564378186013551E-3</v>
      </c>
      <c r="L59" s="15"/>
      <c r="M59" s="69"/>
      <c r="N59" s="13"/>
      <c r="O59" s="37"/>
    </row>
    <row r="60" spans="2:15" ht="17.399999999999999" x14ac:dyDescent="0.3">
      <c r="B60" s="36"/>
      <c r="C60" s="14"/>
      <c r="D60" s="17"/>
      <c r="E60" s="14"/>
      <c r="F60" s="14"/>
      <c r="G60" s="14"/>
      <c r="H60" s="14"/>
      <c r="I60" s="14"/>
      <c r="J60" s="14"/>
      <c r="K60" s="22"/>
      <c r="L60" s="15"/>
      <c r="M60" s="68">
        <f>IF(ISNUMBER(K57*K58*K59),K57*K58*K59,0)</f>
        <v>0</v>
      </c>
      <c r="N60" s="13"/>
      <c r="O60" s="40"/>
    </row>
    <row r="61" spans="2:15" ht="18" thickBot="1" x14ac:dyDescent="0.35">
      <c r="B61" s="38"/>
      <c r="C61" s="14"/>
      <c r="D61" s="14"/>
      <c r="E61" s="14"/>
      <c r="F61" s="14"/>
      <c r="G61" s="14"/>
      <c r="H61" s="14"/>
      <c r="I61" s="14"/>
      <c r="J61" s="14"/>
      <c r="K61" s="22"/>
      <c r="L61" s="15"/>
      <c r="M61" s="24"/>
      <c r="N61" s="13"/>
      <c r="O61" s="41">
        <f>SUM(M40:M60)</f>
        <v>1.4191937454485521E-3</v>
      </c>
    </row>
    <row r="62" spans="2:15" ht="17.399999999999999" x14ac:dyDescent="0.3">
      <c r="B62" s="94" t="s">
        <v>26</v>
      </c>
      <c r="C62" s="42"/>
      <c r="D62" s="42"/>
      <c r="E62" s="42"/>
      <c r="F62" s="42"/>
      <c r="G62" s="42"/>
      <c r="H62" s="42"/>
      <c r="I62" s="42"/>
      <c r="J62" s="42"/>
      <c r="K62" s="43"/>
      <c r="L62" s="44"/>
      <c r="M62" s="45"/>
      <c r="N62" s="46"/>
      <c r="O62" s="47"/>
    </row>
    <row r="63" spans="2:15" ht="17.399999999999999" x14ac:dyDescent="0.3">
      <c r="B63" s="38"/>
      <c r="C63" s="14"/>
      <c r="D63" s="17" t="s">
        <v>16</v>
      </c>
      <c r="E63" s="14"/>
      <c r="F63" s="14"/>
      <c r="G63" s="14"/>
      <c r="H63" s="14"/>
      <c r="I63" s="14"/>
      <c r="J63" s="14"/>
      <c r="K63" s="22"/>
      <c r="L63" s="15"/>
      <c r="M63" s="20"/>
      <c r="N63" s="13"/>
      <c r="O63" s="37"/>
    </row>
    <row r="64" spans="2:15" ht="17.399999999999999" x14ac:dyDescent="0.3">
      <c r="B64" s="66"/>
      <c r="C64" s="14"/>
      <c r="D64" s="17"/>
      <c r="E64" s="16" t="s">
        <v>45</v>
      </c>
      <c r="F64" s="12"/>
      <c r="G64" s="67"/>
      <c r="H64" s="14"/>
      <c r="I64" s="14"/>
      <c r="J64" s="14"/>
      <c r="K64" s="15">
        <f>K28</f>
        <v>350000</v>
      </c>
      <c r="L64" s="18"/>
      <c r="M64" s="20"/>
      <c r="N64" s="13"/>
      <c r="O64" s="37"/>
    </row>
    <row r="65" spans="2:15" ht="17.399999999999999" x14ac:dyDescent="0.3">
      <c r="B65" s="66"/>
      <c r="C65" s="14"/>
      <c r="D65" s="17"/>
      <c r="E65" s="16" t="s">
        <v>43</v>
      </c>
      <c r="F65" s="99">
        <v>0</v>
      </c>
      <c r="G65" s="67"/>
      <c r="H65" s="14"/>
      <c r="I65" s="14"/>
      <c r="J65" s="14"/>
      <c r="K65" s="15">
        <f>(1-F65)*K64</f>
        <v>350000</v>
      </c>
      <c r="L65" s="18"/>
      <c r="M65" s="20"/>
      <c r="N65" s="13"/>
      <c r="O65" s="37"/>
    </row>
    <row r="66" spans="2:15" ht="17.399999999999999" x14ac:dyDescent="0.3">
      <c r="B66" s="38"/>
      <c r="C66" s="16"/>
      <c r="D66" s="17"/>
      <c r="E66" s="16" t="s">
        <v>1</v>
      </c>
      <c r="F66" s="57">
        <f>K18+K19</f>
        <v>74.283367556468178</v>
      </c>
      <c r="G66" s="67"/>
      <c r="H66" s="14" t="s">
        <v>8</v>
      </c>
      <c r="I66" s="72">
        <f>K35</f>
        <v>5.2499999999999998E-2</v>
      </c>
      <c r="J66" s="14"/>
      <c r="K66" s="21">
        <f>SUM(1/(POWER(1+I66,F66)))</f>
        <v>2.2349470737743866E-2</v>
      </c>
      <c r="L66" s="15"/>
      <c r="M66" s="20">
        <f>SUM(K65*K66)</f>
        <v>7822.3147582103529</v>
      </c>
      <c r="N66" s="13"/>
      <c r="O66" s="48">
        <f>M66</f>
        <v>7822.3147582103529</v>
      </c>
    </row>
    <row r="67" spans="2:15" ht="17.399999999999999" x14ac:dyDescent="0.3">
      <c r="B67" s="38"/>
      <c r="C67" s="16"/>
      <c r="D67" s="55"/>
      <c r="E67" s="16"/>
      <c r="F67" s="57"/>
      <c r="G67" s="67"/>
      <c r="H67" s="14"/>
      <c r="I67" s="14"/>
      <c r="J67" s="14"/>
      <c r="K67" s="21"/>
      <c r="L67" s="15"/>
      <c r="M67" s="20"/>
      <c r="N67" s="13"/>
      <c r="O67" s="41"/>
    </row>
    <row r="68" spans="2:15" ht="17.399999999999999" x14ac:dyDescent="0.3">
      <c r="B68" s="38"/>
      <c r="C68" s="16"/>
      <c r="D68" s="101" t="s">
        <v>39</v>
      </c>
      <c r="E68" s="16"/>
      <c r="F68" s="57"/>
      <c r="G68" s="67"/>
      <c r="H68" s="14"/>
      <c r="I68" s="14"/>
      <c r="J68" s="14"/>
      <c r="K68" s="21"/>
      <c r="L68" s="15"/>
      <c r="M68" s="20"/>
      <c r="N68" s="13"/>
      <c r="O68" s="41">
        <f>O61+O66</f>
        <v>7822.3161774040982</v>
      </c>
    </row>
    <row r="69" spans="2:15" ht="17.399999999999999" x14ac:dyDescent="0.3">
      <c r="B69" s="102" t="s">
        <v>40</v>
      </c>
      <c r="C69" s="16"/>
      <c r="D69" s="101"/>
      <c r="E69" s="16"/>
      <c r="F69" s="57"/>
      <c r="G69" s="67"/>
      <c r="H69" s="14"/>
      <c r="I69" s="14"/>
      <c r="J69" s="14"/>
      <c r="K69" s="21"/>
      <c r="L69" s="15"/>
      <c r="M69" s="20"/>
      <c r="N69" s="13"/>
      <c r="O69" s="41"/>
    </row>
    <row r="70" spans="2:15" ht="17.399999999999999" x14ac:dyDescent="0.3">
      <c r="B70" s="103" t="s">
        <v>41</v>
      </c>
      <c r="C70" s="16"/>
      <c r="D70" s="101"/>
      <c r="E70" s="16"/>
      <c r="F70" s="57"/>
      <c r="G70" s="67"/>
      <c r="H70" s="14"/>
      <c r="I70" s="14"/>
      <c r="J70" s="14"/>
      <c r="K70" s="21"/>
      <c r="L70" s="15"/>
      <c r="M70" s="20"/>
      <c r="N70" s="13"/>
      <c r="O70" s="41"/>
    </row>
    <row r="71" spans="2:15" ht="18" thickBot="1" x14ac:dyDescent="0.35">
      <c r="B71" s="104" t="s">
        <v>42</v>
      </c>
      <c r="C71" s="49"/>
      <c r="D71" s="50"/>
      <c r="E71" s="50"/>
      <c r="F71" s="50"/>
      <c r="G71" s="50"/>
      <c r="H71" s="50"/>
      <c r="I71" s="50"/>
      <c r="J71" s="50"/>
      <c r="K71" s="51"/>
      <c r="L71" s="51"/>
      <c r="M71" s="52"/>
      <c r="N71" s="53"/>
      <c r="O71" s="54"/>
    </row>
  </sheetData>
  <mergeCells count="1">
    <mergeCell ref="M15:O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S9(1a)Short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2026-01-24T21:20:24Z</dcterms:modified>
</cp:coreProperties>
</file>