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0" documentId="8_{4FD0A6ED-523E-4995-8D95-BA47E263A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App" sheetId="43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43" l="1"/>
  <c r="D106" i="43"/>
  <c r="F76" i="43"/>
  <c r="F75" i="43"/>
  <c r="F74" i="43"/>
  <c r="F73" i="43"/>
  <c r="F56" i="43"/>
  <c r="B144" i="43"/>
  <c r="C144" i="43" s="1"/>
  <c r="B142" i="43"/>
  <c r="B141" i="43" s="1"/>
  <c r="I136" i="43"/>
  <c r="J136" i="43" s="1"/>
  <c r="G136" i="43"/>
  <c r="C121" i="43"/>
  <c r="C120" i="43"/>
  <c r="B129" i="43"/>
  <c r="B130" i="43" s="1"/>
  <c r="B131" i="43" s="1"/>
  <c r="B132" i="43" s="1"/>
  <c r="B133" i="43" s="1"/>
  <c r="B127" i="43"/>
  <c r="C127" i="43" s="1"/>
  <c r="F121" i="43"/>
  <c r="E121" i="43" s="1"/>
  <c r="G121" i="43"/>
  <c r="I121" i="43"/>
  <c r="I122" i="43" s="1"/>
  <c r="I80" i="43"/>
  <c r="J38" i="43"/>
  <c r="J39" i="43" s="1"/>
  <c r="J40" i="43" s="1"/>
  <c r="J41" i="43" s="1"/>
  <c r="J42" i="43" s="1"/>
  <c r="M37" i="43"/>
  <c r="K5" i="43"/>
  <c r="D35" i="43"/>
  <c r="D33" i="43"/>
  <c r="D20" i="43"/>
  <c r="D17" i="43"/>
  <c r="D18" i="43" s="1"/>
  <c r="D13" i="43"/>
  <c r="D14" i="43"/>
  <c r="D12" i="43"/>
  <c r="D5" i="43"/>
  <c r="E122" i="43" l="1"/>
  <c r="D121" i="43"/>
  <c r="D122" i="43" s="1"/>
  <c r="J121" i="43"/>
  <c r="K121" i="43" s="1"/>
  <c r="B145" i="43"/>
  <c r="B146" i="43" s="1"/>
  <c r="C141" i="43"/>
  <c r="B140" i="43"/>
  <c r="C146" i="43"/>
  <c r="B147" i="43"/>
  <c r="C142" i="43"/>
  <c r="G137" i="43"/>
  <c r="K136" i="43"/>
  <c r="J137" i="43"/>
  <c r="I137" i="43"/>
  <c r="F136" i="43"/>
  <c r="B126" i="43"/>
  <c r="B125" i="43" s="1"/>
  <c r="B124" i="43" s="1"/>
  <c r="B123" i="43" s="1"/>
  <c r="C126" i="43"/>
  <c r="C133" i="43"/>
  <c r="C132" i="43"/>
  <c r="C129" i="43"/>
  <c r="C130" i="43"/>
  <c r="C131" i="43"/>
  <c r="J122" i="43"/>
  <c r="F122" i="43"/>
  <c r="G122" i="43"/>
  <c r="C145" i="43" l="1"/>
  <c r="B139" i="43"/>
  <c r="C140" i="43"/>
  <c r="B148" i="43"/>
  <c r="C148" i="43" s="1"/>
  <c r="C147" i="43"/>
  <c r="F137" i="43"/>
  <c r="E136" i="43"/>
  <c r="L136" i="43"/>
  <c r="L137" i="43" s="1"/>
  <c r="K137" i="43"/>
  <c r="C124" i="43"/>
  <c r="C125" i="43"/>
  <c r="C123" i="43"/>
  <c r="K122" i="43"/>
  <c r="L121" i="43"/>
  <c r="L122" i="43" s="1"/>
  <c r="C139" i="43" l="1"/>
  <c r="B138" i="43"/>
  <c r="C138" i="43" s="1"/>
  <c r="D136" i="43"/>
  <c r="D137" i="43" s="1"/>
  <c r="E137" i="43"/>
  <c r="C136" i="43" l="1"/>
  <c r="C135" i="43"/>
  <c r="F114" i="43"/>
  <c r="D97" i="43"/>
  <c r="L95" i="43"/>
  <c r="L94" i="43"/>
  <c r="L80" i="43"/>
  <c r="M87" i="43" s="1"/>
  <c r="E71" i="43"/>
  <c r="F71" i="43" s="1"/>
  <c r="E69" i="43"/>
  <c r="F69" i="43" s="1"/>
  <c r="B69" i="43"/>
  <c r="E66" i="43"/>
  <c r="F66" i="43" s="1"/>
  <c r="C66" i="43"/>
  <c r="B66" i="43"/>
  <c r="C64" i="43"/>
  <c r="B64" i="43"/>
  <c r="C63" i="43"/>
  <c r="B63" i="43"/>
  <c r="E62" i="43"/>
  <c r="F62" i="43" s="1"/>
  <c r="C62" i="43"/>
  <c r="B62" i="43"/>
  <c r="E60" i="43"/>
  <c r="F60" i="43" s="1"/>
  <c r="C60" i="43"/>
  <c r="B60" i="43"/>
  <c r="E59" i="43"/>
  <c r="F59" i="43" s="1"/>
  <c r="C59" i="43"/>
  <c r="B59" i="43"/>
  <c r="E58" i="43"/>
  <c r="F58" i="43" s="1"/>
  <c r="C58" i="43"/>
  <c r="B58" i="43"/>
  <c r="E57" i="43"/>
  <c r="F57" i="43" s="1"/>
  <c r="C57" i="43"/>
  <c r="B57" i="43"/>
  <c r="C56" i="43"/>
  <c r="B56" i="43"/>
  <c r="J52" i="43"/>
  <c r="J51" i="43"/>
  <c r="J49" i="43"/>
  <c r="E38" i="43"/>
  <c r="E39" i="43" s="1"/>
  <c r="E40" i="43" s="1"/>
  <c r="E41" i="43" s="1"/>
  <c r="E42" i="43" s="1"/>
  <c r="J28" i="43"/>
  <c r="H28" i="43"/>
  <c r="E28" i="43"/>
  <c r="D28" i="43" s="1"/>
  <c r="J27" i="43"/>
  <c r="H27" i="43"/>
  <c r="E27" i="43"/>
  <c r="D27" i="43" s="1"/>
  <c r="J26" i="43"/>
  <c r="E26" i="43"/>
  <c r="D26" i="43" s="1"/>
  <c r="F26" i="43" s="1"/>
  <c r="G26" i="43" s="1"/>
  <c r="J71" i="43"/>
  <c r="E18" i="43"/>
  <c r="J17" i="43"/>
  <c r="H17" i="43"/>
  <c r="J66" i="43"/>
  <c r="E15" i="43"/>
  <c r="H14" i="43"/>
  <c r="H13" i="43"/>
  <c r="J63" i="43"/>
  <c r="J12" i="43"/>
  <c r="H12" i="43"/>
  <c r="J62" i="43"/>
  <c r="J9" i="43"/>
  <c r="H9" i="43"/>
  <c r="J8" i="43"/>
  <c r="H8" i="43"/>
  <c r="J7" i="43"/>
  <c r="H7" i="43"/>
  <c r="J6" i="43"/>
  <c r="H6" i="43"/>
  <c r="E6" i="43"/>
  <c r="D6" i="43" s="1"/>
  <c r="K17" i="43" l="1"/>
  <c r="K12" i="43"/>
  <c r="K7" i="43"/>
  <c r="K9" i="43"/>
  <c r="K28" i="43"/>
  <c r="K27" i="43"/>
  <c r="K6" i="43"/>
  <c r="K8" i="43"/>
  <c r="K26" i="43"/>
  <c r="M26" i="43"/>
  <c r="L66" i="43"/>
  <c r="L71" i="43"/>
  <c r="F6" i="43"/>
  <c r="G6" i="43" s="1"/>
  <c r="F28" i="43"/>
  <c r="G28" i="43" s="1"/>
  <c r="M38" i="43"/>
  <c r="F27" i="43"/>
  <c r="G27" i="43" s="1"/>
  <c r="L62" i="43"/>
  <c r="M42" i="43"/>
  <c r="D29" i="43"/>
  <c r="J74" i="43" s="1"/>
  <c r="L74" i="43" s="1"/>
  <c r="J14" i="43"/>
  <c r="M39" i="43"/>
  <c r="M41" i="43"/>
  <c r="J13" i="43"/>
  <c r="F14" i="43"/>
  <c r="G14" i="43" s="1"/>
  <c r="M40" i="43"/>
  <c r="J64" i="43"/>
  <c r="E63" i="43"/>
  <c r="F63" i="43" s="1"/>
  <c r="E64" i="43"/>
  <c r="F64" i="43" s="1"/>
  <c r="E29" i="43"/>
  <c r="E7" i="43"/>
  <c r="D7" i="43" s="1"/>
  <c r="F13" i="43"/>
  <c r="G13" i="43" s="1"/>
  <c r="J57" i="43"/>
  <c r="L57" i="43" s="1"/>
  <c r="F5" i="43"/>
  <c r="F12" i="43"/>
  <c r="M12" i="43" s="1"/>
  <c r="F17" i="43"/>
  <c r="G17" i="43" s="1"/>
  <c r="G18" i="43" s="1"/>
  <c r="D15" i="43"/>
  <c r="J56" i="43"/>
  <c r="M27" i="43" l="1"/>
  <c r="G29" i="43"/>
  <c r="K13" i="43"/>
  <c r="M13" i="43"/>
  <c r="G12" i="43"/>
  <c r="G15" i="43" s="1"/>
  <c r="F15" i="43"/>
  <c r="M14" i="43"/>
  <c r="K14" i="43"/>
  <c r="M6" i="43"/>
  <c r="M5" i="43"/>
  <c r="G5" i="43"/>
  <c r="M28" i="43"/>
  <c r="M17" i="43"/>
  <c r="M43" i="43"/>
  <c r="J69" i="43"/>
  <c r="L69" i="43" s="1"/>
  <c r="J76" i="43"/>
  <c r="L76" i="43" s="1"/>
  <c r="E8" i="43"/>
  <c r="D8" i="43" s="1"/>
  <c r="L63" i="43"/>
  <c r="L64" i="43"/>
  <c r="F18" i="43"/>
  <c r="F29" i="43"/>
  <c r="L56" i="43"/>
  <c r="M29" i="43" l="1"/>
  <c r="M31" i="43" s="1"/>
  <c r="M15" i="43"/>
  <c r="E9" i="43"/>
  <c r="F7" i="43"/>
  <c r="J58" i="43"/>
  <c r="G7" i="43" l="1"/>
  <c r="M7" i="43"/>
  <c r="E10" i="43"/>
  <c r="E22" i="43" s="1"/>
  <c r="A14" i="43" s="1"/>
  <c r="D9" i="43"/>
  <c r="F8" i="43"/>
  <c r="J59" i="43"/>
  <c r="L59" i="43" s="1"/>
  <c r="A7" i="43"/>
  <c r="L58" i="43"/>
  <c r="A13" i="43" l="1"/>
  <c r="A8" i="43"/>
  <c r="A12" i="43"/>
  <c r="A6" i="43"/>
  <c r="A20" i="43"/>
  <c r="A9" i="43"/>
  <c r="A5" i="43"/>
  <c r="A17" i="43"/>
  <c r="E31" i="43"/>
  <c r="G8" i="43"/>
  <c r="M8" i="43"/>
  <c r="F9" i="43"/>
  <c r="J60" i="43"/>
  <c r="L60" i="43" s="1"/>
  <c r="M72" i="43" s="1"/>
  <c r="D10" i="43"/>
  <c r="D22" i="43" s="1"/>
  <c r="A22" i="43" l="1"/>
  <c r="G9" i="43"/>
  <c r="G10" i="43" s="1"/>
  <c r="M9" i="43"/>
  <c r="M10" i="43" s="1"/>
  <c r="M22" i="43" s="1"/>
  <c r="N45" i="43" s="1"/>
  <c r="F10" i="43"/>
  <c r="F22" i="43" s="1"/>
  <c r="F31" i="43" s="1"/>
  <c r="J73" i="43"/>
  <c r="L73" i="43" s="1"/>
  <c r="J75" i="43"/>
  <c r="L75" i="43" s="1"/>
  <c r="D31" i="43"/>
  <c r="L91" i="43"/>
  <c r="J70" i="43"/>
  <c r="E52" i="43" l="1"/>
  <c r="K52" i="43" s="1"/>
  <c r="E51" i="43"/>
  <c r="K51" i="43" s="1"/>
  <c r="E48" i="43"/>
  <c r="K48" i="43" s="1"/>
  <c r="D108" i="43"/>
  <c r="E49" i="43"/>
  <c r="K49" i="43" s="1"/>
  <c r="I5" i="43"/>
  <c r="I28" i="43"/>
  <c r="I17" i="43"/>
  <c r="I14" i="43"/>
  <c r="I7" i="43"/>
  <c r="I20" i="43"/>
  <c r="I12" i="43"/>
  <c r="I27" i="43"/>
  <c r="I8" i="43"/>
  <c r="I26" i="43"/>
  <c r="I13" i="43"/>
  <c r="I6" i="43"/>
  <c r="I9" i="43"/>
  <c r="G22" i="43"/>
  <c r="G31" i="43" s="1"/>
  <c r="M77" i="43"/>
  <c r="L89" i="43" l="1"/>
  <c r="L90" i="43" s="1"/>
  <c r="L53" i="43"/>
  <c r="N53" i="43" s="1"/>
  <c r="I31" i="43"/>
  <c r="M92" i="43" l="1"/>
  <c r="N92" i="43" s="1"/>
  <c r="N100" i="43" s="1"/>
  <c r="F115" i="43" s="1"/>
  <c r="F116" i="43" s="1"/>
  <c r="D96" i="43" l="1"/>
  <c r="L96" i="43" s="1"/>
  <c r="L97" i="43" s="1"/>
  <c r="L98" i="43" s="1"/>
  <c r="D109" i="43" s="1"/>
  <c r="M108" i="43" s="1"/>
  <c r="N106" i="43"/>
  <c r="C122" i="43" s="1"/>
  <c r="L99" i="43" l="1"/>
  <c r="C137" i="43"/>
  <c r="I108" i="43"/>
  <c r="I109" i="43" l="1"/>
  <c r="M109" i="43"/>
</calcChain>
</file>

<file path=xl/sharedStrings.xml><?xml version="1.0" encoding="utf-8"?>
<sst xmlns="http://schemas.openxmlformats.org/spreadsheetml/2006/main" count="200" uniqueCount="113">
  <si>
    <t>sq.ft</t>
  </si>
  <si>
    <t>sq.m</t>
  </si>
  <si>
    <t>sqm</t>
  </si>
  <si>
    <t>1st Floor</t>
  </si>
  <si>
    <t>Less</t>
  </si>
  <si>
    <t>Completed Development Value</t>
  </si>
  <si>
    <t xml:space="preserve"> </t>
  </si>
  <si>
    <t>Sales Income</t>
  </si>
  <si>
    <t>Gross</t>
  </si>
  <si>
    <t>Sales Price</t>
  </si>
  <si>
    <t>Unit (Av)</t>
  </si>
  <si>
    <t>Sale Costs</t>
  </si>
  <si>
    <t>Agents</t>
  </si>
  <si>
    <t>Lettings</t>
  </si>
  <si>
    <t>of</t>
  </si>
  <si>
    <t xml:space="preserve"> plus VAT @</t>
  </si>
  <si>
    <t>Sales</t>
  </si>
  <si>
    <t>Solicitors</t>
  </si>
  <si>
    <t>Cost of Development</t>
  </si>
  <si>
    <t xml:space="preserve">     @</t>
  </si>
  <si>
    <t>Professional fees</t>
  </si>
  <si>
    <t>Finance</t>
  </si>
  <si>
    <t>x</t>
  </si>
  <si>
    <t xml:space="preserve"> plus VAT</t>
  </si>
  <si>
    <t>Stamp Duty Land Tax</t>
  </si>
  <si>
    <t>Planning Costs</t>
  </si>
  <si>
    <t>Stamp Duty Land Tax - SDLT for non-residential purchases</t>
  </si>
  <si>
    <t>Property or lease premium or transfer value</t>
  </si>
  <si>
    <t>SDLT rate</t>
  </si>
  <si>
    <t>Up to £150,000</t>
  </si>
  <si>
    <t>Zero</t>
  </si>
  <si>
    <t>The next £100,000 (the portion from £150,001 to £250,000)</t>
  </si>
  <si>
    <t>The remaining amount (the portion above £250,000)</t>
  </si>
  <si>
    <t>SDLT:</t>
  </si>
  <si>
    <t>https://www.gov.uk/stamp-duty-land-tax/nonresidential-and-mixed-use-rates</t>
  </si>
  <si>
    <t>=</t>
  </si>
  <si>
    <t>Yield</t>
  </si>
  <si>
    <t xml:space="preserve">Rent = </t>
  </si>
  <si>
    <t xml:space="preserve">Yield = </t>
  </si>
  <si>
    <t>Yield @</t>
  </si>
  <si>
    <t>LESS</t>
  </si>
  <si>
    <t>Net</t>
  </si>
  <si>
    <t>Net-to-Gross</t>
  </si>
  <si>
    <t>Flat No. 1 (Ground Floor)</t>
  </si>
  <si>
    <t>2-bedroom</t>
  </si>
  <si>
    <t>Flat No. 2 (Ground Floor)</t>
  </si>
  <si>
    <t>1-bedroom</t>
  </si>
  <si>
    <t>Flat No. 3 (Ground Floor)</t>
  </si>
  <si>
    <t>Flat No. 4 (Ground Floor)</t>
  </si>
  <si>
    <t>Flat No. 5 (Ground Floor)</t>
  </si>
  <si>
    <t>Flat No. 1 (Ffth Floor)</t>
  </si>
  <si>
    <t>3-bedroom</t>
  </si>
  <si>
    <t>Flat No. 2 (Fifth Floor)</t>
  </si>
  <si>
    <t>Flat No. 3 (Fifth Floor)</t>
  </si>
  <si>
    <t>Mews House / 'Annex'</t>
  </si>
  <si>
    <t>Common Parts (Residential)</t>
  </si>
  <si>
    <t xml:space="preserve">Total Residential: </t>
  </si>
  <si>
    <t xml:space="preserve">Retail Rent pa: </t>
  </si>
  <si>
    <t xml:space="preserve">Retail Yield: </t>
  </si>
  <si>
    <t>Shop(s) - A2 / B1</t>
  </si>
  <si>
    <t>Unit No. 1</t>
  </si>
  <si>
    <t>Unit No. 2</t>
  </si>
  <si>
    <t>Unit No. 3</t>
  </si>
  <si>
    <t xml:space="preserve">Total Retail: </t>
  </si>
  <si>
    <t xml:space="preserve">TOTAL: </t>
  </si>
  <si>
    <t>Rear Gardens</t>
  </si>
  <si>
    <t>Front Courtyard (inc Bike &amp; Bin Store)</t>
  </si>
  <si>
    <t>Ground Rent - Flat 1</t>
  </si>
  <si>
    <t>Ground Rent - Flat 2</t>
  </si>
  <si>
    <t>Ground Rent - Flat 3</t>
  </si>
  <si>
    <t>Ground Rent - Flat 4</t>
  </si>
  <si>
    <t>Ground Rent - Flat 5</t>
  </si>
  <si>
    <t>Ground Rent - Mews House</t>
  </si>
  <si>
    <t>Unit Size</t>
  </si>
  <si>
    <t>Common Parts</t>
  </si>
  <si>
    <t xml:space="preserve">CIL - Camden - Resdiential = </t>
  </si>
  <si>
    <t xml:space="preserve">CIL - Camden - Commercial = </t>
  </si>
  <si>
    <t xml:space="preserve">CIL - Mayor - Resdiential = </t>
  </si>
  <si>
    <t xml:space="preserve">CIL - Mayor - Commercial = </t>
  </si>
  <si>
    <t>GIA</t>
  </si>
  <si>
    <t xml:space="preserve">Section 106: </t>
  </si>
  <si>
    <t>Multiplier</t>
  </si>
  <si>
    <t>New Space</t>
  </si>
  <si>
    <t xml:space="preserve"> - Affordable Housing Contribution</t>
  </si>
  <si>
    <t xml:space="preserve"> - Construction Management Plan (plus support contribution)</t>
  </si>
  <si>
    <t xml:space="preserve"> - Highways Repairs Contribution</t>
  </si>
  <si>
    <t xml:space="preserve"> - Car Free Agreement (for all 9No. New units)</t>
  </si>
  <si>
    <t xml:space="preserve"> - Sustainability Statement</t>
  </si>
  <si>
    <t xml:space="preserve"> - Energy Statement</t>
  </si>
  <si>
    <t xml:space="preserve"> - Electricity Sub-Station</t>
  </si>
  <si>
    <t>Buiilder's Profit</t>
  </si>
  <si>
    <t>Cost of Site &amp; Associated Costs</t>
  </si>
  <si>
    <t>Solicitors &amp; Agent's fees</t>
  </si>
  <si>
    <t>Finance (on above costs)</t>
  </si>
  <si>
    <t>Developer's Profit</t>
  </si>
  <si>
    <t>Manual Input</t>
  </si>
  <si>
    <t>Value of Existing Car Park</t>
  </si>
  <si>
    <t>No. c.p.s</t>
  </si>
  <si>
    <t>Rent / cps / pa</t>
  </si>
  <si>
    <t>Rent p.a</t>
  </si>
  <si>
    <t>C.V</t>
  </si>
  <si>
    <t>Adjusted Building / Site Value =</t>
  </si>
  <si>
    <t xml:space="preserve">GDV: </t>
  </si>
  <si>
    <t xml:space="preserve">Development Costs: </t>
  </si>
  <si>
    <t xml:space="preserve">Return on GDV: </t>
  </si>
  <si>
    <t xml:space="preserve">Development Profit: </t>
  </si>
  <si>
    <t xml:space="preserve">Site Value to Development Costs: </t>
  </si>
  <si>
    <t xml:space="preserve">Return on Costs: </t>
  </si>
  <si>
    <t>Sales Prices / sq.ft=</t>
  </si>
  <si>
    <t>Development Costs v Sales Costs</t>
  </si>
  <si>
    <t>Building Costs / sq.m=</t>
  </si>
  <si>
    <t>Retail Rent v Yield</t>
  </si>
  <si>
    <t>45 Bridge Street, WC2H 8XZ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</si>
</sst>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&quot;£&quot;* #,##0_-;\-&quot;£&quot;* #,##0_-;_-&quot;£&quot;* &quot;-&quot;??_-;_-@_-"/>
    <numFmt numFmtId="166" formatCode="_-* #,##0_-;\-* #,##0_-;_-* &quot;-&quot;??_-;_-@_-"/>
    <numFmt numFmtId="167" formatCode="0.000"/>
    <numFmt numFmtId="168" formatCode="#,##0.000_ ;\-#,##0.000\ "/>
    <numFmt numFmtId="169" formatCode="_(* #,##0_);_(* \(#,##0\);_(* &quot;-&quot;??_);_(@_)"/>
    <numFmt numFmtId="170" formatCode="_-[$£-809]* #,##0_-;\-[$£-809]* #,##0_-;_-[$£-809]* &quot;-&quot;??_-;_-@_-"/>
    <numFmt numFmtId="171" formatCode="&quot;£&quot;#,##0\ &quot;/sq.m&quot;"/>
    <numFmt numFmtId="172" formatCode="&quot;£&quot;#,##0\ &quot;/sq.ft&quot;"/>
    <numFmt numFmtId="173" formatCode="&quot;£&quot;#,##0"/>
    <numFmt numFmtId="174" formatCode="#,##0\ &quot;units&quot;"/>
    <numFmt numFmtId="175" formatCode="#,##0\ &quot;sqm&quot;"/>
    <numFmt numFmtId="176" formatCode="#,##0\ &quot;sq.ft&quot;"/>
    <numFmt numFmtId="177" formatCode="[$£-809]#,##0"/>
    <numFmt numFmtId="178" formatCode="&quot;£&quot;#,##0\ &quot;/sqm/pa&quot;"/>
    <numFmt numFmtId="179" formatCode="[$£-809]#,##0.00"/>
    <numFmt numFmtId="180" formatCode="_-* #,##0.000000_-;\-* #,##0.000000_-;_-* &quot;-&quot;??_-;_-@_-"/>
    <numFmt numFmtId="181" formatCode="#,##0\ &quot;months&quot;"/>
    <numFmt numFmtId="182" formatCode="_-&quot;£&quot;* #,##0.0_-;\-&quot;£&quot;* #,##0.0_-;_-&quot;£&quot;* &quot;-&quot;??_-;_-@_-"/>
  </numFmts>
  <fonts count="38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rgb="FFFF0000"/>
      <name val="Arial"/>
      <family val="2"/>
    </font>
    <font>
      <b/>
      <u/>
      <sz val="10"/>
      <color rgb="FFFF0000"/>
      <name val="Arial"/>
      <family val="2"/>
    </font>
    <font>
      <b/>
      <sz val="8"/>
      <color rgb="FF7030A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b/>
      <u/>
      <sz val="8"/>
      <color rgb="FFFF0000"/>
      <name val="Arial"/>
      <family val="2"/>
    </font>
    <font>
      <b/>
      <u/>
      <sz val="8"/>
      <color rgb="FF0070C0"/>
      <name val="Arial"/>
      <family val="2"/>
    </font>
    <font>
      <sz val="8"/>
      <color rgb="FF7030A0"/>
      <name val="Arial"/>
      <family val="2"/>
    </font>
    <font>
      <b/>
      <sz val="8"/>
      <color rgb="FF0070C0"/>
      <name val="Arial"/>
      <family val="2"/>
    </font>
    <font>
      <u val="singleAccounting"/>
      <sz val="8"/>
      <name val="Arial"/>
      <family val="2"/>
    </font>
    <font>
      <b/>
      <u/>
      <sz val="10"/>
      <color rgb="FF3E0DF1"/>
      <name val="Arial"/>
      <family val="2"/>
    </font>
    <font>
      <b/>
      <sz val="12"/>
      <color rgb="FF7030A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8"/>
      <color theme="9" tint="-0.499984740745262"/>
      <name val="Arial"/>
      <family val="2"/>
    </font>
    <font>
      <b/>
      <sz val="8"/>
      <color rgb="FF008000"/>
      <name val="Arial"/>
      <family val="2"/>
    </font>
    <font>
      <b/>
      <sz val="8"/>
      <color theme="1"/>
      <name val="Arial"/>
      <family val="2"/>
    </font>
    <font>
      <sz val="8"/>
      <color rgb="FF008000"/>
      <name val="Arial"/>
      <family val="2"/>
    </font>
    <font>
      <b/>
      <u val="singleAccounting"/>
      <sz val="8"/>
      <color rgb="FFFF0000"/>
      <name val="Arial"/>
      <family val="2"/>
    </font>
    <font>
      <b/>
      <sz val="13"/>
      <name val="Calibri"/>
      <family val="2"/>
      <scheme val="minor"/>
    </font>
    <font>
      <b/>
      <sz val="17"/>
      <color indexed="10"/>
      <name val="Calibri"/>
      <family val="2"/>
      <scheme val="minor"/>
    </font>
    <font>
      <b/>
      <sz val="11"/>
      <color rgb="FFFF33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17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7" fillId="0" borderId="0" applyNumberFormat="0" applyFill="0" applyBorder="0" applyAlignment="0" applyProtection="0"/>
  </cellStyleXfs>
  <cellXfs count="223">
    <xf numFmtId="170" fontId="0" fillId="0" borderId="0" xfId="0"/>
    <xf numFmtId="170" fontId="3" fillId="0" borderId="0" xfId="0" applyFont="1"/>
    <xf numFmtId="170" fontId="9" fillId="7" borderId="19" xfId="0" applyFont="1" applyFill="1" applyBorder="1"/>
    <xf numFmtId="170" fontId="9" fillId="7" borderId="20" xfId="0" applyFont="1" applyFill="1" applyBorder="1"/>
    <xf numFmtId="170" fontId="9" fillId="7" borderId="21" xfId="0" applyFont="1" applyFill="1" applyBorder="1"/>
    <xf numFmtId="165" fontId="13" fillId="8" borderId="27" xfId="2" applyNumberFormat="1" applyFont="1" applyFill="1" applyBorder="1" applyAlignment="1">
      <alignment horizontal="center"/>
    </xf>
    <xf numFmtId="170" fontId="7" fillId="0" borderId="0" xfId="4"/>
    <xf numFmtId="165" fontId="8" fillId="2" borderId="5" xfId="2" applyNumberFormat="1" applyFont="1" applyFill="1" applyBorder="1"/>
    <xf numFmtId="9" fontId="0" fillId="0" borderId="0" xfId="3" applyFont="1"/>
    <xf numFmtId="165" fontId="11" fillId="9" borderId="20" xfId="2" applyNumberFormat="1" applyFont="1" applyFill="1" applyBorder="1" applyAlignment="1">
      <alignment horizontal="right"/>
    </xf>
    <xf numFmtId="165" fontId="11" fillId="9" borderId="21" xfId="2" applyNumberFormat="1" applyFont="1" applyFill="1" applyBorder="1" applyAlignment="1">
      <alignment horizontal="right"/>
    </xf>
    <xf numFmtId="170" fontId="16" fillId="3" borderId="6" xfId="0" applyFont="1" applyFill="1" applyBorder="1"/>
    <xf numFmtId="170" fontId="10" fillId="3" borderId="7" xfId="0" applyFont="1" applyFill="1" applyBorder="1"/>
    <xf numFmtId="170" fontId="10" fillId="3" borderId="7" xfId="0" applyFont="1" applyFill="1" applyBorder="1" applyAlignment="1">
      <alignment horizontal="center"/>
    </xf>
    <xf numFmtId="170" fontId="10" fillId="3" borderId="8" xfId="0" applyFont="1" applyFill="1" applyBorder="1"/>
    <xf numFmtId="170" fontId="17" fillId="3" borderId="9" xfId="0" applyFont="1" applyFill="1" applyBorder="1"/>
    <xf numFmtId="170" fontId="10" fillId="3" borderId="10" xfId="0" applyFont="1" applyFill="1" applyBorder="1"/>
    <xf numFmtId="170" fontId="18" fillId="3" borderId="9" xfId="0" applyFont="1" applyFill="1" applyBorder="1"/>
    <xf numFmtId="170" fontId="10" fillId="3" borderId="9" xfId="0" applyFont="1" applyFill="1" applyBorder="1"/>
    <xf numFmtId="172" fontId="14" fillId="2" borderId="5" xfId="0" applyNumberFormat="1" applyFont="1" applyFill="1" applyBorder="1"/>
    <xf numFmtId="177" fontId="10" fillId="3" borderId="10" xfId="0" applyNumberFormat="1" applyFont="1" applyFill="1" applyBorder="1"/>
    <xf numFmtId="177" fontId="18" fillId="3" borderId="10" xfId="0" applyNumberFormat="1" applyFont="1" applyFill="1" applyBorder="1"/>
    <xf numFmtId="43" fontId="14" fillId="3" borderId="0" xfId="1" applyFont="1" applyFill="1" applyBorder="1" applyAlignment="1">
      <alignment horizontal="right"/>
    </xf>
    <xf numFmtId="177" fontId="6" fillId="3" borderId="10" xfId="0" applyNumberFormat="1" applyFont="1" applyFill="1" applyBorder="1"/>
    <xf numFmtId="177" fontId="3" fillId="3" borderId="8" xfId="0" applyNumberFormat="1" applyFont="1" applyFill="1" applyBorder="1"/>
    <xf numFmtId="10" fontId="0" fillId="0" borderId="0" xfId="3" applyNumberFormat="1" applyFont="1"/>
    <xf numFmtId="170" fontId="21" fillId="3" borderId="9" xfId="0" applyFont="1" applyFill="1" applyBorder="1"/>
    <xf numFmtId="177" fontId="3" fillId="3" borderId="10" xfId="0" applyNumberFormat="1" applyFont="1" applyFill="1" applyBorder="1"/>
    <xf numFmtId="10" fontId="14" fillId="3" borderId="0" xfId="3" applyNumberFormat="1" applyFont="1" applyFill="1" applyBorder="1"/>
    <xf numFmtId="170" fontId="10" fillId="3" borderId="11" xfId="0" applyFont="1" applyFill="1" applyBorder="1"/>
    <xf numFmtId="170" fontId="10" fillId="3" borderId="12" xfId="0" applyFont="1" applyFill="1" applyBorder="1"/>
    <xf numFmtId="170" fontId="10" fillId="3" borderId="12" xfId="0" applyFont="1" applyFill="1" applyBorder="1" applyAlignment="1">
      <alignment horizontal="center"/>
    </xf>
    <xf numFmtId="177" fontId="16" fillId="3" borderId="12" xfId="0" applyNumberFormat="1" applyFont="1" applyFill="1" applyBorder="1"/>
    <xf numFmtId="177" fontId="6" fillId="3" borderId="13" xfId="0" applyNumberFormat="1" applyFont="1" applyFill="1" applyBorder="1"/>
    <xf numFmtId="170" fontId="17" fillId="3" borderId="6" xfId="0" applyFont="1" applyFill="1" applyBorder="1"/>
    <xf numFmtId="170" fontId="22" fillId="3" borderId="7" xfId="0" applyFont="1" applyFill="1" applyBorder="1"/>
    <xf numFmtId="167" fontId="17" fillId="4" borderId="3" xfId="0" applyNumberFormat="1" applyFont="1" applyFill="1" applyBorder="1"/>
    <xf numFmtId="10" fontId="10" fillId="3" borderId="0" xfId="3" applyNumberFormat="1" applyFont="1" applyFill="1" applyBorder="1"/>
    <xf numFmtId="165" fontId="10" fillId="3" borderId="0" xfId="2" applyNumberFormat="1" applyFont="1" applyFill="1" applyBorder="1"/>
    <xf numFmtId="166" fontId="10" fillId="3" borderId="0" xfId="1" applyNumberFormat="1" applyFont="1" applyFill="1" applyBorder="1" applyAlignment="1">
      <alignment horizontal="center"/>
    </xf>
    <xf numFmtId="165" fontId="24" fillId="3" borderId="0" xfId="2" applyNumberFormat="1" applyFont="1" applyFill="1" applyBorder="1"/>
    <xf numFmtId="167" fontId="19" fillId="4" borderId="3" xfId="0" applyNumberFormat="1" applyFont="1" applyFill="1" applyBorder="1"/>
    <xf numFmtId="170" fontId="17" fillId="3" borderId="12" xfId="0" applyFont="1" applyFill="1" applyBorder="1"/>
    <xf numFmtId="170" fontId="17" fillId="3" borderId="12" xfId="0" applyFont="1" applyFill="1" applyBorder="1" applyAlignment="1">
      <alignment horizontal="right"/>
    </xf>
    <xf numFmtId="177" fontId="0" fillId="0" borderId="0" xfId="0" applyNumberFormat="1"/>
    <xf numFmtId="170" fontId="1" fillId="0" borderId="0" xfId="0" applyFont="1"/>
    <xf numFmtId="170" fontId="25" fillId="13" borderId="6" xfId="0" applyFont="1" applyFill="1" applyBorder="1"/>
    <xf numFmtId="170" fontId="0" fillId="13" borderId="7" xfId="0" applyFill="1" applyBorder="1"/>
    <xf numFmtId="170" fontId="25" fillId="13" borderId="8" xfId="0" applyFont="1" applyFill="1" applyBorder="1" applyAlignment="1">
      <alignment horizontal="right"/>
    </xf>
    <xf numFmtId="170" fontId="0" fillId="13" borderId="26" xfId="0" applyFill="1" applyBorder="1"/>
    <xf numFmtId="170" fontId="0" fillId="13" borderId="9" xfId="0" applyFill="1" applyBorder="1"/>
    <xf numFmtId="170" fontId="0" fillId="13" borderId="0" xfId="0" applyFill="1"/>
    <xf numFmtId="170" fontId="5" fillId="13" borderId="10" xfId="0" applyFont="1" applyFill="1" applyBorder="1" applyAlignment="1">
      <alignment horizontal="right"/>
    </xf>
    <xf numFmtId="165" fontId="2" fillId="13" borderId="27" xfId="2" applyNumberFormat="1" applyFont="1" applyFill="1" applyBorder="1"/>
    <xf numFmtId="10" fontId="5" fillId="13" borderId="10" xfId="0" applyNumberFormat="1" applyFont="1" applyFill="1" applyBorder="1" applyAlignment="1">
      <alignment horizontal="right"/>
    </xf>
    <xf numFmtId="170" fontId="0" fillId="13" borderId="11" xfId="0" applyFill="1" applyBorder="1"/>
    <xf numFmtId="170" fontId="0" fillId="13" borderId="12" xfId="0" applyFill="1" applyBorder="1"/>
    <xf numFmtId="10" fontId="5" fillId="13" borderId="13" xfId="0" applyNumberFormat="1" applyFont="1" applyFill="1" applyBorder="1" applyAlignment="1">
      <alignment horizontal="right"/>
    </xf>
    <xf numFmtId="177" fontId="2" fillId="13" borderId="28" xfId="0" applyNumberFormat="1" applyFont="1" applyFill="1" applyBorder="1"/>
    <xf numFmtId="170" fontId="25" fillId="13" borderId="19" xfId="0" applyFont="1" applyFill="1" applyBorder="1"/>
    <xf numFmtId="170" fontId="0" fillId="13" borderId="20" xfId="0" applyFill="1" applyBorder="1"/>
    <xf numFmtId="170" fontId="25" fillId="13" borderId="21" xfId="0" applyFont="1" applyFill="1" applyBorder="1" applyAlignment="1">
      <alignment horizontal="right"/>
    </xf>
    <xf numFmtId="170" fontId="26" fillId="7" borderId="20" xfId="0" applyFont="1" applyFill="1" applyBorder="1"/>
    <xf numFmtId="164" fontId="11" fillId="5" borderId="11" xfId="3" applyNumberFormat="1" applyFont="1" applyFill="1" applyBorder="1" applyAlignment="1">
      <alignment horizontal="center"/>
    </xf>
    <xf numFmtId="164" fontId="11" fillId="5" borderId="12" xfId="3" applyNumberFormat="1" applyFont="1" applyFill="1" applyBorder="1" applyAlignment="1">
      <alignment horizontal="center"/>
    </xf>
    <xf numFmtId="164" fontId="11" fillId="5" borderId="13" xfId="3" applyNumberFormat="1" applyFont="1" applyFill="1" applyBorder="1" applyAlignment="1">
      <alignment horizontal="center"/>
    </xf>
    <xf numFmtId="170" fontId="15" fillId="0" borderId="0" xfId="0" applyFont="1"/>
    <xf numFmtId="10" fontId="14" fillId="2" borderId="5" xfId="3" applyNumberFormat="1" applyFont="1" applyFill="1" applyBorder="1" applyAlignment="1">
      <alignment horizontal="center"/>
    </xf>
    <xf numFmtId="10" fontId="10" fillId="11" borderId="22" xfId="0" applyNumberFormat="1" applyFont="1" applyFill="1" applyBorder="1" applyAlignment="1">
      <alignment horizontal="center"/>
    </xf>
    <xf numFmtId="10" fontId="10" fillId="11" borderId="25" xfId="0" applyNumberFormat="1" applyFont="1" applyFill="1" applyBorder="1" applyAlignment="1">
      <alignment horizontal="center"/>
    </xf>
    <xf numFmtId="175" fontId="3" fillId="0" borderId="0" xfId="0" applyNumberFormat="1" applyFont="1"/>
    <xf numFmtId="170" fontId="30" fillId="3" borderId="9" xfId="0" applyFont="1" applyFill="1" applyBorder="1" applyAlignment="1">
      <alignment horizontal="right"/>
    </xf>
    <xf numFmtId="172" fontId="32" fillId="12" borderId="5" xfId="0" applyNumberFormat="1" applyFont="1" applyFill="1" applyBorder="1"/>
    <xf numFmtId="10" fontId="14" fillId="2" borderId="5" xfId="3" applyNumberFormat="1" applyFont="1" applyFill="1" applyBorder="1"/>
    <xf numFmtId="170" fontId="23" fillId="3" borderId="9" xfId="0" applyFont="1" applyFill="1" applyBorder="1" applyAlignment="1">
      <alignment horizontal="right"/>
    </xf>
    <xf numFmtId="173" fontId="17" fillId="3" borderId="9" xfId="0" applyNumberFormat="1" applyFont="1" applyFill="1" applyBorder="1" applyAlignment="1">
      <alignment horizontal="left"/>
    </xf>
    <xf numFmtId="170" fontId="33" fillId="3" borderId="9" xfId="0" applyFont="1" applyFill="1" applyBorder="1"/>
    <xf numFmtId="10" fontId="17" fillId="11" borderId="24" xfId="0" applyNumberFormat="1" applyFont="1" applyFill="1" applyBorder="1" applyAlignment="1">
      <alignment horizontal="center"/>
    </xf>
    <xf numFmtId="173" fontId="0" fillId="0" borderId="0" xfId="0" applyNumberFormat="1"/>
    <xf numFmtId="10" fontId="14" fillId="2" borderId="5" xfId="0" applyNumberFormat="1" applyFont="1" applyFill="1" applyBorder="1" applyAlignment="1">
      <alignment horizontal="center"/>
    </xf>
    <xf numFmtId="175" fontId="0" fillId="0" borderId="0" xfId="0" applyNumberFormat="1"/>
    <xf numFmtId="171" fontId="14" fillId="2" borderId="5" xfId="0" applyNumberFormat="1" applyFont="1" applyFill="1" applyBorder="1" applyAlignment="1">
      <alignment horizontal="right"/>
    </xf>
    <xf numFmtId="175" fontId="10" fillId="11" borderId="38" xfId="0" applyNumberFormat="1" applyFont="1" applyFill="1" applyBorder="1" applyAlignment="1">
      <alignment horizontal="right"/>
    </xf>
    <xf numFmtId="175" fontId="10" fillId="11" borderId="25" xfId="0" applyNumberFormat="1" applyFont="1" applyFill="1" applyBorder="1" applyAlignment="1">
      <alignment horizontal="right"/>
    </xf>
    <xf numFmtId="171" fontId="17" fillId="12" borderId="5" xfId="0" applyNumberFormat="1" applyFont="1" applyFill="1" applyBorder="1" applyAlignment="1">
      <alignment horizontal="right"/>
    </xf>
    <xf numFmtId="3" fontId="10" fillId="11" borderId="25" xfId="0" applyNumberFormat="1" applyFont="1" applyFill="1" applyBorder="1"/>
    <xf numFmtId="3" fontId="14" fillId="11" borderId="25" xfId="0" applyNumberFormat="1" applyFont="1" applyFill="1" applyBorder="1"/>
    <xf numFmtId="175" fontId="18" fillId="11" borderId="25" xfId="0" applyNumberFormat="1" applyFont="1" applyFill="1" applyBorder="1" applyAlignment="1">
      <alignment horizontal="right"/>
    </xf>
    <xf numFmtId="175" fontId="17" fillId="11" borderId="39" xfId="0" applyNumberFormat="1" applyFont="1" applyFill="1" applyBorder="1"/>
    <xf numFmtId="171" fontId="14" fillId="3" borderId="22" xfId="0" applyNumberFormat="1" applyFont="1" applyFill="1" applyBorder="1" applyAlignment="1">
      <alignment horizontal="right"/>
    </xf>
    <xf numFmtId="10" fontId="14" fillId="3" borderId="2" xfId="3" applyNumberFormat="1" applyFont="1" applyFill="1" applyBorder="1" applyAlignment="1">
      <alignment horizontal="center"/>
    </xf>
    <xf numFmtId="175" fontId="14" fillId="3" borderId="2" xfId="0" applyNumberFormat="1" applyFont="1" applyFill="1" applyBorder="1" applyAlignment="1">
      <alignment horizontal="center"/>
    </xf>
    <xf numFmtId="10" fontId="17" fillId="3" borderId="23" xfId="3" applyNumberFormat="1" applyFont="1" applyFill="1" applyBorder="1" applyAlignment="1">
      <alignment horizontal="center"/>
    </xf>
    <xf numFmtId="165" fontId="14" fillId="3" borderId="0" xfId="2" applyNumberFormat="1" applyFont="1" applyFill="1" applyBorder="1"/>
    <xf numFmtId="165" fontId="34" fillId="3" borderId="0" xfId="2" applyNumberFormat="1" applyFont="1" applyFill="1" applyBorder="1"/>
    <xf numFmtId="179" fontId="10" fillId="3" borderId="7" xfId="0" applyNumberFormat="1" applyFont="1" applyFill="1" applyBorder="1"/>
    <xf numFmtId="170" fontId="14" fillId="4" borderId="42" xfId="0" applyFont="1" applyFill="1" applyBorder="1"/>
    <xf numFmtId="170" fontId="10" fillId="4" borderId="40" xfId="0" applyFont="1" applyFill="1" applyBorder="1" applyAlignment="1">
      <alignment horizontal="center"/>
    </xf>
    <xf numFmtId="170" fontId="10" fillId="4" borderId="4" xfId="0" applyFont="1" applyFill="1" applyBorder="1" applyAlignment="1">
      <alignment horizontal="center"/>
    </xf>
    <xf numFmtId="168" fontId="5" fillId="2" borderId="24" xfId="1" applyNumberFormat="1" applyFont="1" applyFill="1" applyBorder="1" applyAlignment="1">
      <alignment horizontal="center"/>
    </xf>
    <xf numFmtId="170" fontId="21" fillId="3" borderId="9" xfId="0" applyFont="1" applyFill="1" applyBorder="1" applyAlignment="1">
      <alignment horizontal="left"/>
    </xf>
    <xf numFmtId="170" fontId="10" fillId="3" borderId="9" xfId="0" applyFont="1" applyFill="1" applyBorder="1" applyAlignment="1">
      <alignment horizontal="left"/>
    </xf>
    <xf numFmtId="165" fontId="34" fillId="3" borderId="0" xfId="2" applyNumberFormat="1" applyFont="1" applyFill="1" applyBorder="1" applyAlignment="1">
      <alignment horizontal="right"/>
    </xf>
    <xf numFmtId="165" fontId="17" fillId="3" borderId="0" xfId="2" applyNumberFormat="1" applyFont="1" applyFill="1" applyBorder="1" applyAlignment="1">
      <alignment horizontal="right"/>
    </xf>
    <xf numFmtId="10" fontId="20" fillId="3" borderId="0" xfId="3" applyNumberFormat="1" applyFont="1" applyFill="1" applyBorder="1" applyAlignment="1">
      <alignment horizontal="right"/>
    </xf>
    <xf numFmtId="165" fontId="16" fillId="3" borderId="0" xfId="2" applyNumberFormat="1" applyFont="1" applyFill="1" applyBorder="1" applyAlignment="1">
      <alignment horizontal="right"/>
    </xf>
    <xf numFmtId="165" fontId="2" fillId="11" borderId="16" xfId="2" applyNumberFormat="1" applyFont="1" applyFill="1" applyBorder="1"/>
    <xf numFmtId="170" fontId="2" fillId="11" borderId="17" xfId="0" applyFont="1" applyFill="1" applyBorder="1" applyAlignment="1">
      <alignment horizontal="right"/>
    </xf>
    <xf numFmtId="177" fontId="2" fillId="11" borderId="17" xfId="0" applyNumberFormat="1" applyFont="1" applyFill="1" applyBorder="1"/>
    <xf numFmtId="165" fontId="2" fillId="11" borderId="44" xfId="2" applyNumberFormat="1" applyFont="1" applyFill="1" applyBorder="1"/>
    <xf numFmtId="165" fontId="2" fillId="11" borderId="45" xfId="2" applyNumberFormat="1" applyFont="1" applyFill="1" applyBorder="1"/>
    <xf numFmtId="170" fontId="0" fillId="11" borderId="17" xfId="0" applyFill="1" applyBorder="1"/>
    <xf numFmtId="177" fontId="2" fillId="11" borderId="17" xfId="0" applyNumberFormat="1" applyFont="1" applyFill="1" applyBorder="1" applyAlignment="1">
      <alignment horizontal="left"/>
    </xf>
    <xf numFmtId="177" fontId="2" fillId="11" borderId="44" xfId="3" applyNumberFormat="1" applyFont="1" applyFill="1" applyBorder="1" applyAlignment="1">
      <alignment horizontal="left"/>
    </xf>
    <xf numFmtId="10" fontId="2" fillId="11" borderId="17" xfId="3" applyNumberFormat="1" applyFont="1" applyFill="1" applyBorder="1" applyAlignment="1">
      <alignment horizontal="center"/>
    </xf>
    <xf numFmtId="10" fontId="2" fillId="11" borderId="18" xfId="3" applyNumberFormat="1" applyFont="1" applyFill="1" applyBorder="1"/>
    <xf numFmtId="165" fontId="2" fillId="11" borderId="11" xfId="2" applyNumberFormat="1" applyFont="1" applyFill="1" applyBorder="1"/>
    <xf numFmtId="170" fontId="2" fillId="11" borderId="12" xfId="0" applyFont="1" applyFill="1" applyBorder="1" applyAlignment="1">
      <alignment horizontal="right"/>
    </xf>
    <xf numFmtId="177" fontId="2" fillId="11" borderId="12" xfId="0" applyNumberFormat="1" applyFont="1" applyFill="1" applyBorder="1"/>
    <xf numFmtId="165" fontId="2" fillId="11" borderId="41" xfId="2" applyNumberFormat="1" applyFont="1" applyFill="1" applyBorder="1"/>
    <xf numFmtId="165" fontId="2" fillId="11" borderId="43" xfId="2" applyNumberFormat="1" applyFont="1" applyFill="1" applyBorder="1"/>
    <xf numFmtId="170" fontId="0" fillId="11" borderId="12" xfId="0" applyFill="1" applyBorder="1"/>
    <xf numFmtId="10" fontId="2" fillId="11" borderId="12" xfId="3" applyNumberFormat="1" applyFont="1" applyFill="1" applyBorder="1" applyAlignment="1">
      <alignment horizontal="center"/>
    </xf>
    <xf numFmtId="10" fontId="2" fillId="11" borderId="41" xfId="3" applyNumberFormat="1" applyFont="1" applyFill="1" applyBorder="1" applyAlignment="1">
      <alignment horizontal="center"/>
    </xf>
    <xf numFmtId="10" fontId="2" fillId="11" borderId="13" xfId="3" applyNumberFormat="1" applyFont="1" applyFill="1" applyBorder="1"/>
    <xf numFmtId="44" fontId="35" fillId="4" borderId="9" xfId="2" applyFont="1" applyFill="1" applyBorder="1" applyAlignment="1">
      <alignment horizontal="right"/>
    </xf>
    <xf numFmtId="165" fontId="11" fillId="11" borderId="26" xfId="2" applyNumberFormat="1" applyFont="1" applyFill="1" applyBorder="1"/>
    <xf numFmtId="10" fontId="37" fillId="2" borderId="5" xfId="3" applyNumberFormat="1" applyFont="1" applyFill="1" applyBorder="1" applyAlignment="1">
      <alignment horizontal="right"/>
    </xf>
    <xf numFmtId="165" fontId="11" fillId="11" borderId="28" xfId="2" applyNumberFormat="1" applyFont="1" applyFill="1" applyBorder="1"/>
    <xf numFmtId="165" fontId="29" fillId="0" borderId="5" xfId="2" applyNumberFormat="1" applyFont="1" applyFill="1" applyBorder="1" applyAlignment="1">
      <alignment horizontal="center"/>
    </xf>
    <xf numFmtId="165" fontId="28" fillId="10" borderId="29" xfId="2" applyNumberFormat="1" applyFont="1" applyFill="1" applyBorder="1" applyAlignment="1">
      <alignment horizontal="right" vertical="center"/>
    </xf>
    <xf numFmtId="165" fontId="28" fillId="10" borderId="30" xfId="2" applyNumberFormat="1" applyFont="1" applyFill="1" applyBorder="1" applyAlignment="1">
      <alignment horizontal="right" vertical="center"/>
    </xf>
    <xf numFmtId="165" fontId="28" fillId="10" borderId="31" xfId="2" applyNumberFormat="1" applyFont="1" applyFill="1" applyBorder="1" applyAlignment="1">
      <alignment horizontal="right" vertical="center"/>
    </xf>
    <xf numFmtId="165" fontId="28" fillId="10" borderId="32" xfId="2" applyNumberFormat="1" applyFont="1" applyFill="1" applyBorder="1" applyAlignment="1">
      <alignment horizontal="right" vertical="center"/>
    </xf>
    <xf numFmtId="165" fontId="28" fillId="10" borderId="33" xfId="2" applyNumberFormat="1" applyFont="1" applyFill="1" applyBorder="1" applyAlignment="1">
      <alignment horizontal="right" vertical="center"/>
    </xf>
    <xf numFmtId="165" fontId="28" fillId="10" borderId="34" xfId="2" applyNumberFormat="1" applyFont="1" applyFill="1" applyBorder="1" applyAlignment="1">
      <alignment horizontal="right" vertical="center"/>
    </xf>
    <xf numFmtId="165" fontId="28" fillId="10" borderId="35" xfId="2" applyNumberFormat="1" applyFont="1" applyFill="1" applyBorder="1" applyAlignment="1">
      <alignment horizontal="right" vertical="center"/>
    </xf>
    <xf numFmtId="165" fontId="28" fillId="10" borderId="36" xfId="2" applyNumberFormat="1" applyFont="1" applyFill="1" applyBorder="1" applyAlignment="1">
      <alignment horizontal="right" vertical="center"/>
    </xf>
    <xf numFmtId="165" fontId="28" fillId="10" borderId="37" xfId="2" applyNumberFormat="1" applyFont="1" applyFill="1" applyBorder="1" applyAlignment="1">
      <alignment horizontal="right" vertical="center"/>
    </xf>
    <xf numFmtId="10" fontId="11" fillId="11" borderId="28" xfId="3" applyNumberFormat="1" applyFont="1" applyFill="1" applyBorder="1"/>
    <xf numFmtId="10" fontId="14" fillId="3" borderId="0" xfId="3" applyNumberFormat="1" applyFont="1" applyFill="1" applyBorder="1" applyAlignment="1">
      <alignment horizontal="center"/>
    </xf>
    <xf numFmtId="171" fontId="14" fillId="3" borderId="3" xfId="0" applyNumberFormat="1" applyFont="1" applyFill="1" applyBorder="1" applyAlignment="1">
      <alignment horizontal="right"/>
    </xf>
    <xf numFmtId="10" fontId="17" fillId="3" borderId="4" xfId="3" applyNumberFormat="1" applyFont="1" applyFill="1" applyBorder="1" applyAlignment="1">
      <alignment horizontal="center"/>
    </xf>
    <xf numFmtId="171" fontId="14" fillId="3" borderId="14" xfId="0" applyNumberFormat="1" applyFont="1" applyFill="1" applyBorder="1" applyAlignment="1">
      <alignment horizontal="right"/>
    </xf>
    <xf numFmtId="10" fontId="14" fillId="3" borderId="1" xfId="3" applyNumberFormat="1" applyFont="1" applyFill="1" applyBorder="1" applyAlignment="1">
      <alignment horizontal="center"/>
    </xf>
    <xf numFmtId="175" fontId="14" fillId="3" borderId="1" xfId="0" applyNumberFormat="1" applyFont="1" applyFill="1" applyBorder="1" applyAlignment="1">
      <alignment horizontal="center"/>
    </xf>
    <xf numFmtId="10" fontId="17" fillId="3" borderId="15" xfId="3" applyNumberFormat="1" applyFont="1" applyFill="1" applyBorder="1" applyAlignment="1">
      <alignment horizontal="center"/>
    </xf>
    <xf numFmtId="9" fontId="0" fillId="15" borderId="22" xfId="3" applyFont="1" applyFill="1" applyBorder="1"/>
    <xf numFmtId="9" fontId="0" fillId="15" borderId="3" xfId="3" applyFont="1" applyFill="1" applyBorder="1"/>
    <xf numFmtId="170" fontId="0" fillId="15" borderId="3" xfId="0" applyFill="1" applyBorder="1"/>
    <xf numFmtId="167" fontId="17" fillId="14" borderId="24" xfId="0" applyNumberFormat="1" applyFont="1" applyFill="1" applyBorder="1"/>
    <xf numFmtId="9" fontId="12" fillId="5" borderId="12" xfId="3" applyFont="1" applyFill="1" applyBorder="1" applyAlignment="1">
      <alignment horizontal="center"/>
    </xf>
    <xf numFmtId="10" fontId="37" fillId="2" borderId="21" xfId="3" applyNumberFormat="1" applyFont="1" applyFill="1" applyBorder="1" applyAlignment="1">
      <alignment horizontal="right"/>
    </xf>
    <xf numFmtId="164" fontId="11" fillId="5" borderId="27" xfId="3" applyNumberFormat="1" applyFont="1" applyFill="1" applyBorder="1" applyAlignment="1">
      <alignment horizontal="center"/>
    </xf>
    <xf numFmtId="164" fontId="12" fillId="5" borderId="27" xfId="3" applyNumberFormat="1" applyFont="1" applyFill="1" applyBorder="1" applyAlignment="1">
      <alignment horizontal="center"/>
    </xf>
    <xf numFmtId="44" fontId="35" fillId="4" borderId="26" xfId="2" applyFont="1" applyFill="1" applyBorder="1" applyAlignment="1">
      <alignment horizontal="right"/>
    </xf>
    <xf numFmtId="44" fontId="35" fillId="4" borderId="27" xfId="2" applyFont="1" applyFill="1" applyBorder="1" applyAlignment="1">
      <alignment horizontal="right"/>
    </xf>
    <xf numFmtId="44" fontId="35" fillId="4" borderId="28" xfId="2" applyFont="1" applyFill="1" applyBorder="1" applyAlignment="1">
      <alignment horizontal="right"/>
    </xf>
    <xf numFmtId="165" fontId="11" fillId="9" borderId="19" xfId="2" applyNumberFormat="1" applyFont="1" applyFill="1" applyBorder="1" applyAlignment="1">
      <alignment horizontal="right"/>
    </xf>
    <xf numFmtId="182" fontId="13" fillId="8" borderId="27" xfId="2" applyNumberFormat="1" applyFont="1" applyFill="1" applyBorder="1" applyAlignment="1">
      <alignment horizontal="center"/>
    </xf>
    <xf numFmtId="182" fontId="8" fillId="2" borderId="5" xfId="2" applyNumberFormat="1" applyFont="1" applyFill="1" applyBorder="1"/>
    <xf numFmtId="164" fontId="11" fillId="9" borderId="20" xfId="3" applyNumberFormat="1" applyFont="1" applyFill="1" applyBorder="1" applyAlignment="1">
      <alignment horizontal="right"/>
    </xf>
    <xf numFmtId="164" fontId="8" fillId="2" borderId="5" xfId="3" applyNumberFormat="1" applyFont="1" applyFill="1" applyBorder="1"/>
    <xf numFmtId="164" fontId="11" fillId="9" borderId="19" xfId="3" applyNumberFormat="1" applyFont="1" applyFill="1" applyBorder="1" applyAlignment="1">
      <alignment horizontal="right"/>
    </xf>
    <xf numFmtId="164" fontId="11" fillId="9" borderId="21" xfId="3" applyNumberFormat="1" applyFont="1" applyFill="1" applyBorder="1" applyAlignment="1">
      <alignment horizontal="right"/>
    </xf>
    <xf numFmtId="9" fontId="0" fillId="15" borderId="46" xfId="3" applyFont="1" applyFill="1" applyBorder="1"/>
    <xf numFmtId="170" fontId="10" fillId="3" borderId="0" xfId="0" applyFont="1" applyFill="1"/>
    <xf numFmtId="170" fontId="17" fillId="3" borderId="0" xfId="0" applyFont="1" applyFill="1" applyAlignment="1">
      <alignment horizontal="right"/>
    </xf>
    <xf numFmtId="170" fontId="17" fillId="3" borderId="0" xfId="0" applyFont="1" applyFill="1" applyAlignment="1">
      <alignment horizontal="center"/>
    </xf>
    <xf numFmtId="170" fontId="19" fillId="3" borderId="0" xfId="0" applyFont="1" applyFill="1" applyAlignment="1">
      <alignment horizontal="center"/>
    </xf>
    <xf numFmtId="173" fontId="10" fillId="3" borderId="0" xfId="0" applyNumberFormat="1" applyFont="1" applyFill="1"/>
    <xf numFmtId="170" fontId="19" fillId="3" borderId="0" xfId="0" applyFont="1" applyFill="1" applyAlignment="1">
      <alignment horizontal="right"/>
    </xf>
    <xf numFmtId="174" fontId="10" fillId="3" borderId="0" xfId="0" applyNumberFormat="1" applyFont="1" applyFill="1" applyAlignment="1">
      <alignment horizontal="center"/>
    </xf>
    <xf numFmtId="175" fontId="10" fillId="3" borderId="0" xfId="0" applyNumberFormat="1" applyFont="1" applyFill="1" applyAlignment="1">
      <alignment horizontal="right"/>
    </xf>
    <xf numFmtId="176" fontId="14" fillId="3" borderId="0" xfId="0" applyNumberFormat="1" applyFont="1" applyFill="1" applyAlignment="1">
      <alignment horizontal="right"/>
    </xf>
    <xf numFmtId="175" fontId="10" fillId="3" borderId="0" xfId="0" applyNumberFormat="1" applyFont="1" applyFill="1" applyAlignment="1">
      <alignment horizontal="center"/>
    </xf>
    <xf numFmtId="176" fontId="10" fillId="3" borderId="0" xfId="0" applyNumberFormat="1" applyFont="1" applyFill="1" applyAlignment="1">
      <alignment horizontal="right"/>
    </xf>
    <xf numFmtId="171" fontId="10" fillId="3" borderId="0" xfId="0" applyNumberFormat="1" applyFont="1" applyFill="1"/>
    <xf numFmtId="176" fontId="17" fillId="3" borderId="0" xfId="0" applyNumberFormat="1" applyFont="1" applyFill="1" applyAlignment="1">
      <alignment horizontal="right"/>
    </xf>
    <xf numFmtId="10" fontId="17" fillId="3" borderId="0" xfId="0" applyNumberFormat="1" applyFont="1" applyFill="1" applyAlignment="1">
      <alignment horizontal="center"/>
    </xf>
    <xf numFmtId="175" fontId="18" fillId="3" borderId="0" xfId="0" applyNumberFormat="1" applyFont="1" applyFill="1" applyAlignment="1">
      <alignment horizontal="right"/>
    </xf>
    <xf numFmtId="176" fontId="19" fillId="3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center"/>
    </xf>
    <xf numFmtId="176" fontId="18" fillId="3" borderId="0" xfId="0" applyNumberFormat="1" applyFont="1" applyFill="1" applyAlignment="1">
      <alignment horizontal="right"/>
    </xf>
    <xf numFmtId="173" fontId="18" fillId="3" borderId="0" xfId="0" applyNumberFormat="1" applyFont="1" applyFill="1"/>
    <xf numFmtId="175" fontId="17" fillId="3" borderId="0" xfId="0" applyNumberFormat="1" applyFont="1" applyFill="1" applyAlignment="1">
      <alignment horizontal="right"/>
    </xf>
    <xf numFmtId="173" fontId="17" fillId="3" borderId="0" xfId="0" applyNumberFormat="1" applyFont="1" applyFill="1"/>
    <xf numFmtId="173" fontId="31" fillId="3" borderId="0" xfId="0" applyNumberFormat="1" applyFont="1" applyFill="1"/>
    <xf numFmtId="176" fontId="20" fillId="3" borderId="0" xfId="0" applyNumberFormat="1" applyFont="1" applyFill="1" applyAlignment="1">
      <alignment horizontal="right"/>
    </xf>
    <xf numFmtId="173" fontId="19" fillId="3" borderId="0" xfId="0" applyNumberFormat="1" applyFont="1" applyFill="1"/>
    <xf numFmtId="174" fontId="23" fillId="3" borderId="0" xfId="0" applyNumberFormat="1" applyFont="1" applyFill="1" applyAlignment="1">
      <alignment horizontal="right"/>
    </xf>
    <xf numFmtId="173" fontId="16" fillId="3" borderId="0" xfId="0" applyNumberFormat="1" applyFont="1" applyFill="1"/>
    <xf numFmtId="174" fontId="14" fillId="3" borderId="0" xfId="0" applyNumberFormat="1" applyFont="1" applyFill="1"/>
    <xf numFmtId="175" fontId="17" fillId="3" borderId="0" xfId="0" applyNumberFormat="1" applyFont="1" applyFill="1" applyAlignment="1">
      <alignment horizontal="center"/>
    </xf>
    <xf numFmtId="177" fontId="16" fillId="3" borderId="0" xfId="0" applyNumberFormat="1" applyFont="1" applyFill="1"/>
    <xf numFmtId="10" fontId="10" fillId="3" borderId="0" xfId="0" applyNumberFormat="1" applyFont="1" applyFill="1" applyAlignment="1">
      <alignment horizontal="center"/>
    </xf>
    <xf numFmtId="170" fontId="14" fillId="3" borderId="0" xfId="0" applyFont="1" applyFill="1" applyAlignment="1">
      <alignment horizontal="right"/>
    </xf>
    <xf numFmtId="10" fontId="18" fillId="3" borderId="0" xfId="0" applyNumberFormat="1" applyFont="1" applyFill="1" applyAlignment="1">
      <alignment horizontal="center"/>
    </xf>
    <xf numFmtId="178" fontId="10" fillId="3" borderId="0" xfId="0" applyNumberFormat="1" applyFont="1" applyFill="1"/>
    <xf numFmtId="173" fontId="14" fillId="3" borderId="0" xfId="0" applyNumberFormat="1" applyFont="1" applyFill="1"/>
    <xf numFmtId="177" fontId="10" fillId="3" borderId="0" xfId="0" applyNumberFormat="1" applyFont="1" applyFill="1"/>
    <xf numFmtId="177" fontId="18" fillId="3" borderId="0" xfId="0" applyNumberFormat="1" applyFont="1" applyFill="1"/>
    <xf numFmtId="170" fontId="10" fillId="3" borderId="0" xfId="0" applyFont="1" applyFill="1" applyAlignment="1">
      <alignment horizontal="center"/>
    </xf>
    <xf numFmtId="179" fontId="10" fillId="3" borderId="0" xfId="0" applyNumberFormat="1" applyFont="1" applyFill="1"/>
    <xf numFmtId="174" fontId="10" fillId="3" borderId="0" xfId="0" applyNumberFormat="1" applyFont="1" applyFill="1"/>
    <xf numFmtId="172" fontId="10" fillId="3" borderId="0" xfId="0" applyNumberFormat="1" applyFont="1" applyFill="1" applyAlignment="1">
      <alignment horizontal="center"/>
    </xf>
    <xf numFmtId="171" fontId="10" fillId="3" borderId="0" xfId="0" applyNumberFormat="1" applyFont="1" applyFill="1" applyAlignment="1">
      <alignment horizontal="right"/>
    </xf>
    <xf numFmtId="177" fontId="10" fillId="3" borderId="0" xfId="0" applyNumberFormat="1" applyFont="1" applyFill="1" applyAlignment="1">
      <alignment horizontal="center"/>
    </xf>
    <xf numFmtId="3" fontId="20" fillId="3" borderId="0" xfId="0" applyNumberFormat="1" applyFont="1" applyFill="1"/>
    <xf numFmtId="175" fontId="10" fillId="3" borderId="0" xfId="0" applyNumberFormat="1" applyFont="1" applyFill="1"/>
    <xf numFmtId="177" fontId="10" fillId="3" borderId="0" xfId="0" applyNumberFormat="1" applyFont="1" applyFill="1" applyAlignment="1">
      <alignment horizontal="right"/>
    </xf>
    <xf numFmtId="175" fontId="14" fillId="3" borderId="0" xfId="0" applyNumberFormat="1" applyFont="1" applyFill="1" applyAlignment="1">
      <alignment horizontal="center"/>
    </xf>
    <xf numFmtId="181" fontId="14" fillId="3" borderId="0" xfId="0" applyNumberFormat="1" applyFont="1" applyFill="1"/>
    <xf numFmtId="165" fontId="17" fillId="3" borderId="0" xfId="0" applyNumberFormat="1" applyFont="1" applyFill="1"/>
    <xf numFmtId="165" fontId="16" fillId="3" borderId="0" xfId="0" applyNumberFormat="1" applyFont="1" applyFill="1"/>
    <xf numFmtId="167" fontId="10" fillId="3" borderId="0" xfId="0" applyNumberFormat="1" applyFont="1" applyFill="1"/>
    <xf numFmtId="170" fontId="17" fillId="3" borderId="0" xfId="0" applyFont="1" applyFill="1"/>
    <xf numFmtId="180" fontId="27" fillId="6" borderId="0" xfId="1" applyNumberFormat="1" applyFont="1" applyFill="1" applyBorder="1" applyAlignment="1">
      <alignment horizontal="center"/>
    </xf>
    <xf numFmtId="170" fontId="21" fillId="3" borderId="0" xfId="0" applyFont="1" applyFill="1" applyAlignment="1">
      <alignment horizontal="right"/>
    </xf>
    <xf numFmtId="170" fontId="10" fillId="3" borderId="0" xfId="0" applyFont="1" applyFill="1" applyAlignment="1">
      <alignment horizontal="left"/>
    </xf>
    <xf numFmtId="169" fontId="36" fillId="5" borderId="6" xfId="1" applyNumberFormat="1" applyFont="1" applyFill="1" applyBorder="1" applyAlignment="1">
      <alignment horizontal="center"/>
    </xf>
    <xf numFmtId="169" fontId="36" fillId="5" borderId="7" xfId="1" applyNumberFormat="1" applyFont="1" applyFill="1" applyBorder="1" applyAlignment="1">
      <alignment horizontal="center"/>
    </xf>
    <xf numFmtId="170" fontId="0" fillId="0" borderId="8" xfId="0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ont>
        <b/>
        <i val="0"/>
        <strike val="0"/>
        <color rgb="FF0070C0"/>
      </font>
      <fill>
        <patternFill>
          <bgColor theme="0"/>
        </patternFill>
      </fill>
    </dxf>
    <dxf>
      <font>
        <b/>
        <i val="0"/>
        <strike val="0"/>
        <color rgb="FF0070C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FF00"/>
      <color rgb="FF99FFCC"/>
      <color rgb="FF3E0DF1"/>
      <color rgb="FFFF3399"/>
      <color rgb="FFCCFFCC"/>
      <color rgb="FFFFFFCC"/>
      <color rgb="FF990000"/>
      <color rgb="FFCC66FF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stamp-duty-land-tax/nonresidential-and-mixed-use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tabColor rgb="FFFFFF00"/>
  </sheetPr>
  <dimension ref="A1:O149"/>
  <sheetViews>
    <sheetView tabSelected="1" zoomScale="75" zoomScaleNormal="75" workbookViewId="0">
      <selection activeCell="B9" sqref="B9"/>
    </sheetView>
  </sheetViews>
  <sheetFormatPr defaultRowHeight="13.2" x14ac:dyDescent="0.25"/>
  <cols>
    <col min="1" max="1" width="10.33203125" bestFit="1" customWidth="1"/>
    <col min="2" max="2" width="44.44140625" bestFit="1" customWidth="1"/>
    <col min="3" max="3" width="21.77734375" bestFit="1" customWidth="1"/>
    <col min="4" max="4" width="13.109375" bestFit="1" customWidth="1"/>
    <col min="5" max="6" width="11.6640625" bestFit="1" customWidth="1"/>
    <col min="7" max="7" width="13.109375" bestFit="1" customWidth="1"/>
    <col min="8" max="8" width="34.77734375" bestFit="1" customWidth="1"/>
    <col min="9" max="9" width="11.6640625" bestFit="1" customWidth="1"/>
    <col min="10" max="11" width="12.44140625" bestFit="1" customWidth="1"/>
    <col min="12" max="12" width="18.33203125" bestFit="1" customWidth="1"/>
    <col min="13" max="13" width="29.44140625" bestFit="1" customWidth="1"/>
    <col min="14" max="14" width="10.44140625" bestFit="1" customWidth="1"/>
    <col min="15" max="15" width="14.109375" bestFit="1" customWidth="1"/>
  </cols>
  <sheetData>
    <row r="1" spans="1:15" ht="13.8" thickBot="1" x14ac:dyDescent="0.3">
      <c r="B1" s="66" t="s">
        <v>112</v>
      </c>
      <c r="K1" s="25"/>
      <c r="N1" s="1"/>
    </row>
    <row r="2" spans="1:15" x14ac:dyDescent="0.25">
      <c r="B2" s="11" t="s">
        <v>5</v>
      </c>
      <c r="C2" s="12"/>
      <c r="D2" s="12"/>
      <c r="E2" s="12"/>
      <c r="F2" s="12"/>
      <c r="G2" s="12"/>
      <c r="H2" s="12"/>
      <c r="I2" s="12"/>
      <c r="J2" s="12"/>
      <c r="K2" s="12" t="s">
        <v>6</v>
      </c>
      <c r="L2" s="12"/>
      <c r="M2" s="13"/>
      <c r="N2" s="14"/>
      <c r="O2" s="1"/>
    </row>
    <row r="3" spans="1:15" x14ac:dyDescent="0.25">
      <c r="B3" s="15" t="s">
        <v>7</v>
      </c>
      <c r="C3" s="166"/>
      <c r="D3" s="167" t="s">
        <v>8</v>
      </c>
      <c r="E3" s="167" t="s">
        <v>8</v>
      </c>
      <c r="F3" s="168" t="s">
        <v>41</v>
      </c>
      <c r="G3" s="168" t="s">
        <v>41</v>
      </c>
      <c r="H3" s="169"/>
      <c r="I3" s="168"/>
      <c r="J3" s="168" t="s">
        <v>9</v>
      </c>
      <c r="K3" s="168" t="s">
        <v>9</v>
      </c>
      <c r="L3" s="168"/>
      <c r="M3" s="168" t="s">
        <v>9</v>
      </c>
      <c r="N3" s="16"/>
    </row>
    <row r="4" spans="1:15" ht="13.8" thickBot="1" x14ac:dyDescent="0.3">
      <c r="B4" s="17"/>
      <c r="C4" s="170" t="s">
        <v>6</v>
      </c>
      <c r="D4" s="171" t="s">
        <v>2</v>
      </c>
      <c r="E4" s="171" t="s">
        <v>2</v>
      </c>
      <c r="F4" s="169" t="s">
        <v>2</v>
      </c>
      <c r="G4" s="169" t="s">
        <v>0</v>
      </c>
      <c r="H4" s="169" t="s">
        <v>42</v>
      </c>
      <c r="I4" s="169"/>
      <c r="J4" s="169" t="s">
        <v>0</v>
      </c>
      <c r="K4" s="169" t="s">
        <v>1</v>
      </c>
      <c r="L4" s="169"/>
      <c r="M4" s="169" t="s">
        <v>10</v>
      </c>
      <c r="N4" s="16"/>
    </row>
    <row r="5" spans="1:15" ht="13.8" thickBot="1" x14ac:dyDescent="0.3">
      <c r="A5" s="147">
        <f>E5/E$22</f>
        <v>7.6003659971599802E-2</v>
      </c>
      <c r="B5" s="18" t="s">
        <v>43</v>
      </c>
      <c r="C5" s="172" t="s">
        <v>44</v>
      </c>
      <c r="D5" s="173">
        <f>E5/10.7639</f>
        <v>50.167690149481139</v>
      </c>
      <c r="E5" s="174">
        <v>540</v>
      </c>
      <c r="F5" s="175">
        <f>D5*H5</f>
        <v>40.134152119584911</v>
      </c>
      <c r="G5" s="176">
        <f>F5*10.7639</f>
        <v>432</v>
      </c>
      <c r="H5" s="67">
        <v>0.8</v>
      </c>
      <c r="I5" s="68">
        <f>D5/D$31</f>
        <v>6.5662109331431656E-2</v>
      </c>
      <c r="J5" s="19">
        <v>1000</v>
      </c>
      <c r="K5" s="177">
        <f>J5*10.7639</f>
        <v>10763.9</v>
      </c>
      <c r="L5" s="170"/>
      <c r="M5" s="170">
        <f>J5*(F5*10.7639)</f>
        <v>432000</v>
      </c>
      <c r="N5" s="16"/>
    </row>
    <row r="6" spans="1:15" x14ac:dyDescent="0.25">
      <c r="A6" s="148">
        <f>E6/E$22</f>
        <v>7.6003659971599802E-2</v>
      </c>
      <c r="B6" s="18" t="s">
        <v>45</v>
      </c>
      <c r="C6" s="172" t="s">
        <v>46</v>
      </c>
      <c r="D6" s="173">
        <f t="shared" ref="D6:D9" si="0">E6/10.7639</f>
        <v>50.167690149481139</v>
      </c>
      <c r="E6" s="178">
        <f>E5</f>
        <v>540</v>
      </c>
      <c r="F6" s="175">
        <f>D6*H6</f>
        <v>40.134152119584911</v>
      </c>
      <c r="G6" s="176">
        <f t="shared" ref="G6:G9" si="1">F6*10.7639</f>
        <v>432</v>
      </c>
      <c r="H6" s="179">
        <f>H$5</f>
        <v>0.8</v>
      </c>
      <c r="I6" s="69">
        <f>D6/D$31</f>
        <v>6.5662109331431656E-2</v>
      </c>
      <c r="J6" s="170">
        <f>J$5</f>
        <v>1000</v>
      </c>
      <c r="K6" s="177">
        <f t="shared" ref="K6:K9" si="2">J6*10.7639</f>
        <v>10763.9</v>
      </c>
      <c r="L6" s="170"/>
      <c r="M6" s="170">
        <f t="shared" ref="M6:M9" si="3">J6*(F6*10.7639)</f>
        <v>432000</v>
      </c>
      <c r="N6" s="20"/>
    </row>
    <row r="7" spans="1:15" x14ac:dyDescent="0.25">
      <c r="A7" s="148">
        <f>E7/E$22</f>
        <v>7.6003659971599802E-2</v>
      </c>
      <c r="B7" s="18" t="s">
        <v>47</v>
      </c>
      <c r="C7" s="172" t="s">
        <v>46</v>
      </c>
      <c r="D7" s="173">
        <f t="shared" si="0"/>
        <v>50.167690149481139</v>
      </c>
      <c r="E7" s="178">
        <f>E6</f>
        <v>540</v>
      </c>
      <c r="F7" s="175">
        <f>D7*H7</f>
        <v>40.134152119584911</v>
      </c>
      <c r="G7" s="176">
        <f t="shared" si="1"/>
        <v>432</v>
      </c>
      <c r="H7" s="179">
        <f>H$5</f>
        <v>0.8</v>
      </c>
      <c r="I7" s="69">
        <f>D7/D$31</f>
        <v>6.5662109331431656E-2</v>
      </c>
      <c r="J7" s="170">
        <f>J$5</f>
        <v>1000</v>
      </c>
      <c r="K7" s="177">
        <f t="shared" si="2"/>
        <v>10763.9</v>
      </c>
      <c r="L7" s="170"/>
      <c r="M7" s="170">
        <f t="shared" si="3"/>
        <v>432000</v>
      </c>
      <c r="N7" s="20"/>
      <c r="O7" s="1"/>
    </row>
    <row r="8" spans="1:15" x14ac:dyDescent="0.25">
      <c r="A8" s="148">
        <f>E8/E$22</f>
        <v>7.6003659971599802E-2</v>
      </c>
      <c r="B8" s="18" t="s">
        <v>48</v>
      </c>
      <c r="C8" s="172" t="s">
        <v>46</v>
      </c>
      <c r="D8" s="173">
        <f t="shared" si="0"/>
        <v>50.167690149481139</v>
      </c>
      <c r="E8" s="178">
        <f>E7</f>
        <v>540</v>
      </c>
      <c r="F8" s="175">
        <f>D8*H8</f>
        <v>40.134152119584911</v>
      </c>
      <c r="G8" s="176">
        <f t="shared" si="1"/>
        <v>432</v>
      </c>
      <c r="H8" s="179">
        <f>H$5</f>
        <v>0.8</v>
      </c>
      <c r="I8" s="69">
        <f>D8/D$31</f>
        <v>6.5662109331431656E-2</v>
      </c>
      <c r="J8" s="170">
        <f>J$5</f>
        <v>1000</v>
      </c>
      <c r="K8" s="177">
        <f t="shared" si="2"/>
        <v>10763.9</v>
      </c>
      <c r="L8" s="170"/>
      <c r="M8" s="170">
        <f t="shared" si="3"/>
        <v>432000</v>
      </c>
      <c r="N8" s="20"/>
      <c r="O8" s="1"/>
    </row>
    <row r="9" spans="1:15" x14ac:dyDescent="0.25">
      <c r="A9" s="148">
        <f>E9/E$22</f>
        <v>7.6003659971599802E-2</v>
      </c>
      <c r="B9" s="18" t="s">
        <v>49</v>
      </c>
      <c r="C9" s="172" t="s">
        <v>46</v>
      </c>
      <c r="D9" s="180">
        <f t="shared" si="0"/>
        <v>50.167690149481139</v>
      </c>
      <c r="E9" s="181">
        <f>E8</f>
        <v>540</v>
      </c>
      <c r="F9" s="182">
        <f>D9*H9</f>
        <v>40.134152119584911</v>
      </c>
      <c r="G9" s="183">
        <f t="shared" si="1"/>
        <v>432</v>
      </c>
      <c r="H9" s="179">
        <f>H$5</f>
        <v>0.8</v>
      </c>
      <c r="I9" s="69">
        <f>D9/D$31</f>
        <v>6.5662109331431656E-2</v>
      </c>
      <c r="J9" s="170">
        <f>J$5</f>
        <v>1000</v>
      </c>
      <c r="K9" s="177">
        <f t="shared" si="2"/>
        <v>10763.9</v>
      </c>
      <c r="L9" s="184"/>
      <c r="M9" s="184">
        <f t="shared" si="3"/>
        <v>432000</v>
      </c>
      <c r="N9" s="21"/>
      <c r="O9" s="70"/>
    </row>
    <row r="10" spans="1:15" x14ac:dyDescent="0.25">
      <c r="A10" s="149"/>
      <c r="B10" s="71"/>
      <c r="C10" s="172"/>
      <c r="D10" s="185">
        <f>SUM(D5:D9)</f>
        <v>250.83845074740569</v>
      </c>
      <c r="E10" s="178">
        <f>SUM(E5:E9)</f>
        <v>2700</v>
      </c>
      <c r="F10" s="175">
        <f>F5+F6+F7+F8+F9</f>
        <v>200.67076059792456</v>
      </c>
      <c r="G10" s="176">
        <f>G5+G6+G7+G8+G9</f>
        <v>2160</v>
      </c>
      <c r="H10" s="169"/>
      <c r="I10" s="69"/>
      <c r="J10" s="186"/>
      <c r="K10" s="177"/>
      <c r="L10" s="184"/>
      <c r="M10" s="187">
        <f>M5+M6+M7+M8+M9</f>
        <v>2160000</v>
      </c>
      <c r="N10" s="20"/>
      <c r="O10" s="1"/>
    </row>
    <row r="11" spans="1:15" ht="13.8" thickBot="1" x14ac:dyDescent="0.3">
      <c r="A11" s="149"/>
      <c r="B11" s="71"/>
      <c r="C11" s="172"/>
      <c r="D11" s="185"/>
      <c r="E11" s="178"/>
      <c r="F11" s="175"/>
      <c r="G11" s="176"/>
      <c r="H11" s="169"/>
      <c r="I11" s="69"/>
      <c r="J11" s="186"/>
      <c r="K11" s="177"/>
      <c r="L11" s="170"/>
      <c r="M11" s="186"/>
      <c r="N11" s="20"/>
      <c r="O11" s="1"/>
    </row>
    <row r="12" spans="1:15" ht="13.8" thickBot="1" x14ac:dyDescent="0.3">
      <c r="A12" s="148">
        <f>E12/E$22</f>
        <v>0.17691963071166844</v>
      </c>
      <c r="B12" s="18" t="s">
        <v>50</v>
      </c>
      <c r="C12" s="172" t="s">
        <v>51</v>
      </c>
      <c r="D12" s="173">
        <f>E12/10.7639</f>
        <v>116.77923429240332</v>
      </c>
      <c r="E12" s="174">
        <v>1257</v>
      </c>
      <c r="F12" s="175">
        <f>D12*H12</f>
        <v>93.423387433922656</v>
      </c>
      <c r="G12" s="176">
        <f>F12*10.7639</f>
        <v>1005.6</v>
      </c>
      <c r="H12" s="179">
        <f>H$5</f>
        <v>0.8</v>
      </c>
      <c r="I12" s="69">
        <f>D12/D$31</f>
        <v>0.15284679894372147</v>
      </c>
      <c r="J12" s="72">
        <f>SUM(1+O12)*J5</f>
        <v>1050</v>
      </c>
      <c r="K12" s="177">
        <f>J12*10.7639</f>
        <v>11302.094999999999</v>
      </c>
      <c r="L12" s="170"/>
      <c r="M12" s="170">
        <f t="shared" ref="M12:M14" si="4">J12*(F12*10.7639)</f>
        <v>1055880</v>
      </c>
      <c r="N12" s="20"/>
      <c r="O12" s="73">
        <v>0.05</v>
      </c>
    </row>
    <row r="13" spans="1:15" x14ac:dyDescent="0.25">
      <c r="A13" s="148">
        <f>E13/E$22</f>
        <v>0.11963539069603674</v>
      </c>
      <c r="B13" s="18" t="s">
        <v>52</v>
      </c>
      <c r="C13" s="172" t="s">
        <v>44</v>
      </c>
      <c r="D13" s="173">
        <f t="shared" ref="D13:D14" si="5">E13/10.7639</f>
        <v>78.967660420479575</v>
      </c>
      <c r="E13" s="174">
        <v>850</v>
      </c>
      <c r="F13" s="175">
        <f>D13*H13</f>
        <v>63.17412833638366</v>
      </c>
      <c r="G13" s="176">
        <f t="shared" ref="G13:G14" si="6">F13*10.7639</f>
        <v>680</v>
      </c>
      <c r="H13" s="179">
        <f>H$5</f>
        <v>0.8</v>
      </c>
      <c r="I13" s="69">
        <f>D13/D$31</f>
        <v>0.10335702394762392</v>
      </c>
      <c r="J13" s="170">
        <f>J$12</f>
        <v>1050</v>
      </c>
      <c r="K13" s="177">
        <f t="shared" ref="K13:K14" si="7">J13*10.7639</f>
        <v>11302.094999999999</v>
      </c>
      <c r="L13" s="170"/>
      <c r="M13" s="170">
        <f t="shared" si="4"/>
        <v>714000</v>
      </c>
      <c r="N13" s="20"/>
      <c r="O13" s="1"/>
    </row>
    <row r="14" spans="1:15" x14ac:dyDescent="0.25">
      <c r="A14" s="148">
        <f>E14/E$22</f>
        <v>0.13371014254262928</v>
      </c>
      <c r="B14" s="18" t="s">
        <v>53</v>
      </c>
      <c r="C14" s="172" t="s">
        <v>44</v>
      </c>
      <c r="D14" s="180">
        <f t="shared" si="5"/>
        <v>88.257973411124226</v>
      </c>
      <c r="E14" s="188">
        <v>950</v>
      </c>
      <c r="F14" s="182">
        <f>D14*H14</f>
        <v>70.606378728899386</v>
      </c>
      <c r="G14" s="183">
        <f t="shared" si="6"/>
        <v>760.00000000000011</v>
      </c>
      <c r="H14" s="179">
        <f>H$5</f>
        <v>0.8</v>
      </c>
      <c r="I14" s="69">
        <f>D14/D$31</f>
        <v>0.11551667382381496</v>
      </c>
      <c r="J14" s="170">
        <f>J$12</f>
        <v>1050</v>
      </c>
      <c r="K14" s="177">
        <f t="shared" si="7"/>
        <v>11302.094999999999</v>
      </c>
      <c r="L14" s="170"/>
      <c r="M14" s="184">
        <f t="shared" si="4"/>
        <v>798000.00000000012</v>
      </c>
      <c r="N14" s="20"/>
      <c r="O14" s="1"/>
    </row>
    <row r="15" spans="1:15" x14ac:dyDescent="0.25">
      <c r="A15" s="149"/>
      <c r="B15" s="71"/>
      <c r="C15" s="172"/>
      <c r="D15" s="185">
        <f>SUM(D12:D14)</f>
        <v>284.00486812400709</v>
      </c>
      <c r="E15" s="178">
        <f>SUM(E12:E14)</f>
        <v>3057</v>
      </c>
      <c r="F15" s="175">
        <f>F12+F13+F14</f>
        <v>227.20389449920569</v>
      </c>
      <c r="G15" s="176">
        <f>G12+G13+G14</f>
        <v>2445.6</v>
      </c>
      <c r="H15" s="169"/>
      <c r="I15" s="69"/>
      <c r="J15" s="186"/>
      <c r="K15" s="177"/>
      <c r="L15" s="170"/>
      <c r="M15" s="187">
        <f>M12+M13+M14</f>
        <v>2567880</v>
      </c>
      <c r="N15" s="20"/>
      <c r="O15" s="1"/>
    </row>
    <row r="16" spans="1:15" ht="13.8" thickBot="1" x14ac:dyDescent="0.3">
      <c r="A16" s="149"/>
      <c r="B16" s="71"/>
      <c r="C16" s="172"/>
      <c r="D16" s="185"/>
      <c r="E16" s="178"/>
      <c r="F16" s="175"/>
      <c r="G16" s="176"/>
      <c r="H16" s="169"/>
      <c r="I16" s="69"/>
      <c r="J16" s="186"/>
      <c r="K16" s="177"/>
      <c r="L16" s="170"/>
      <c r="M16" s="186"/>
      <c r="N16" s="20"/>
      <c r="O16" s="1"/>
    </row>
    <row r="17" spans="1:15" ht="13.8" thickBot="1" x14ac:dyDescent="0.3">
      <c r="A17" s="148">
        <f>E17/E$22</f>
        <v>0.11210942383713782</v>
      </c>
      <c r="B17" s="18" t="s">
        <v>54</v>
      </c>
      <c r="C17" s="172" t="s">
        <v>44</v>
      </c>
      <c r="D17" s="180">
        <f>E17/10.7639</f>
        <v>73.999999999999986</v>
      </c>
      <c r="E17" s="188">
        <v>796.52859999999987</v>
      </c>
      <c r="F17" s="182">
        <f>D17*H17</f>
        <v>59.199999999999989</v>
      </c>
      <c r="G17" s="183">
        <f>F17*10.7639</f>
        <v>637.2228799999998</v>
      </c>
      <c r="H17" s="179">
        <f>H$5</f>
        <v>0.8</v>
      </c>
      <c r="I17" s="69">
        <f>D17/D$31</f>
        <v>9.6855088923726268E-2</v>
      </c>
      <c r="J17" s="72">
        <f>SUM(1+O17)*J5</f>
        <v>1200</v>
      </c>
      <c r="K17" s="177">
        <f t="shared" ref="K17" si="8">J17*10.7639</f>
        <v>12916.68</v>
      </c>
      <c r="L17" s="170"/>
      <c r="M17" s="187">
        <f>J17*(F17*10.7639)</f>
        <v>764667.45599999977</v>
      </c>
      <c r="N17" s="20"/>
      <c r="O17" s="73">
        <v>0.2</v>
      </c>
    </row>
    <row r="18" spans="1:15" x14ac:dyDescent="0.25">
      <c r="A18" s="149"/>
      <c r="B18" s="18"/>
      <c r="C18" s="172"/>
      <c r="D18" s="185">
        <f>SUM(D17)</f>
        <v>73.999999999999986</v>
      </c>
      <c r="E18" s="178">
        <f>SUM(E17)</f>
        <v>796.52859999999987</v>
      </c>
      <c r="F18" s="175">
        <f>SUM(F17)</f>
        <v>59.199999999999989</v>
      </c>
      <c r="G18" s="176">
        <f>G17</f>
        <v>637.2228799999998</v>
      </c>
      <c r="H18" s="169"/>
      <c r="I18" s="69"/>
      <c r="J18" s="170"/>
      <c r="K18" s="177"/>
      <c r="L18" s="184"/>
      <c r="M18" s="189"/>
      <c r="N18" s="21"/>
      <c r="O18" s="70"/>
    </row>
    <row r="19" spans="1:15" x14ac:dyDescent="0.25">
      <c r="A19" s="149"/>
      <c r="B19" s="18"/>
      <c r="C19" s="172"/>
      <c r="D19" s="185"/>
      <c r="E19" s="178"/>
      <c r="F19" s="175"/>
      <c r="G19" s="176"/>
      <c r="H19" s="169"/>
      <c r="I19" s="69"/>
      <c r="J19" s="170"/>
      <c r="K19" s="177"/>
      <c r="L19" s="184"/>
      <c r="M19" s="184"/>
      <c r="N19" s="21"/>
    </row>
    <row r="20" spans="1:15" x14ac:dyDescent="0.25">
      <c r="A20" s="148">
        <f>E20/E$22</f>
        <v>7.7607112354528787E-2</v>
      </c>
      <c r="B20" s="18" t="s">
        <v>55</v>
      </c>
      <c r="C20" s="172"/>
      <c r="D20" s="173">
        <f>E20/10.7639</f>
        <v>51.226080000000003</v>
      </c>
      <c r="E20" s="174">
        <v>551.39240251199999</v>
      </c>
      <c r="F20" s="175"/>
      <c r="G20" s="176"/>
      <c r="H20" s="179"/>
      <c r="I20" s="69">
        <f>D20/D$31</f>
        <v>6.7047385589377256E-2</v>
      </c>
      <c r="J20" s="170"/>
      <c r="K20" s="177"/>
      <c r="L20" s="170"/>
      <c r="M20" s="170"/>
      <c r="N20" s="20"/>
      <c r="O20" s="70"/>
    </row>
    <row r="21" spans="1:15" x14ac:dyDescent="0.25">
      <c r="A21" s="148"/>
      <c r="B21" s="18"/>
      <c r="C21" s="172"/>
      <c r="D21" s="180"/>
      <c r="E21" s="174"/>
      <c r="F21" s="175"/>
      <c r="G21" s="176"/>
      <c r="H21" s="169"/>
      <c r="I21" s="69"/>
      <c r="J21" s="170"/>
      <c r="K21" s="177"/>
      <c r="L21" s="184"/>
      <c r="M21" s="184"/>
      <c r="N21" s="21"/>
      <c r="O21" s="1"/>
    </row>
    <row r="22" spans="1:15" x14ac:dyDescent="0.25">
      <c r="A22" s="165">
        <f>SUM(A5:A20)</f>
        <v>1</v>
      </c>
      <c r="B22" s="74"/>
      <c r="C22" s="190" t="s">
        <v>56</v>
      </c>
      <c r="D22" s="185">
        <f>D10+D15+D18+D20</f>
        <v>660.06939887141277</v>
      </c>
      <c r="E22" s="174">
        <f>E10+E15+E18+E20</f>
        <v>7104.9210025119992</v>
      </c>
      <c r="F22" s="175">
        <f>F10+F15+F18</f>
        <v>487.07465509713023</v>
      </c>
      <c r="G22" s="176">
        <f>G10+G15+G18</f>
        <v>5242.8228799999997</v>
      </c>
      <c r="H22" s="169"/>
      <c r="I22" s="69"/>
      <c r="J22" s="170"/>
      <c r="K22" s="177"/>
      <c r="L22" s="170"/>
      <c r="M22" s="191">
        <f>M10+M15+M17</f>
        <v>5492547.4560000002</v>
      </c>
      <c r="N22" s="20"/>
      <c r="O22" s="70"/>
    </row>
    <row r="23" spans="1:15" ht="13.8" thickBot="1" x14ac:dyDescent="0.3">
      <c r="B23" s="71"/>
      <c r="C23" s="172"/>
      <c r="D23" s="185"/>
      <c r="E23" s="178"/>
      <c r="F23" s="175"/>
      <c r="G23" s="176"/>
      <c r="H23" s="169"/>
      <c r="I23" s="69"/>
      <c r="J23" s="170"/>
      <c r="K23" s="177"/>
      <c r="L23" s="170"/>
      <c r="M23" s="167"/>
      <c r="N23" s="20"/>
      <c r="O23" s="1"/>
    </row>
    <row r="24" spans="1:15" ht="13.8" thickBot="1" x14ac:dyDescent="0.3">
      <c r="B24" s="75" t="s">
        <v>57</v>
      </c>
      <c r="C24" s="19">
        <v>90</v>
      </c>
      <c r="D24" s="185"/>
      <c r="E24" s="178"/>
      <c r="F24" s="175"/>
      <c r="G24" s="176"/>
      <c r="H24" s="169"/>
      <c r="I24" s="69"/>
      <c r="J24" s="170"/>
      <c r="K24" s="177"/>
      <c r="L24" s="170"/>
      <c r="M24" s="167"/>
      <c r="N24" s="20"/>
      <c r="O24" s="1"/>
    </row>
    <row r="25" spans="1:15" ht="13.8" thickBot="1" x14ac:dyDescent="0.3">
      <c r="B25" s="75" t="s">
        <v>58</v>
      </c>
      <c r="C25" s="73">
        <v>0.1</v>
      </c>
      <c r="D25" s="185"/>
      <c r="E25" s="178"/>
      <c r="F25" s="175"/>
      <c r="G25" s="176"/>
      <c r="H25" s="169"/>
      <c r="I25" s="69"/>
      <c r="J25" s="170"/>
      <c r="K25" s="177"/>
      <c r="L25" s="170"/>
      <c r="M25" s="167"/>
      <c r="N25" s="20"/>
      <c r="O25" s="1"/>
    </row>
    <row r="26" spans="1:15" ht="13.8" thickBot="1" x14ac:dyDescent="0.3">
      <c r="B26" s="18" t="s">
        <v>59</v>
      </c>
      <c r="C26" s="172" t="s">
        <v>60</v>
      </c>
      <c r="D26" s="173">
        <f>E26/10.7639</f>
        <v>34.652867455104563</v>
      </c>
      <c r="E26" s="174">
        <f>SUM(1119/3)</f>
        <v>373</v>
      </c>
      <c r="F26" s="175">
        <f>D26*H26</f>
        <v>30.967709968815516</v>
      </c>
      <c r="G26" s="176">
        <f>F26*10.7639</f>
        <v>333.33333333333331</v>
      </c>
      <c r="H26" s="67">
        <v>0.89365504915102767</v>
      </c>
      <c r="I26" s="69">
        <f>D26/D$31</f>
        <v>4.5355494038192605E-2</v>
      </c>
      <c r="J26" s="170">
        <f>C24/C25</f>
        <v>900</v>
      </c>
      <c r="K26" s="177">
        <f t="shared" ref="K26:K28" si="9">J26*10.7639</f>
        <v>9687.51</v>
      </c>
      <c r="L26" s="170"/>
      <c r="M26" s="170">
        <f>J26*(F26*10.7639)</f>
        <v>300000</v>
      </c>
      <c r="N26" s="20"/>
      <c r="O26" s="70"/>
    </row>
    <row r="27" spans="1:15" x14ac:dyDescent="0.25">
      <c r="B27" s="18" t="s">
        <v>59</v>
      </c>
      <c r="C27" s="172" t="s">
        <v>61</v>
      </c>
      <c r="D27" s="173">
        <f>E27/10.7639</f>
        <v>34.652867455104563</v>
      </c>
      <c r="E27" s="174">
        <f>SUM(1119/3)</f>
        <v>373</v>
      </c>
      <c r="F27" s="175">
        <f>D27*H27</f>
        <v>30.967709968815516</v>
      </c>
      <c r="G27" s="176">
        <f t="shared" ref="G27:G28" si="10">F27*10.7639</f>
        <v>333.33333333333331</v>
      </c>
      <c r="H27" s="179">
        <f>H$26</f>
        <v>0.89365504915102767</v>
      </c>
      <c r="I27" s="69">
        <f>D27/D$31</f>
        <v>4.5355494038192605E-2</v>
      </c>
      <c r="J27" s="170">
        <f>C24/C25</f>
        <v>900</v>
      </c>
      <c r="K27" s="177">
        <f t="shared" si="9"/>
        <v>9687.51</v>
      </c>
      <c r="L27" s="177"/>
      <c r="M27" s="170">
        <f t="shared" ref="M27:M28" si="11">J27*(F27*10.7639)</f>
        <v>300000</v>
      </c>
      <c r="N27" s="20"/>
      <c r="O27" s="70"/>
    </row>
    <row r="28" spans="1:15" x14ac:dyDescent="0.25">
      <c r="B28" s="18" t="s">
        <v>59</v>
      </c>
      <c r="C28" s="172" t="s">
        <v>62</v>
      </c>
      <c r="D28" s="180">
        <f>E28/10.7639</f>
        <v>34.652867455104563</v>
      </c>
      <c r="E28" s="188">
        <f>SUM(1119/3)</f>
        <v>373</v>
      </c>
      <c r="F28" s="182">
        <f>D28*H28</f>
        <v>30.967709968815516</v>
      </c>
      <c r="G28" s="183">
        <f t="shared" si="10"/>
        <v>333.33333333333331</v>
      </c>
      <c r="H28" s="179">
        <f>H$26</f>
        <v>0.89365504915102767</v>
      </c>
      <c r="I28" s="69">
        <f>D28/D$31</f>
        <v>4.5355494038192605E-2</v>
      </c>
      <c r="J28" s="170">
        <f>C24/C25</f>
        <v>900</v>
      </c>
      <c r="K28" s="177">
        <f t="shared" si="9"/>
        <v>9687.51</v>
      </c>
      <c r="L28" s="177"/>
      <c r="M28" s="184">
        <f t="shared" si="11"/>
        <v>300000</v>
      </c>
      <c r="N28" s="20"/>
      <c r="O28" s="70"/>
    </row>
    <row r="29" spans="1:15" x14ac:dyDescent="0.25">
      <c r="B29" s="76"/>
      <c r="C29" s="190" t="s">
        <v>63</v>
      </c>
      <c r="D29" s="185">
        <f>SUM(D26:D28)</f>
        <v>103.95860236531368</v>
      </c>
      <c r="E29" s="178">
        <f>SUM(E26:E28)</f>
        <v>1119</v>
      </c>
      <c r="F29" s="175">
        <f>SUM(F26:F28)</f>
        <v>92.903129906446551</v>
      </c>
      <c r="G29" s="176">
        <f>G26+G27+G28</f>
        <v>1000</v>
      </c>
      <c r="H29" s="177"/>
      <c r="I29" s="69"/>
      <c r="J29" s="170"/>
      <c r="K29" s="177"/>
      <c r="L29" s="177"/>
      <c r="M29" s="187">
        <f>M26+M27+M28</f>
        <v>900000</v>
      </c>
      <c r="N29" s="20"/>
      <c r="O29" s="70"/>
    </row>
    <row r="30" spans="1:15" x14ac:dyDescent="0.25">
      <c r="B30" s="18"/>
      <c r="C30" s="192"/>
      <c r="D30" s="180"/>
      <c r="E30" s="188"/>
      <c r="F30" s="175"/>
      <c r="G30" s="175"/>
      <c r="H30" s="177"/>
      <c r="I30" s="69"/>
      <c r="J30" s="170"/>
      <c r="K30" s="177"/>
      <c r="L30" s="170"/>
      <c r="M30" s="22"/>
      <c r="N30" s="20"/>
    </row>
    <row r="31" spans="1:15" x14ac:dyDescent="0.25">
      <c r="B31" s="74"/>
      <c r="C31" s="190" t="s">
        <v>64</v>
      </c>
      <c r="D31" s="185">
        <f>D22+D29</f>
        <v>764.02800123672648</v>
      </c>
      <c r="E31" s="178">
        <f>E22+E29</f>
        <v>8223.9210025119992</v>
      </c>
      <c r="F31" s="193">
        <f>F22+F29</f>
        <v>579.97778500357674</v>
      </c>
      <c r="G31" s="178">
        <f>G22+G29</f>
        <v>6242.8228799999997</v>
      </c>
      <c r="H31" s="177"/>
      <c r="I31" s="77">
        <f>SUM(I5:I30)</f>
        <v>1</v>
      </c>
      <c r="J31" s="170"/>
      <c r="K31" s="177"/>
      <c r="L31" s="177"/>
      <c r="M31" s="194">
        <f>M29</f>
        <v>900000</v>
      </c>
      <c r="N31" s="20"/>
      <c r="O31" s="70"/>
    </row>
    <row r="32" spans="1:15" x14ac:dyDescent="0.25">
      <c r="B32" s="71"/>
      <c r="C32" s="192"/>
      <c r="D32" s="185"/>
      <c r="E32" s="178"/>
      <c r="F32" s="179"/>
      <c r="G32" s="179"/>
      <c r="H32" s="167"/>
      <c r="I32" s="169"/>
      <c r="J32" s="186"/>
      <c r="K32" s="177"/>
      <c r="L32" s="170"/>
      <c r="M32" s="167"/>
      <c r="N32" s="20"/>
    </row>
    <row r="33" spans="2:15" x14ac:dyDescent="0.25">
      <c r="B33" s="18" t="s">
        <v>65</v>
      </c>
      <c r="C33" s="192"/>
      <c r="D33" s="173">
        <f>E33/10.7639</f>
        <v>165.00000000000003</v>
      </c>
      <c r="E33" s="174">
        <v>1776.0435000000002</v>
      </c>
      <c r="F33" s="195"/>
      <c r="G33" s="195"/>
      <c r="H33" s="196"/>
      <c r="I33" s="196"/>
      <c r="J33" s="186"/>
      <c r="K33" s="177"/>
      <c r="L33" s="170"/>
      <c r="M33" s="196"/>
      <c r="N33" s="20"/>
    </row>
    <row r="34" spans="2:15" x14ac:dyDescent="0.25">
      <c r="B34" s="18"/>
      <c r="C34" s="192"/>
      <c r="D34" s="180"/>
      <c r="E34" s="188"/>
      <c r="F34" s="197"/>
      <c r="G34" s="197"/>
      <c r="H34" s="22"/>
      <c r="I34" s="22"/>
      <c r="J34" s="186"/>
      <c r="K34" s="198"/>
      <c r="L34" s="199"/>
      <c r="M34" s="22"/>
      <c r="N34" s="20"/>
    </row>
    <row r="35" spans="2:15" x14ac:dyDescent="0.25">
      <c r="B35" s="18" t="s">
        <v>66</v>
      </c>
      <c r="C35" s="192"/>
      <c r="D35" s="173">
        <f>E35/10.7639</f>
        <v>80.000000000000014</v>
      </c>
      <c r="E35" s="174">
        <v>861.11200000000008</v>
      </c>
      <c r="F35" s="179"/>
      <c r="G35" s="179"/>
      <c r="H35" s="167"/>
      <c r="I35" s="167"/>
      <c r="J35" s="186"/>
      <c r="K35" s="177"/>
      <c r="L35" s="170"/>
      <c r="M35" s="167"/>
      <c r="N35" s="20"/>
    </row>
    <row r="36" spans="2:15" ht="13.8" thickBot="1" x14ac:dyDescent="0.3">
      <c r="B36" s="71"/>
      <c r="C36" s="192"/>
      <c r="D36" s="185"/>
      <c r="E36" s="178"/>
      <c r="F36" s="179"/>
      <c r="G36" s="179"/>
      <c r="H36" s="167"/>
      <c r="I36" s="167"/>
      <c r="J36" s="186"/>
      <c r="K36" s="177"/>
      <c r="L36" s="170"/>
      <c r="M36" s="167"/>
      <c r="N36" s="20"/>
    </row>
    <row r="37" spans="2:15" ht="13.8" thickBot="1" x14ac:dyDescent="0.3">
      <c r="B37" s="18" t="s">
        <v>67</v>
      </c>
      <c r="C37" s="192"/>
      <c r="D37" s="173" t="s">
        <v>39</v>
      </c>
      <c r="E37" s="73">
        <v>0.05</v>
      </c>
      <c r="F37" s="179"/>
      <c r="G37" s="179"/>
      <c r="H37" s="167"/>
      <c r="I37" s="167"/>
      <c r="J37" s="19">
        <v>300</v>
      </c>
      <c r="K37" s="177"/>
      <c r="L37" s="170"/>
      <c r="M37" s="200">
        <f>J37/E37</f>
        <v>6000</v>
      </c>
      <c r="N37" s="20"/>
    </row>
    <row r="38" spans="2:15" x14ac:dyDescent="0.25">
      <c r="B38" s="18" t="s">
        <v>68</v>
      </c>
      <c r="C38" s="192"/>
      <c r="D38" s="173" t="s">
        <v>39</v>
      </c>
      <c r="E38" s="37">
        <f>E37</f>
        <v>0.05</v>
      </c>
      <c r="F38" s="179"/>
      <c r="G38" s="179"/>
      <c r="H38" s="167"/>
      <c r="I38" s="167"/>
      <c r="J38" s="170">
        <f>J37</f>
        <v>300</v>
      </c>
      <c r="K38" s="177"/>
      <c r="L38" s="170"/>
      <c r="M38" s="200">
        <f t="shared" ref="M38:M42" si="12">J38/E38</f>
        <v>6000</v>
      </c>
      <c r="N38" s="20"/>
    </row>
    <row r="39" spans="2:15" x14ac:dyDescent="0.25">
      <c r="B39" s="18" t="s">
        <v>69</v>
      </c>
      <c r="C39" s="192"/>
      <c r="D39" s="173" t="s">
        <v>39</v>
      </c>
      <c r="E39" s="37">
        <f>E38</f>
        <v>0.05</v>
      </c>
      <c r="F39" s="179"/>
      <c r="G39" s="179"/>
      <c r="H39" s="167"/>
      <c r="I39" s="167"/>
      <c r="J39" s="170">
        <f t="shared" ref="J39:J42" si="13">J38</f>
        <v>300</v>
      </c>
      <c r="K39" s="177"/>
      <c r="L39" s="170"/>
      <c r="M39" s="200">
        <f t="shared" si="12"/>
        <v>6000</v>
      </c>
      <c r="N39" s="20"/>
    </row>
    <row r="40" spans="2:15" x14ac:dyDescent="0.25">
      <c r="B40" s="18" t="s">
        <v>70</v>
      </c>
      <c r="C40" s="192"/>
      <c r="D40" s="173" t="s">
        <v>39</v>
      </c>
      <c r="E40" s="37">
        <f>E39</f>
        <v>0.05</v>
      </c>
      <c r="F40" s="179"/>
      <c r="G40" s="179"/>
      <c r="H40" s="167"/>
      <c r="I40" s="167"/>
      <c r="J40" s="170">
        <f t="shared" si="13"/>
        <v>300</v>
      </c>
      <c r="K40" s="177"/>
      <c r="L40" s="170"/>
      <c r="M40" s="200">
        <f t="shared" si="12"/>
        <v>6000</v>
      </c>
      <c r="N40" s="20"/>
    </row>
    <row r="41" spans="2:15" x14ac:dyDescent="0.25">
      <c r="B41" s="18" t="s">
        <v>71</v>
      </c>
      <c r="C41" s="192"/>
      <c r="D41" s="173" t="s">
        <v>39</v>
      </c>
      <c r="E41" s="37">
        <f>E40</f>
        <v>0.05</v>
      </c>
      <c r="F41" s="179"/>
      <c r="G41" s="179"/>
      <c r="H41" s="167"/>
      <c r="I41" s="167"/>
      <c r="J41" s="170">
        <f t="shared" si="13"/>
        <v>300</v>
      </c>
      <c r="K41" s="177"/>
      <c r="L41" s="170"/>
      <c r="M41" s="200">
        <f t="shared" si="12"/>
        <v>6000</v>
      </c>
      <c r="N41" s="20"/>
    </row>
    <row r="42" spans="2:15" x14ac:dyDescent="0.25">
      <c r="B42" s="18" t="s">
        <v>72</v>
      </c>
      <c r="C42" s="192"/>
      <c r="D42" s="173" t="s">
        <v>39</v>
      </c>
      <c r="E42" s="37">
        <f>E41</f>
        <v>0.05</v>
      </c>
      <c r="F42" s="179"/>
      <c r="G42" s="179"/>
      <c r="H42" s="167"/>
      <c r="I42" s="167"/>
      <c r="J42" s="170">
        <f t="shared" si="13"/>
        <v>300</v>
      </c>
      <c r="K42" s="177"/>
      <c r="L42" s="170"/>
      <c r="M42" s="201">
        <f t="shared" si="12"/>
        <v>6000</v>
      </c>
      <c r="N42" s="21"/>
    </row>
    <row r="43" spans="2:15" x14ac:dyDescent="0.25">
      <c r="B43" s="18"/>
      <c r="C43" s="192"/>
      <c r="D43" s="185"/>
      <c r="E43" s="178"/>
      <c r="F43" s="179"/>
      <c r="G43" s="179"/>
      <c r="H43" s="167"/>
      <c r="I43" s="167"/>
      <c r="J43" s="186"/>
      <c r="K43" s="177"/>
      <c r="L43" s="170"/>
      <c r="M43" s="194">
        <f>M37+M38+M39+M40+M41+M42</f>
        <v>36000</v>
      </c>
      <c r="N43" s="20"/>
      <c r="O43" s="78"/>
    </row>
    <row r="44" spans="2:15" x14ac:dyDescent="0.25">
      <c r="B44" s="18"/>
      <c r="C44" s="192"/>
      <c r="D44" s="185"/>
      <c r="E44" s="178"/>
      <c r="F44" s="179"/>
      <c r="G44" s="179"/>
      <c r="H44" s="167"/>
      <c r="I44" s="167"/>
      <c r="J44" s="186"/>
      <c r="K44" s="177"/>
      <c r="L44" s="170"/>
      <c r="M44" s="167"/>
      <c r="N44" s="20"/>
    </row>
    <row r="45" spans="2:15" ht="13.8" thickBot="1" x14ac:dyDescent="0.3">
      <c r="B45" s="29"/>
      <c r="C45" s="30"/>
      <c r="D45" s="30"/>
      <c r="E45" s="30"/>
      <c r="F45" s="30"/>
      <c r="G45" s="30"/>
      <c r="H45" s="30"/>
      <c r="I45" s="30"/>
      <c r="J45" s="30" t="s">
        <v>6</v>
      </c>
      <c r="K45" s="30"/>
      <c r="L45" s="30"/>
      <c r="M45" s="30"/>
      <c r="N45" s="33">
        <f>M22+M31+M43</f>
        <v>6428547.4560000002</v>
      </c>
    </row>
    <row r="46" spans="2:15" x14ac:dyDescent="0.25">
      <c r="B46" s="11" t="s">
        <v>11</v>
      </c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3"/>
      <c r="N46" s="24"/>
      <c r="O46" s="25"/>
    </row>
    <row r="47" spans="2:15" ht="13.8" thickBot="1" x14ac:dyDescent="0.3">
      <c r="B47" s="26" t="s">
        <v>12</v>
      </c>
      <c r="C47" s="166"/>
      <c r="D47" s="166"/>
      <c r="E47" s="166"/>
      <c r="F47" s="166"/>
      <c r="G47" s="166"/>
      <c r="H47" s="202"/>
      <c r="I47" s="202"/>
      <c r="J47" s="166"/>
      <c r="K47" s="166"/>
      <c r="L47" s="166"/>
      <c r="M47" s="202"/>
      <c r="N47" s="27"/>
    </row>
    <row r="48" spans="2:15" ht="13.8" thickBot="1" x14ac:dyDescent="0.3">
      <c r="B48" s="18" t="s">
        <v>13</v>
      </c>
      <c r="C48" s="73">
        <v>0</v>
      </c>
      <c r="D48" s="202" t="s">
        <v>14</v>
      </c>
      <c r="E48" s="200">
        <f xml:space="preserve"> N45</f>
        <v>6428547.4560000002</v>
      </c>
      <c r="F48" s="166" t="s">
        <v>15</v>
      </c>
      <c r="G48" s="166"/>
      <c r="H48" s="202"/>
      <c r="I48" s="202"/>
      <c r="J48" s="79">
        <v>0.2</v>
      </c>
      <c r="K48" s="200">
        <f>(E48*C48)*(1+J48)</f>
        <v>0</v>
      </c>
      <c r="L48" s="166"/>
      <c r="M48" s="202"/>
      <c r="N48" s="27"/>
    </row>
    <row r="49" spans="2:15" ht="13.8" thickBot="1" x14ac:dyDescent="0.3">
      <c r="B49" s="18" t="s">
        <v>16</v>
      </c>
      <c r="C49" s="73">
        <v>0.01</v>
      </c>
      <c r="D49" s="202" t="s">
        <v>14</v>
      </c>
      <c r="E49" s="200">
        <f>N45</f>
        <v>6428547.4560000002</v>
      </c>
      <c r="F49" s="166" t="s">
        <v>15</v>
      </c>
      <c r="G49" s="166"/>
      <c r="H49" s="202"/>
      <c r="I49" s="202"/>
      <c r="J49" s="195">
        <f>J48</f>
        <v>0.2</v>
      </c>
      <c r="K49" s="200">
        <f>(E49*C49)*(1+J49)</f>
        <v>77142.569472000003</v>
      </c>
      <c r="L49" s="166"/>
      <c r="M49" s="202"/>
      <c r="N49" s="27"/>
    </row>
    <row r="50" spans="2:15" ht="13.8" thickBot="1" x14ac:dyDescent="0.3">
      <c r="B50" s="26" t="s">
        <v>17</v>
      </c>
      <c r="C50" s="28"/>
      <c r="D50" s="166"/>
      <c r="E50" s="166"/>
      <c r="F50" s="203" t="s">
        <v>6</v>
      </c>
      <c r="G50" s="203"/>
      <c r="H50" s="202"/>
      <c r="I50" s="202"/>
      <c r="J50" s="166"/>
      <c r="K50" s="166"/>
      <c r="L50" s="166"/>
      <c r="M50" s="202"/>
      <c r="N50" s="27"/>
    </row>
    <row r="51" spans="2:15" ht="13.8" thickBot="1" x14ac:dyDescent="0.3">
      <c r="B51" s="18" t="s">
        <v>13</v>
      </c>
      <c r="C51" s="73">
        <v>0</v>
      </c>
      <c r="D51" s="202" t="s">
        <v>14</v>
      </c>
      <c r="E51" s="200">
        <f>N45</f>
        <v>6428547.4560000002</v>
      </c>
      <c r="F51" s="166" t="s">
        <v>15</v>
      </c>
      <c r="G51" s="166"/>
      <c r="H51" s="202"/>
      <c r="I51" s="202"/>
      <c r="J51" s="195">
        <f>J48</f>
        <v>0.2</v>
      </c>
      <c r="K51" s="200">
        <f>(E51*C51)*(1+J51)</f>
        <v>0</v>
      </c>
      <c r="L51" s="166"/>
      <c r="M51" s="202"/>
      <c r="N51" s="27"/>
      <c r="O51" s="80"/>
    </row>
    <row r="52" spans="2:15" ht="13.8" thickBot="1" x14ac:dyDescent="0.3">
      <c r="B52" s="18" t="s">
        <v>16</v>
      </c>
      <c r="C52" s="73">
        <v>5.0000000000000001E-3</v>
      </c>
      <c r="D52" s="202" t="s">
        <v>14</v>
      </c>
      <c r="E52" s="200">
        <f>N45</f>
        <v>6428547.4560000002</v>
      </c>
      <c r="F52" s="166" t="s">
        <v>15</v>
      </c>
      <c r="G52" s="166"/>
      <c r="H52" s="202"/>
      <c r="I52" s="202"/>
      <c r="J52" s="195">
        <f>J48</f>
        <v>0.2</v>
      </c>
      <c r="K52" s="201">
        <f>(E52*C52)*(1+J52)</f>
        <v>38571.284736000001</v>
      </c>
      <c r="L52" s="166"/>
      <c r="M52" s="202"/>
      <c r="N52" s="27"/>
    </row>
    <row r="53" spans="2:15" ht="13.8" thickBot="1" x14ac:dyDescent="0.3">
      <c r="B53" s="29"/>
      <c r="C53" s="30"/>
      <c r="D53" s="30"/>
      <c r="E53" s="30"/>
      <c r="F53" s="30"/>
      <c r="G53" s="30"/>
      <c r="H53" s="31"/>
      <c r="I53" s="31"/>
      <c r="J53" s="31" t="s">
        <v>4</v>
      </c>
      <c r="K53" s="32"/>
      <c r="L53" s="32">
        <f>K48+K49+K51+K52</f>
        <v>115713.854208</v>
      </c>
      <c r="M53" s="31"/>
      <c r="N53" s="33">
        <f>N45-L53</f>
        <v>6312833.6017920002</v>
      </c>
    </row>
    <row r="54" spans="2:15" x14ac:dyDescent="0.25">
      <c r="B54" s="34" t="s">
        <v>18</v>
      </c>
      <c r="C54" s="35"/>
      <c r="D54" s="12"/>
      <c r="E54" s="12"/>
      <c r="F54" s="12"/>
      <c r="G54" s="35"/>
      <c r="H54" s="13"/>
      <c r="I54" s="13"/>
      <c r="J54" s="12"/>
      <c r="K54" s="12"/>
      <c r="L54" s="12"/>
      <c r="M54" s="13"/>
      <c r="N54" s="24"/>
    </row>
    <row r="55" spans="2:15" ht="13.8" thickBot="1" x14ac:dyDescent="0.3">
      <c r="B55" s="17"/>
      <c r="C55" s="166"/>
      <c r="D55" s="166"/>
      <c r="E55" s="166"/>
      <c r="F55" s="166"/>
      <c r="G55" s="166"/>
      <c r="H55" s="202"/>
      <c r="I55" s="202"/>
      <c r="J55" s="171" t="s">
        <v>73</v>
      </c>
      <c r="K55" s="166"/>
      <c r="L55" s="166"/>
      <c r="M55" s="202"/>
      <c r="N55" s="27"/>
    </row>
    <row r="56" spans="2:15" ht="13.8" thickBot="1" x14ac:dyDescent="0.3">
      <c r="B56" s="18" t="str">
        <f t="shared" ref="B56:C60" si="14">B5</f>
        <v>Flat No. 1 (Ground Floor)</v>
      </c>
      <c r="C56" s="204" t="str">
        <f t="shared" si="14"/>
        <v>2-bedroom</v>
      </c>
      <c r="D56" s="166" t="s">
        <v>19</v>
      </c>
      <c r="E56" s="81">
        <v>3229.1699999999992</v>
      </c>
      <c r="F56" s="205">
        <f>E56/10.7639</f>
        <v>299.99999999999994</v>
      </c>
      <c r="G56" s="204"/>
      <c r="H56" s="202"/>
      <c r="I56" s="202"/>
      <c r="J56" s="82">
        <f>D5</f>
        <v>50.167690149481139</v>
      </c>
      <c r="K56" s="202" t="s">
        <v>35</v>
      </c>
      <c r="L56" s="200">
        <f>E56*J56</f>
        <v>161999.99999999997</v>
      </c>
      <c r="M56" s="202"/>
      <c r="N56" s="27"/>
    </row>
    <row r="57" spans="2:15" x14ac:dyDescent="0.25">
      <c r="B57" s="18" t="str">
        <f t="shared" si="14"/>
        <v>Flat No. 2 (Ground Floor)</v>
      </c>
      <c r="C57" s="204" t="str">
        <f t="shared" si="14"/>
        <v>1-bedroom</v>
      </c>
      <c r="D57" s="166" t="s">
        <v>19</v>
      </c>
      <c r="E57" s="206">
        <f>E$56</f>
        <v>3229.1699999999992</v>
      </c>
      <c r="F57" s="205">
        <f>E57/10.7639</f>
        <v>299.99999999999994</v>
      </c>
      <c r="G57" s="204"/>
      <c r="H57" s="202"/>
      <c r="I57" s="202"/>
      <c r="J57" s="83">
        <f>D6</f>
        <v>50.167690149481139</v>
      </c>
      <c r="K57" s="202" t="s">
        <v>35</v>
      </c>
      <c r="L57" s="200">
        <f>E57*J57</f>
        <v>161999.99999999997</v>
      </c>
      <c r="M57" s="202"/>
      <c r="N57" s="27"/>
    </row>
    <row r="58" spans="2:15" x14ac:dyDescent="0.25">
      <c r="B58" s="18" t="str">
        <f t="shared" si="14"/>
        <v>Flat No. 3 (Ground Floor)</v>
      </c>
      <c r="C58" s="204" t="str">
        <f t="shared" si="14"/>
        <v>1-bedroom</v>
      </c>
      <c r="D58" s="166" t="s">
        <v>19</v>
      </c>
      <c r="E58" s="206">
        <f>E$56</f>
        <v>3229.1699999999992</v>
      </c>
      <c r="F58" s="205">
        <f>E58/10.7639</f>
        <v>299.99999999999994</v>
      </c>
      <c r="G58" s="204"/>
      <c r="H58" s="202"/>
      <c r="I58" s="202"/>
      <c r="J58" s="83">
        <f>D7</f>
        <v>50.167690149481139</v>
      </c>
      <c r="K58" s="202" t="s">
        <v>35</v>
      </c>
      <c r="L58" s="200">
        <f>E58*J58</f>
        <v>161999.99999999997</v>
      </c>
      <c r="M58" s="202"/>
      <c r="N58" s="27"/>
    </row>
    <row r="59" spans="2:15" x14ac:dyDescent="0.25">
      <c r="B59" s="18" t="str">
        <f t="shared" si="14"/>
        <v>Flat No. 4 (Ground Floor)</v>
      </c>
      <c r="C59" s="204" t="str">
        <f t="shared" si="14"/>
        <v>1-bedroom</v>
      </c>
      <c r="D59" s="166" t="s">
        <v>19</v>
      </c>
      <c r="E59" s="206">
        <f>E$56</f>
        <v>3229.1699999999992</v>
      </c>
      <c r="F59" s="205">
        <f>E59/10.7639</f>
        <v>299.99999999999994</v>
      </c>
      <c r="G59" s="204"/>
      <c r="H59" s="202"/>
      <c r="I59" s="202"/>
      <c r="J59" s="83">
        <f>D8</f>
        <v>50.167690149481139</v>
      </c>
      <c r="K59" s="202" t="s">
        <v>35</v>
      </c>
      <c r="L59" s="200">
        <f>E59*J59</f>
        <v>161999.99999999997</v>
      </c>
      <c r="M59" s="202"/>
      <c r="N59" s="27"/>
    </row>
    <row r="60" spans="2:15" x14ac:dyDescent="0.25">
      <c r="B60" s="18" t="str">
        <f t="shared" si="14"/>
        <v>Flat No. 5 (Ground Floor)</v>
      </c>
      <c r="C60" s="204" t="str">
        <f t="shared" si="14"/>
        <v>1-bedroom</v>
      </c>
      <c r="D60" s="166" t="s">
        <v>19</v>
      </c>
      <c r="E60" s="206">
        <f>E$56</f>
        <v>3229.1699999999992</v>
      </c>
      <c r="F60" s="205">
        <f>E60/10.7639</f>
        <v>299.99999999999994</v>
      </c>
      <c r="G60" s="204"/>
      <c r="H60" s="202"/>
      <c r="I60" s="202"/>
      <c r="J60" s="83">
        <f>D9</f>
        <v>50.167690149481139</v>
      </c>
      <c r="K60" s="202" t="s">
        <v>35</v>
      </c>
      <c r="L60" s="200">
        <f>E60*J60</f>
        <v>161999.99999999997</v>
      </c>
      <c r="M60" s="202"/>
      <c r="N60" s="27"/>
    </row>
    <row r="61" spans="2:15" ht="13.8" thickBot="1" x14ac:dyDescent="0.3">
      <c r="B61" s="71"/>
      <c r="C61" s="204"/>
      <c r="D61" s="166"/>
      <c r="E61" s="206"/>
      <c r="F61" s="205"/>
      <c r="G61" s="204"/>
      <c r="H61" s="202"/>
      <c r="I61" s="202"/>
      <c r="J61" s="83"/>
      <c r="K61" s="202"/>
      <c r="L61" s="200"/>
      <c r="M61" s="207"/>
      <c r="N61" s="27"/>
    </row>
    <row r="62" spans="2:15" ht="13.8" thickBot="1" x14ac:dyDescent="0.3">
      <c r="B62" s="18" t="str">
        <f t="shared" ref="B62:C64" si="15">B12</f>
        <v>Flat No. 1 (Ffth Floor)</v>
      </c>
      <c r="C62" s="204" t="str">
        <f t="shared" si="15"/>
        <v>3-bedroom</v>
      </c>
      <c r="D62" s="166" t="s">
        <v>19</v>
      </c>
      <c r="E62" s="84">
        <f>SUM(1+O62)*E56</f>
        <v>3229.1699999999992</v>
      </c>
      <c r="F62" s="205">
        <f>E62/10.7639</f>
        <v>299.99999999999994</v>
      </c>
      <c r="G62" s="204"/>
      <c r="H62" s="202"/>
      <c r="I62" s="202"/>
      <c r="J62" s="83">
        <f>D12</f>
        <v>116.77923429240332</v>
      </c>
      <c r="K62" s="202" t="s">
        <v>35</v>
      </c>
      <c r="L62" s="200">
        <f>E62*J62</f>
        <v>377099.99999999994</v>
      </c>
      <c r="M62" s="207"/>
      <c r="N62" s="27"/>
      <c r="O62" s="73">
        <v>0</v>
      </c>
    </row>
    <row r="63" spans="2:15" x14ac:dyDescent="0.25">
      <c r="B63" s="18" t="str">
        <f t="shared" si="15"/>
        <v>Flat No. 2 (Fifth Floor)</v>
      </c>
      <c r="C63" s="204" t="str">
        <f t="shared" si="15"/>
        <v>2-bedroom</v>
      </c>
      <c r="D63" s="166" t="s">
        <v>19</v>
      </c>
      <c r="E63" s="206">
        <f>E$62</f>
        <v>3229.1699999999992</v>
      </c>
      <c r="F63" s="205">
        <f>E63/10.7639</f>
        <v>299.99999999999994</v>
      </c>
      <c r="G63" s="204"/>
      <c r="H63" s="202"/>
      <c r="I63" s="202"/>
      <c r="J63" s="83">
        <f>D13</f>
        <v>78.967660420479575</v>
      </c>
      <c r="K63" s="202" t="s">
        <v>35</v>
      </c>
      <c r="L63" s="200">
        <f>E63*J63</f>
        <v>254999.99999999997</v>
      </c>
      <c r="M63" s="207"/>
      <c r="N63" s="27"/>
    </row>
    <row r="64" spans="2:15" x14ac:dyDescent="0.25">
      <c r="B64" s="18" t="str">
        <f t="shared" si="15"/>
        <v>Flat No. 3 (Fifth Floor)</v>
      </c>
      <c r="C64" s="204" t="str">
        <f t="shared" si="15"/>
        <v>2-bedroom</v>
      </c>
      <c r="D64" s="166" t="s">
        <v>19</v>
      </c>
      <c r="E64" s="206">
        <f>E$62</f>
        <v>3229.1699999999992</v>
      </c>
      <c r="F64" s="205">
        <f>E64/10.7639</f>
        <v>299.99999999999994</v>
      </c>
      <c r="G64" s="204"/>
      <c r="H64" s="202"/>
      <c r="I64" s="202"/>
      <c r="J64" s="83">
        <f>D14</f>
        <v>88.257973411124226</v>
      </c>
      <c r="K64" s="202" t="s">
        <v>35</v>
      </c>
      <c r="L64" s="200">
        <f>E64*J64</f>
        <v>284999.99999999994</v>
      </c>
      <c r="M64" s="207"/>
      <c r="N64" s="27"/>
    </row>
    <row r="65" spans="2:15" ht="13.8" thickBot="1" x14ac:dyDescent="0.3">
      <c r="B65" s="71"/>
      <c r="C65" s="204"/>
      <c r="D65" s="166"/>
      <c r="E65" s="200"/>
      <c r="F65" s="166"/>
      <c r="G65" s="204"/>
      <c r="H65" s="207"/>
      <c r="I65" s="207"/>
      <c r="J65" s="85"/>
      <c r="K65" s="166"/>
      <c r="L65" s="200"/>
      <c r="M65" s="207"/>
      <c r="N65" s="27"/>
    </row>
    <row r="66" spans="2:15" ht="13.8" thickBot="1" x14ac:dyDescent="0.3">
      <c r="B66" s="18" t="str">
        <f>B17</f>
        <v>Mews House / 'Annex'</v>
      </c>
      <c r="C66" s="204" t="str">
        <f>C17</f>
        <v>2-bedroom</v>
      </c>
      <c r="D66" s="166" t="s">
        <v>19</v>
      </c>
      <c r="E66" s="84">
        <f>SUM(1+O66)*E56</f>
        <v>2248</v>
      </c>
      <c r="F66" s="205">
        <f>E66/10.7639</f>
        <v>208.84623602969185</v>
      </c>
      <c r="G66" s="204"/>
      <c r="H66" s="202"/>
      <c r="I66" s="202"/>
      <c r="J66" s="83">
        <f>D18</f>
        <v>73.999999999999986</v>
      </c>
      <c r="K66" s="202" t="s">
        <v>35</v>
      </c>
      <c r="L66" s="200">
        <f>E66*J66</f>
        <v>166351.99999999997</v>
      </c>
      <c r="M66" s="202"/>
      <c r="N66" s="27"/>
      <c r="O66" s="73">
        <v>-0.30384587990102707</v>
      </c>
    </row>
    <row r="67" spans="2:15" x14ac:dyDescent="0.25">
      <c r="B67" s="71"/>
      <c r="C67" s="204"/>
      <c r="D67" s="166"/>
      <c r="E67" s="200"/>
      <c r="F67" s="205"/>
      <c r="G67" s="204"/>
      <c r="H67" s="202"/>
      <c r="I67" s="202"/>
      <c r="J67" s="85"/>
      <c r="K67" s="166"/>
      <c r="L67" s="203"/>
      <c r="M67" s="202"/>
      <c r="N67" s="27"/>
    </row>
    <row r="68" spans="2:15" ht="13.8" thickBot="1" x14ac:dyDescent="0.3">
      <c r="B68" s="18"/>
      <c r="C68" s="204"/>
      <c r="D68" s="166"/>
      <c r="E68" s="166"/>
      <c r="F68" s="166"/>
      <c r="G68" s="204"/>
      <c r="H68" s="202"/>
      <c r="I68" s="202"/>
      <c r="J68" s="86"/>
      <c r="K68" s="166"/>
      <c r="L68" s="200"/>
      <c r="M68" s="202"/>
      <c r="N68" s="27"/>
    </row>
    <row r="69" spans="2:15" ht="13.8" thickBot="1" x14ac:dyDescent="0.3">
      <c r="B69" s="18" t="str">
        <f>B26</f>
        <v>Shop(s) - A2 / B1</v>
      </c>
      <c r="C69" s="204"/>
      <c r="D69" s="166" t="s">
        <v>19</v>
      </c>
      <c r="E69" s="84">
        <f>SUM(1+O69)*E56</f>
        <v>2690.9749999999995</v>
      </c>
      <c r="F69" s="205">
        <f>E69/10.7639</f>
        <v>249.99999999999997</v>
      </c>
      <c r="G69" s="204"/>
      <c r="H69" s="202"/>
      <c r="I69" s="202"/>
      <c r="J69" s="87">
        <f>D29</f>
        <v>103.95860236531368</v>
      </c>
      <c r="K69" s="202" t="s">
        <v>35</v>
      </c>
      <c r="L69" s="200">
        <f>E69*J69</f>
        <v>279749.99999999994</v>
      </c>
      <c r="M69" s="202"/>
      <c r="N69" s="27"/>
      <c r="O69" s="73">
        <v>-0.16666666666666663</v>
      </c>
    </row>
    <row r="70" spans="2:15" x14ac:dyDescent="0.25">
      <c r="B70" s="71"/>
      <c r="C70" s="204"/>
      <c r="D70" s="166"/>
      <c r="E70" s="178"/>
      <c r="F70" s="166"/>
      <c r="G70" s="204"/>
      <c r="H70" s="202"/>
      <c r="I70" s="202"/>
      <c r="J70" s="88">
        <f>SUM(J56:J69)</f>
        <v>712.80192123672646</v>
      </c>
      <c r="K70" s="202"/>
      <c r="L70" s="201"/>
      <c r="M70" s="202"/>
      <c r="N70" s="27"/>
      <c r="O70" s="44"/>
    </row>
    <row r="71" spans="2:15" x14ac:dyDescent="0.25">
      <c r="B71" s="18" t="s">
        <v>74</v>
      </c>
      <c r="C71" s="192"/>
      <c r="D71" s="166"/>
      <c r="E71" s="206">
        <f>E$56</f>
        <v>3229.1699999999992</v>
      </c>
      <c r="F71" s="205">
        <f>E71/10.7639</f>
        <v>299.99999999999994</v>
      </c>
      <c r="G71" s="192"/>
      <c r="H71" s="201"/>
      <c r="I71" s="201"/>
      <c r="J71" s="173">
        <f>D20</f>
        <v>51.226080000000003</v>
      </c>
      <c r="K71" s="202" t="s">
        <v>35</v>
      </c>
      <c r="L71" s="201">
        <f>E71*J71</f>
        <v>165417.72075359998</v>
      </c>
      <c r="M71" s="201"/>
      <c r="N71" s="27"/>
      <c r="O71" s="78"/>
    </row>
    <row r="72" spans="2:15" ht="13.8" thickBot="1" x14ac:dyDescent="0.3">
      <c r="B72" s="71"/>
      <c r="C72" s="204"/>
      <c r="D72" s="166"/>
      <c r="E72" s="178"/>
      <c r="F72" s="166"/>
      <c r="G72" s="204"/>
      <c r="H72" s="207"/>
      <c r="I72" s="207"/>
      <c r="J72" s="208"/>
      <c r="K72" s="166"/>
      <c r="L72" s="201"/>
      <c r="M72" s="207">
        <f>SUM(L56:L71)</f>
        <v>2338619.7207535994</v>
      </c>
      <c r="N72" s="27"/>
    </row>
    <row r="73" spans="2:15" ht="13.8" thickBot="1" x14ac:dyDescent="0.3">
      <c r="B73" s="18" t="s">
        <v>75</v>
      </c>
      <c r="C73" s="192"/>
      <c r="D73" s="185"/>
      <c r="E73" s="81">
        <v>500</v>
      </c>
      <c r="F73" s="205">
        <f>E73/10.7639</f>
        <v>46.451564953223276</v>
      </c>
      <c r="G73" s="192"/>
      <c r="H73" s="202"/>
      <c r="I73" s="202"/>
      <c r="J73" s="209">
        <f>D22</f>
        <v>660.06939887141277</v>
      </c>
      <c r="K73" s="202" t="s">
        <v>35</v>
      </c>
      <c r="L73" s="200">
        <f>J73*E73</f>
        <v>330034.69943570637</v>
      </c>
      <c r="M73" s="202"/>
      <c r="N73" s="27"/>
      <c r="O73" s="44"/>
    </row>
    <row r="74" spans="2:15" ht="13.8" thickBot="1" x14ac:dyDescent="0.3">
      <c r="B74" s="18" t="s">
        <v>76</v>
      </c>
      <c r="C74" s="192"/>
      <c r="D74" s="185"/>
      <c r="E74" s="81">
        <v>45</v>
      </c>
      <c r="F74" s="205">
        <f>E74/10.7639</f>
        <v>4.1806408457900952</v>
      </c>
      <c r="G74" s="192"/>
      <c r="H74" s="202"/>
      <c r="I74" s="202"/>
      <c r="J74" s="209">
        <f>D29</f>
        <v>103.95860236531368</v>
      </c>
      <c r="K74" s="202" t="s">
        <v>35</v>
      </c>
      <c r="L74" s="200">
        <f>J74*E74</f>
        <v>4678.137106439116</v>
      </c>
      <c r="M74" s="202"/>
      <c r="N74" s="27"/>
    </row>
    <row r="75" spans="2:15" ht="13.8" thickBot="1" x14ac:dyDescent="0.3">
      <c r="B75" s="18" t="s">
        <v>77</v>
      </c>
      <c r="C75" s="192"/>
      <c r="D75" s="185"/>
      <c r="E75" s="81">
        <v>50</v>
      </c>
      <c r="F75" s="205">
        <f>E75/10.7639</f>
        <v>4.6451564953223272</v>
      </c>
      <c r="G75" s="192"/>
      <c r="H75" s="202"/>
      <c r="I75" s="202"/>
      <c r="J75" s="209">
        <f>D22</f>
        <v>660.06939887141277</v>
      </c>
      <c r="K75" s="202" t="s">
        <v>35</v>
      </c>
      <c r="L75" s="200">
        <f>J75*E75</f>
        <v>33003.469943570635</v>
      </c>
      <c r="M75" s="202"/>
      <c r="N75" s="27"/>
      <c r="O75" s="44"/>
    </row>
    <row r="76" spans="2:15" ht="13.8" thickBot="1" x14ac:dyDescent="0.3">
      <c r="B76" s="18" t="s">
        <v>78</v>
      </c>
      <c r="C76" s="192"/>
      <c r="D76" s="185"/>
      <c r="E76" s="81">
        <v>50</v>
      </c>
      <c r="F76" s="205">
        <f>E76/10.7639</f>
        <v>4.6451564953223272</v>
      </c>
      <c r="G76" s="192"/>
      <c r="H76" s="202"/>
      <c r="I76" s="202"/>
      <c r="J76" s="209">
        <f>D29</f>
        <v>103.95860236531368</v>
      </c>
      <c r="K76" s="202" t="s">
        <v>35</v>
      </c>
      <c r="L76" s="201">
        <f>J76*E76</f>
        <v>5197.9301182656836</v>
      </c>
      <c r="M76" s="202"/>
      <c r="N76" s="27"/>
    </row>
    <row r="77" spans="2:15" x14ac:dyDescent="0.25">
      <c r="B77" s="71"/>
      <c r="C77" s="204"/>
      <c r="D77" s="166"/>
      <c r="E77" s="178"/>
      <c r="F77" s="166"/>
      <c r="G77" s="204"/>
      <c r="H77" s="207"/>
      <c r="I77" s="207"/>
      <c r="J77" s="208"/>
      <c r="K77" s="166"/>
      <c r="L77" s="201"/>
      <c r="M77" s="207">
        <f>SUM(L73:L76)</f>
        <v>372914.23660398176</v>
      </c>
      <c r="N77" s="27"/>
      <c r="O77" s="44"/>
    </row>
    <row r="78" spans="2:15" x14ac:dyDescent="0.25">
      <c r="B78" s="18"/>
      <c r="C78" s="166"/>
      <c r="D78" s="166"/>
      <c r="E78" s="166"/>
      <c r="F78" s="202"/>
      <c r="G78" s="169" t="s">
        <v>79</v>
      </c>
      <c r="H78" s="169" t="s">
        <v>79</v>
      </c>
      <c r="I78" s="208"/>
      <c r="J78" s="208"/>
      <c r="K78" s="166"/>
      <c r="L78" s="210"/>
      <c r="M78" s="202"/>
      <c r="N78" s="27"/>
    </row>
    <row r="79" spans="2:15" x14ac:dyDescent="0.25">
      <c r="B79" s="18" t="s">
        <v>80</v>
      </c>
      <c r="C79" s="166"/>
      <c r="D79" s="166"/>
      <c r="E79" s="169" t="s">
        <v>81</v>
      </c>
      <c r="F79" s="169" t="s">
        <v>81</v>
      </c>
      <c r="G79" s="169" t="s">
        <v>3</v>
      </c>
      <c r="H79" s="169" t="s">
        <v>82</v>
      </c>
      <c r="I79" s="208"/>
      <c r="J79" s="208"/>
      <c r="K79" s="166"/>
      <c r="L79" s="210"/>
      <c r="M79" s="202"/>
      <c r="N79" s="27"/>
    </row>
    <row r="80" spans="2:15" x14ac:dyDescent="0.25">
      <c r="B80" s="18" t="s">
        <v>83</v>
      </c>
      <c r="C80" s="166"/>
      <c r="D80" s="166"/>
      <c r="E80" s="89">
        <v>2650</v>
      </c>
      <c r="F80" s="90">
        <v>0.02</v>
      </c>
      <c r="G80" s="91">
        <v>1019</v>
      </c>
      <c r="H80" s="91">
        <v>939</v>
      </c>
      <c r="I80" s="92">
        <f>(ROUNDDOWN(H80,-2)/100)*F80</f>
        <v>0.18</v>
      </c>
      <c r="J80" s="208"/>
      <c r="K80" s="166"/>
      <c r="L80" s="38">
        <f>(I80*G80)*E80</f>
        <v>486062.99999999994</v>
      </c>
      <c r="M80" s="202"/>
      <c r="N80" s="27"/>
    </row>
    <row r="81" spans="2:15" x14ac:dyDescent="0.25">
      <c r="B81" s="18" t="s">
        <v>84</v>
      </c>
      <c r="C81" s="166"/>
      <c r="D81" s="166"/>
      <c r="E81" s="141"/>
      <c r="F81" s="140"/>
      <c r="G81" s="211"/>
      <c r="H81" s="211"/>
      <c r="I81" s="142"/>
      <c r="J81" s="208"/>
      <c r="K81" s="166"/>
      <c r="L81" s="93">
        <v>3136</v>
      </c>
      <c r="M81" s="202"/>
      <c r="N81" s="27"/>
    </row>
    <row r="82" spans="2:15" x14ac:dyDescent="0.25">
      <c r="B82" s="18" t="s">
        <v>85</v>
      </c>
      <c r="C82" s="166"/>
      <c r="D82" s="166"/>
      <c r="E82" s="141"/>
      <c r="F82" s="140"/>
      <c r="G82" s="211"/>
      <c r="H82" s="211"/>
      <c r="I82" s="142"/>
      <c r="J82" s="208"/>
      <c r="K82" s="166"/>
      <c r="L82" s="93">
        <v>5000</v>
      </c>
      <c r="M82" s="202"/>
      <c r="N82" s="27"/>
    </row>
    <row r="83" spans="2:15" x14ac:dyDescent="0.25">
      <c r="B83" s="18" t="s">
        <v>86</v>
      </c>
      <c r="C83" s="166"/>
      <c r="D83" s="166"/>
      <c r="E83" s="141"/>
      <c r="F83" s="140"/>
      <c r="G83" s="211"/>
      <c r="H83" s="211"/>
      <c r="I83" s="142"/>
      <c r="J83" s="208"/>
      <c r="K83" s="166"/>
      <c r="L83" s="93">
        <v>0</v>
      </c>
      <c r="M83" s="202"/>
      <c r="N83" s="27"/>
      <c r="O83" s="25"/>
    </row>
    <row r="84" spans="2:15" x14ac:dyDescent="0.25">
      <c r="B84" s="18" t="s">
        <v>87</v>
      </c>
      <c r="C84" s="166"/>
      <c r="D84" s="166"/>
      <c r="E84" s="141"/>
      <c r="F84" s="140"/>
      <c r="G84" s="211"/>
      <c r="H84" s="211"/>
      <c r="I84" s="142"/>
      <c r="J84" s="208"/>
      <c r="K84" s="166"/>
      <c r="L84" s="93">
        <v>0</v>
      </c>
      <c r="M84" s="202"/>
      <c r="N84" s="27"/>
    </row>
    <row r="85" spans="2:15" x14ac:dyDescent="0.25">
      <c r="B85" s="18" t="s">
        <v>88</v>
      </c>
      <c r="C85" s="166"/>
      <c r="D85" s="166"/>
      <c r="E85" s="141"/>
      <c r="F85" s="140"/>
      <c r="G85" s="211"/>
      <c r="H85" s="211"/>
      <c r="I85" s="142"/>
      <c r="J85" s="208"/>
      <c r="K85" s="166"/>
      <c r="L85" s="93">
        <v>0</v>
      </c>
      <c r="M85" s="202"/>
      <c r="N85" s="27"/>
    </row>
    <row r="86" spans="2:15" ht="14.4" x14ac:dyDescent="0.35">
      <c r="B86" s="18" t="s">
        <v>89</v>
      </c>
      <c r="C86" s="166"/>
      <c r="D86" s="166"/>
      <c r="E86" s="143"/>
      <c r="F86" s="144"/>
      <c r="G86" s="145"/>
      <c r="H86" s="145"/>
      <c r="I86" s="146"/>
      <c r="J86" s="208"/>
      <c r="K86" s="166"/>
      <c r="L86" s="94">
        <v>0</v>
      </c>
      <c r="M86" s="202"/>
      <c r="N86" s="27"/>
    </row>
    <row r="87" spans="2:15" x14ac:dyDescent="0.25">
      <c r="B87" s="18"/>
      <c r="C87" s="166"/>
      <c r="D87" s="166"/>
      <c r="E87" s="166"/>
      <c r="F87" s="166"/>
      <c r="G87" s="166"/>
      <c r="H87" s="202"/>
      <c r="I87" s="202"/>
      <c r="J87" s="208"/>
      <c r="K87" s="166"/>
      <c r="L87" s="166"/>
      <c r="M87" s="207">
        <f>SUM(L80:L86)</f>
        <v>494198.99999999994</v>
      </c>
      <c r="N87" s="27"/>
      <c r="O87" s="44"/>
    </row>
    <row r="88" spans="2:15" x14ac:dyDescent="0.25">
      <c r="B88" s="18"/>
      <c r="C88" s="166"/>
      <c r="D88" s="166"/>
      <c r="E88" s="166"/>
      <c r="F88" s="166"/>
      <c r="G88" s="166"/>
      <c r="H88" s="202"/>
      <c r="I88" s="202"/>
      <c r="J88" s="208"/>
      <c r="K88" s="208"/>
      <c r="L88" s="210"/>
      <c r="M88" s="202"/>
      <c r="N88" s="27"/>
      <c r="O88" s="44"/>
    </row>
    <row r="89" spans="2:15" x14ac:dyDescent="0.25">
      <c r="B89" s="18" t="s">
        <v>20</v>
      </c>
      <c r="C89" s="166" t="s">
        <v>19</v>
      </c>
      <c r="D89" s="28">
        <v>0.1</v>
      </c>
      <c r="E89" s="166" t="s">
        <v>6</v>
      </c>
      <c r="F89" s="166"/>
      <c r="G89" s="166"/>
      <c r="H89" s="207"/>
      <c r="I89" s="207"/>
      <c r="J89" s="208"/>
      <c r="K89" s="208"/>
      <c r="L89" s="210">
        <f>(M72+M77+M87)*D89</f>
        <v>320573.29573575815</v>
      </c>
      <c r="M89" s="207"/>
      <c r="N89" s="27"/>
    </row>
    <row r="90" spans="2:15" x14ac:dyDescent="0.25">
      <c r="B90" s="18" t="s">
        <v>21</v>
      </c>
      <c r="C90" s="166" t="s">
        <v>19</v>
      </c>
      <c r="D90" s="28">
        <v>0.08</v>
      </c>
      <c r="E90" s="166"/>
      <c r="F90" s="212">
        <v>18</v>
      </c>
      <c r="G90" s="166"/>
      <c r="H90" s="39"/>
      <c r="I90" s="39"/>
      <c r="J90" s="166"/>
      <c r="K90" s="166" t="s">
        <v>6</v>
      </c>
      <c r="L90" s="38">
        <f>(M72+M77+M87+L89)*(D90/12)*(F90/2)</f>
        <v>211578.37518560037</v>
      </c>
      <c r="M90" s="39"/>
      <c r="N90" s="27"/>
    </row>
    <row r="91" spans="2:15" ht="14.4" x14ac:dyDescent="0.35">
      <c r="B91" s="18" t="s">
        <v>90</v>
      </c>
      <c r="C91" s="166" t="s">
        <v>19</v>
      </c>
      <c r="D91" s="28">
        <v>0.2</v>
      </c>
      <c r="E91" s="166"/>
      <c r="F91" s="166"/>
      <c r="G91" s="166"/>
      <c r="H91" s="39"/>
      <c r="I91" s="39"/>
      <c r="J91" s="166"/>
      <c r="K91" s="166" t="s">
        <v>6</v>
      </c>
      <c r="L91" s="40">
        <f>D91*(SUM(M72))</f>
        <v>467723.94415071991</v>
      </c>
      <c r="M91" s="39"/>
      <c r="N91" s="27"/>
    </row>
    <row r="92" spans="2:15" ht="13.8" thickBot="1" x14ac:dyDescent="0.3">
      <c r="B92" s="18"/>
      <c r="C92" s="166"/>
      <c r="D92" s="203"/>
      <c r="E92" s="166"/>
      <c r="F92" s="166"/>
      <c r="G92" s="166"/>
      <c r="H92" s="213"/>
      <c r="I92" s="213"/>
      <c r="J92" s="166"/>
      <c r="K92" s="166"/>
      <c r="L92" s="166"/>
      <c r="M92" s="214">
        <f>L56+L57+L58+L59+L60+L62+L63+L64+L66+L69+L71+L73+L74+L75+L76+L80+L81+L82+L83+L84+L85+L86+L89+L90+L91</f>
        <v>4205608.5724296598</v>
      </c>
      <c r="N92" s="23">
        <f>N53-M92</f>
        <v>2107225.0293623405</v>
      </c>
    </row>
    <row r="93" spans="2:15" x14ac:dyDescent="0.25">
      <c r="B93" s="34" t="s">
        <v>91</v>
      </c>
      <c r="C93" s="12"/>
      <c r="D93" s="95"/>
      <c r="E93" s="12"/>
      <c r="F93" s="12"/>
      <c r="G93" s="12"/>
      <c r="H93" s="12"/>
      <c r="I93" s="12"/>
      <c r="J93" s="12"/>
      <c r="K93" s="12"/>
      <c r="L93" s="96">
        <v>1</v>
      </c>
      <c r="M93" s="97" t="s">
        <v>22</v>
      </c>
      <c r="N93" s="24"/>
    </row>
    <row r="94" spans="2:15" x14ac:dyDescent="0.25">
      <c r="B94" s="18" t="s">
        <v>25</v>
      </c>
      <c r="C94" s="166" t="s">
        <v>19</v>
      </c>
      <c r="D94" s="28">
        <v>0</v>
      </c>
      <c r="E94" s="166" t="s">
        <v>23</v>
      </c>
      <c r="F94" s="166"/>
      <c r="G94" s="166"/>
      <c r="H94" s="166"/>
      <c r="I94" s="166"/>
      <c r="J94" s="166"/>
      <c r="K94" s="166" t="s">
        <v>6</v>
      </c>
      <c r="L94" s="36">
        <f>(D94)*(1+J$48)</f>
        <v>0</v>
      </c>
      <c r="M94" s="98" t="s">
        <v>22</v>
      </c>
      <c r="N94" s="27"/>
    </row>
    <row r="95" spans="2:15" x14ac:dyDescent="0.25">
      <c r="B95" s="18" t="s">
        <v>92</v>
      </c>
      <c r="C95" s="166" t="s">
        <v>19</v>
      </c>
      <c r="D95" s="28">
        <v>0.02</v>
      </c>
      <c r="E95" s="166" t="s">
        <v>23</v>
      </c>
      <c r="F95" s="166"/>
      <c r="G95" s="166"/>
      <c r="H95" s="166"/>
      <c r="I95" s="166"/>
      <c r="J95" s="166"/>
      <c r="K95" s="166" t="s">
        <v>6</v>
      </c>
      <c r="L95" s="36">
        <f>(D95)*(1+J$48)</f>
        <v>2.4E-2</v>
      </c>
      <c r="M95" s="98" t="s">
        <v>22</v>
      </c>
      <c r="N95" s="27"/>
    </row>
    <row r="96" spans="2:15" x14ac:dyDescent="0.25">
      <c r="B96" s="18" t="s">
        <v>24</v>
      </c>
      <c r="C96" s="166" t="s">
        <v>19</v>
      </c>
      <c r="D96" s="37">
        <f>F116/N100</f>
        <v>4.3235622932411837E-2</v>
      </c>
      <c r="E96" s="166" t="s">
        <v>23</v>
      </c>
      <c r="F96" s="166"/>
      <c r="G96" s="166"/>
      <c r="H96" s="166"/>
      <c r="I96" s="166"/>
      <c r="J96" s="166"/>
      <c r="K96" s="166" t="s">
        <v>6</v>
      </c>
      <c r="L96" s="36">
        <f>D96</f>
        <v>4.3235622932411837E-2</v>
      </c>
      <c r="M96" s="98" t="s">
        <v>22</v>
      </c>
      <c r="N96" s="27"/>
    </row>
    <row r="97" spans="2:15" x14ac:dyDescent="0.25">
      <c r="B97" s="18" t="s">
        <v>93</v>
      </c>
      <c r="C97" s="166" t="s">
        <v>19</v>
      </c>
      <c r="D97" s="37">
        <f>D90</f>
        <v>0.08</v>
      </c>
      <c r="E97" s="166"/>
      <c r="F97" s="166"/>
      <c r="G97" s="166"/>
      <c r="H97" s="166"/>
      <c r="I97" s="166"/>
      <c r="J97" s="166"/>
      <c r="K97" s="166"/>
      <c r="L97" s="36">
        <f>((SUM(L93:L96)*D90)/12)*(F90/2)</f>
        <v>6.4034137375944711E-2</v>
      </c>
      <c r="M97" s="98" t="s">
        <v>22</v>
      </c>
      <c r="N97" s="27"/>
    </row>
    <row r="98" spans="2:15" x14ac:dyDescent="0.25">
      <c r="B98" s="18" t="s">
        <v>94</v>
      </c>
      <c r="C98" s="166" t="s">
        <v>19</v>
      </c>
      <c r="D98" s="28">
        <v>0.2</v>
      </c>
      <c r="E98" s="166"/>
      <c r="F98" s="166"/>
      <c r="G98" s="166"/>
      <c r="H98" s="166"/>
      <c r="I98" s="166"/>
      <c r="J98" s="166"/>
      <c r="K98" s="166"/>
      <c r="L98" s="41">
        <f>SUM(L93:L97)*D98</f>
        <v>0.22625395206167132</v>
      </c>
      <c r="M98" s="98" t="s">
        <v>22</v>
      </c>
      <c r="N98" s="27"/>
    </row>
    <row r="99" spans="2:15" x14ac:dyDescent="0.25">
      <c r="B99" s="18"/>
      <c r="C99" s="166"/>
      <c r="D99" s="203"/>
      <c r="E99" s="166"/>
      <c r="F99" s="166"/>
      <c r="G99" s="166"/>
      <c r="H99" s="166"/>
      <c r="I99" s="166"/>
      <c r="J99" s="166"/>
      <c r="K99" s="215"/>
      <c r="L99" s="150">
        <f>SUM(L93:L98)</f>
        <v>1.3575237123700279</v>
      </c>
      <c r="M99" s="99">
        <v>1.3575299680825141</v>
      </c>
      <c r="N99" s="27"/>
    </row>
    <row r="100" spans="2:15" x14ac:dyDescent="0.25">
      <c r="B100" s="100" t="s">
        <v>40</v>
      </c>
      <c r="C100" s="166"/>
      <c r="D100" s="166" t="s">
        <v>6</v>
      </c>
      <c r="E100" s="166"/>
      <c r="F100" s="166" t="s">
        <v>6</v>
      </c>
      <c r="G100" s="166"/>
      <c r="H100" s="166"/>
      <c r="I100" s="166"/>
      <c r="J100" s="166" t="s">
        <v>6</v>
      </c>
      <c r="K100" s="216"/>
      <c r="L100" s="166"/>
      <c r="M100" s="217" t="s">
        <v>95</v>
      </c>
      <c r="N100" s="23">
        <f>SUM(N92/M99)</f>
        <v>1552249.3638492243</v>
      </c>
    </row>
    <row r="101" spans="2:15" x14ac:dyDescent="0.25">
      <c r="B101" s="101" t="s">
        <v>96</v>
      </c>
      <c r="C101" s="166"/>
      <c r="D101" s="166" t="s">
        <v>6</v>
      </c>
      <c r="E101" s="166"/>
      <c r="F101" s="166"/>
      <c r="G101" s="166"/>
      <c r="H101" s="218"/>
      <c r="I101" s="218"/>
      <c r="J101" s="166" t="s">
        <v>6</v>
      </c>
      <c r="K101" s="216"/>
      <c r="L101" s="166"/>
      <c r="M101" s="167"/>
      <c r="N101" s="23"/>
    </row>
    <row r="102" spans="2:15" x14ac:dyDescent="0.25">
      <c r="B102" s="101"/>
      <c r="C102" s="219" t="s">
        <v>97</v>
      </c>
      <c r="D102" s="196">
        <v>27</v>
      </c>
      <c r="E102" s="166"/>
      <c r="F102" s="166"/>
      <c r="G102" s="166"/>
      <c r="H102" s="166"/>
      <c r="I102" s="166"/>
      <c r="J102" s="166" t="s">
        <v>6</v>
      </c>
      <c r="K102" s="216"/>
      <c r="L102" s="166"/>
      <c r="M102" s="167"/>
      <c r="N102" s="23"/>
      <c r="O102" s="44"/>
    </row>
    <row r="103" spans="2:15" ht="14.4" x14ac:dyDescent="0.35">
      <c r="B103" s="101"/>
      <c r="C103" s="219" t="s">
        <v>98</v>
      </c>
      <c r="D103" s="102">
        <v>1E-3</v>
      </c>
      <c r="E103" s="166"/>
      <c r="F103" s="166"/>
      <c r="G103" s="166"/>
      <c r="H103" s="166"/>
      <c r="I103" s="166"/>
      <c r="J103" s="166" t="s">
        <v>6</v>
      </c>
      <c r="K103" s="216"/>
      <c r="L103" s="166"/>
      <c r="M103" s="167"/>
      <c r="N103" s="23"/>
      <c r="O103" s="44"/>
    </row>
    <row r="104" spans="2:15" x14ac:dyDescent="0.25">
      <c r="B104" s="101"/>
      <c r="C104" s="219" t="s">
        <v>99</v>
      </c>
      <c r="D104" s="103">
        <f>D103*D102</f>
        <v>2.7E-2</v>
      </c>
      <c r="E104" s="166"/>
      <c r="F104" s="166"/>
      <c r="G104" s="166"/>
      <c r="H104" s="166"/>
      <c r="I104" s="166"/>
      <c r="J104" s="166" t="s">
        <v>6</v>
      </c>
      <c r="K104" s="216"/>
      <c r="L104" s="166"/>
      <c r="M104" s="167"/>
      <c r="N104" s="23"/>
      <c r="O104" s="44"/>
    </row>
    <row r="105" spans="2:15" x14ac:dyDescent="0.25">
      <c r="B105" s="101"/>
      <c r="C105" s="219" t="s">
        <v>36</v>
      </c>
      <c r="D105" s="104">
        <v>5.5E-2</v>
      </c>
      <c r="E105" s="166"/>
      <c r="F105" s="166"/>
      <c r="G105" s="166"/>
      <c r="H105" s="166"/>
      <c r="I105" s="166"/>
      <c r="J105" s="166" t="s">
        <v>6</v>
      </c>
      <c r="K105" s="216"/>
      <c r="L105" s="166"/>
      <c r="M105" s="167"/>
      <c r="N105" s="23"/>
      <c r="O105" s="44"/>
    </row>
    <row r="106" spans="2:15" x14ac:dyDescent="0.25">
      <c r="B106" s="101"/>
      <c r="C106" s="219" t="s">
        <v>100</v>
      </c>
      <c r="D106" s="105">
        <f>D104/D105</f>
        <v>0.49090909090909091</v>
      </c>
      <c r="E106" s="167"/>
      <c r="F106" s="166"/>
      <c r="G106" s="166"/>
      <c r="H106" s="166"/>
      <c r="I106" s="166"/>
      <c r="J106" s="166" t="s">
        <v>6</v>
      </c>
      <c r="K106" s="216"/>
      <c r="L106" s="166"/>
      <c r="M106" s="167" t="s">
        <v>101</v>
      </c>
      <c r="N106" s="23">
        <f>N100-D106</f>
        <v>1552248.8729401333</v>
      </c>
      <c r="O106" s="44"/>
    </row>
    <row r="107" spans="2:15" ht="13.8" thickBot="1" x14ac:dyDescent="0.3">
      <c r="B107" s="29"/>
      <c r="C107" s="30"/>
      <c r="D107" s="30"/>
      <c r="E107" s="30"/>
      <c r="F107" s="30"/>
      <c r="G107" s="30"/>
      <c r="H107" s="30"/>
      <c r="I107" s="30"/>
      <c r="J107" s="30"/>
      <c r="K107" s="42"/>
      <c r="L107" s="30"/>
      <c r="M107" s="43"/>
      <c r="N107" s="33"/>
      <c r="O107" s="44"/>
    </row>
    <row r="108" spans="2:15" x14ac:dyDescent="0.25">
      <c r="B108" s="106"/>
      <c r="C108" s="107" t="s">
        <v>102</v>
      </c>
      <c r="D108" s="108">
        <f>N45</f>
        <v>6428547.4560000002</v>
      </c>
      <c r="E108" s="109"/>
      <c r="F108" s="110"/>
      <c r="G108" s="111"/>
      <c r="H108" s="107" t="s">
        <v>103</v>
      </c>
      <c r="I108" s="112">
        <f>N45-N106-D109</f>
        <v>4399530.5922833662</v>
      </c>
      <c r="J108" s="113"/>
      <c r="K108" s="110"/>
      <c r="L108" s="107" t="s">
        <v>104</v>
      </c>
      <c r="M108" s="114">
        <f>D109/D108</f>
        <v>7.4164186239539354E-2</v>
      </c>
      <c r="N108" s="115"/>
      <c r="O108" s="44"/>
    </row>
    <row r="109" spans="2:15" ht="13.8" thickBot="1" x14ac:dyDescent="0.3">
      <c r="B109" s="116"/>
      <c r="C109" s="117" t="s">
        <v>105</v>
      </c>
      <c r="D109" s="118">
        <f>N92*L98</f>
        <v>476767.9907765009</v>
      </c>
      <c r="E109" s="119"/>
      <c r="F109" s="120"/>
      <c r="G109" s="121"/>
      <c r="H109" s="117" t="s">
        <v>106</v>
      </c>
      <c r="I109" s="122">
        <f>SUM(N106/I108)</f>
        <v>0.35282147501434069</v>
      </c>
      <c r="J109" s="123"/>
      <c r="K109" s="120"/>
      <c r="L109" s="117" t="s">
        <v>107</v>
      </c>
      <c r="M109" s="122">
        <f>D109/I108</f>
        <v>0.10836792261718477</v>
      </c>
      <c r="N109" s="124"/>
    </row>
    <row r="110" spans="2:15" x14ac:dyDescent="0.25">
      <c r="N110" s="44"/>
    </row>
    <row r="111" spans="2:15" ht="13.8" thickBot="1" x14ac:dyDescent="0.3">
      <c r="B111" s="45" t="s">
        <v>26</v>
      </c>
    </row>
    <row r="112" spans="2:15" x14ac:dyDescent="0.25">
      <c r="B112" s="46" t="s">
        <v>27</v>
      </c>
      <c r="C112" s="47"/>
      <c r="D112" s="47"/>
      <c r="E112" s="48" t="s">
        <v>28</v>
      </c>
      <c r="F112" s="49"/>
    </row>
    <row r="113" spans="2:15" x14ac:dyDescent="0.25">
      <c r="B113" s="50" t="s">
        <v>29</v>
      </c>
      <c r="C113" s="51"/>
      <c r="D113" s="51"/>
      <c r="E113" s="52" t="s">
        <v>30</v>
      </c>
      <c r="F113" s="53">
        <v>0</v>
      </c>
    </row>
    <row r="114" spans="2:15" x14ac:dyDescent="0.25">
      <c r="B114" s="50" t="s">
        <v>31</v>
      </c>
      <c r="C114" s="51"/>
      <c r="D114" s="51"/>
      <c r="E114" s="54">
        <v>0.02</v>
      </c>
      <c r="F114" s="53">
        <f>100000*2%</f>
        <v>2000</v>
      </c>
    </row>
    <row r="115" spans="2:15" ht="13.8" thickBot="1" x14ac:dyDescent="0.3">
      <c r="B115" s="55" t="s">
        <v>32</v>
      </c>
      <c r="C115" s="56"/>
      <c r="D115" s="56"/>
      <c r="E115" s="57">
        <v>0.05</v>
      </c>
      <c r="F115" s="58">
        <f>(N100-250000)*5%</f>
        <v>65112.468192461216</v>
      </c>
    </row>
    <row r="116" spans="2:15" ht="13.8" thickBot="1" x14ac:dyDescent="0.3">
      <c r="B116" s="59"/>
      <c r="C116" s="60"/>
      <c r="D116" s="60"/>
      <c r="E116" s="61" t="s">
        <v>33</v>
      </c>
      <c r="F116" s="58">
        <f>SUM(F113:F115)</f>
        <v>67112.468192461209</v>
      </c>
      <c r="H116" s="25"/>
      <c r="I116" s="25"/>
      <c r="N116" s="44"/>
      <c r="O116" s="44"/>
    </row>
    <row r="117" spans="2:15" ht="14.4" x14ac:dyDescent="0.3">
      <c r="B117" s="6" t="s">
        <v>34</v>
      </c>
    </row>
    <row r="118" spans="2:15" ht="13.8" thickBot="1" x14ac:dyDescent="0.3"/>
    <row r="119" spans="2:15" ht="16.2" thickBot="1" x14ac:dyDescent="0.35">
      <c r="B119" s="2"/>
      <c r="C119" s="3"/>
      <c r="D119" s="3"/>
      <c r="E119" s="3"/>
      <c r="F119" s="3"/>
      <c r="G119" s="62"/>
      <c r="H119" s="3"/>
      <c r="I119" s="3"/>
      <c r="J119" s="3"/>
      <c r="K119" s="3"/>
      <c r="L119" s="4"/>
    </row>
    <row r="120" spans="2:15" ht="22.8" thickBot="1" x14ac:dyDescent="0.5">
      <c r="B120" s="155" t="s">
        <v>108</v>
      </c>
      <c r="C120" s="126">
        <f>J5</f>
        <v>1000</v>
      </c>
      <c r="D120" s="220" t="s">
        <v>109</v>
      </c>
      <c r="E120" s="221"/>
      <c r="F120" s="221"/>
      <c r="G120" s="221"/>
      <c r="H120" s="221"/>
      <c r="I120" s="221"/>
      <c r="J120" s="221"/>
      <c r="K120" s="221"/>
      <c r="L120" s="222"/>
    </row>
    <row r="121" spans="2:15" ht="18" thickBot="1" x14ac:dyDescent="0.4">
      <c r="B121" s="156" t="s">
        <v>110</v>
      </c>
      <c r="C121" s="128">
        <f>E56</f>
        <v>3229.1699999999992</v>
      </c>
      <c r="D121" s="63">
        <f>E121-M121</f>
        <v>0.89999999999999991</v>
      </c>
      <c r="E121" s="64">
        <f>F121-M121</f>
        <v>0.92499999999999993</v>
      </c>
      <c r="F121" s="64">
        <f>G121-M121</f>
        <v>0.95</v>
      </c>
      <c r="G121" s="64">
        <f>H121-M121</f>
        <v>0.97499999999999998</v>
      </c>
      <c r="H121" s="151">
        <v>1</v>
      </c>
      <c r="I121" s="64">
        <f>H121+M121</f>
        <v>1.0249999999999999</v>
      </c>
      <c r="J121" s="64">
        <f>I121+M121</f>
        <v>1.0499999999999998</v>
      </c>
      <c r="K121" s="64">
        <f>J121+M121</f>
        <v>1.0749999999999997</v>
      </c>
      <c r="L121" s="65">
        <f>K121+M121</f>
        <v>1.0999999999999996</v>
      </c>
      <c r="M121" s="152">
        <v>2.5000000000000001E-2</v>
      </c>
    </row>
    <row r="122" spans="2:15" ht="18" thickBot="1" x14ac:dyDescent="0.4">
      <c r="B122" s="157"/>
      <c r="C122" s="129">
        <f>N106</f>
        <v>1552248.8729401333</v>
      </c>
      <c r="D122" s="9">
        <f>D121*$H122</f>
        <v>899.99999999999989</v>
      </c>
      <c r="E122" s="9">
        <f t="shared" ref="E122:G122" si="16">E121*$H122</f>
        <v>924.99999999999989</v>
      </c>
      <c r="F122" s="9">
        <f t="shared" si="16"/>
        <v>950</v>
      </c>
      <c r="G122" s="9">
        <f t="shared" si="16"/>
        <v>975</v>
      </c>
      <c r="H122" s="7">
        <v>1000</v>
      </c>
      <c r="I122" s="158">
        <f>I121*H122</f>
        <v>1025</v>
      </c>
      <c r="J122" s="9">
        <f>J121*H122</f>
        <v>1049.9999999999998</v>
      </c>
      <c r="K122" s="9">
        <f>K121*H122</f>
        <v>1074.9999999999998</v>
      </c>
      <c r="L122" s="10">
        <f>L121*H122</f>
        <v>1099.9999999999995</v>
      </c>
    </row>
    <row r="123" spans="2:15" ht="14.4" x14ac:dyDescent="0.3">
      <c r="B123" s="153">
        <f>SUM(B124-B134)</f>
        <v>0.87499999999999989</v>
      </c>
      <c r="C123" s="5">
        <f>B123*C128</f>
        <v>2825.5237499999989</v>
      </c>
      <c r="D123" s="130">
        <f t="dataTable" ref="D123:L133" dt2D="1" dtr="1" r1="J5" r2="E56"/>
        <v>1449084.415319843</v>
      </c>
      <c r="E123" s="131">
        <v>1548413.3754276345</v>
      </c>
      <c r="F123" s="131">
        <v>1647742.3355354273</v>
      </c>
      <c r="G123" s="131">
        <v>1747071.2956432188</v>
      </c>
      <c r="H123" s="131">
        <v>1846400.255751011</v>
      </c>
      <c r="I123" s="131">
        <v>1945729.2158588031</v>
      </c>
      <c r="J123" s="131">
        <v>2045058.1759665932</v>
      </c>
      <c r="K123" s="131">
        <v>2144387.1360743856</v>
      </c>
      <c r="L123" s="132">
        <v>2243716.0961821764</v>
      </c>
    </row>
    <row r="124" spans="2:15" ht="14.4" x14ac:dyDescent="0.3">
      <c r="B124" s="153">
        <f>SUM(B125-B134)</f>
        <v>0.89999999999999991</v>
      </c>
      <c r="C124" s="5">
        <f>B124*C128</f>
        <v>2906.2529999999988</v>
      </c>
      <c r="D124" s="133">
        <v>1390254.1387576677</v>
      </c>
      <c r="E124" s="134">
        <v>1489583.0988654592</v>
      </c>
      <c r="F124" s="134">
        <v>1588912.0589732521</v>
      </c>
      <c r="G124" s="134">
        <v>1688241.0190810435</v>
      </c>
      <c r="H124" s="134">
        <v>1787569.9791888357</v>
      </c>
      <c r="I124" s="134">
        <v>1886898.9392966279</v>
      </c>
      <c r="J124" s="134">
        <v>1986227.899404418</v>
      </c>
      <c r="K124" s="134">
        <v>2085556.8595122101</v>
      </c>
      <c r="L124" s="135">
        <v>2184885.8196200011</v>
      </c>
    </row>
    <row r="125" spans="2:15" ht="14.4" x14ac:dyDescent="0.3">
      <c r="B125" s="153">
        <f>SUM(B126-B134)</f>
        <v>0.92499999999999993</v>
      </c>
      <c r="C125" s="5">
        <f>B125*C128</f>
        <v>2986.9822499999991</v>
      </c>
      <c r="D125" s="133">
        <v>1331423.862195492</v>
      </c>
      <c r="E125" s="134">
        <v>1430752.8223032833</v>
      </c>
      <c r="F125" s="134">
        <v>1530081.7824110761</v>
      </c>
      <c r="G125" s="134">
        <v>1629410.7425188676</v>
      </c>
      <c r="H125" s="134">
        <v>1728739.7026266598</v>
      </c>
      <c r="I125" s="134">
        <v>1828068.6627344519</v>
      </c>
      <c r="J125" s="134">
        <v>1927397.622842242</v>
      </c>
      <c r="K125" s="134">
        <v>2026726.5829500342</v>
      </c>
      <c r="L125" s="135">
        <v>2126055.543057825</v>
      </c>
      <c r="M125" s="8"/>
    </row>
    <row r="126" spans="2:15" ht="14.4" x14ac:dyDescent="0.3">
      <c r="B126" s="153">
        <f>SUM(B127-B134)</f>
        <v>0.95</v>
      </c>
      <c r="C126" s="5">
        <f>B126*C128</f>
        <v>3067.711499999999</v>
      </c>
      <c r="D126" s="133">
        <v>1272593.5856333168</v>
      </c>
      <c r="E126" s="134">
        <v>1371922.5457411082</v>
      </c>
      <c r="F126" s="134">
        <v>1471251.5058489009</v>
      </c>
      <c r="G126" s="134">
        <v>1570580.4659566924</v>
      </c>
      <c r="H126" s="134">
        <v>1669909.4260644845</v>
      </c>
      <c r="I126" s="134">
        <v>1769238.3861722767</v>
      </c>
      <c r="J126" s="134">
        <v>1868567.3462800668</v>
      </c>
      <c r="K126" s="134">
        <v>1967896.3063878589</v>
      </c>
      <c r="L126" s="135">
        <v>2067225.2664956497</v>
      </c>
    </row>
    <row r="127" spans="2:15" ht="15" thickBot="1" x14ac:dyDescent="0.35">
      <c r="B127" s="153">
        <f>SUM(B128-B134)</f>
        <v>0.97499999999999998</v>
      </c>
      <c r="C127" s="5">
        <f>B127*C128</f>
        <v>3148.4407499999993</v>
      </c>
      <c r="D127" s="133">
        <v>1213763.3090711415</v>
      </c>
      <c r="E127" s="134">
        <v>1313092.269178933</v>
      </c>
      <c r="F127" s="134">
        <v>1412421.2292867256</v>
      </c>
      <c r="G127" s="134">
        <v>1511750.1893945171</v>
      </c>
      <c r="H127" s="134">
        <v>1611079.1495023093</v>
      </c>
      <c r="I127" s="134">
        <v>1710408.1096101014</v>
      </c>
      <c r="J127" s="134">
        <v>1809737.0697178915</v>
      </c>
      <c r="K127" s="134">
        <v>1909066.0298256837</v>
      </c>
      <c r="L127" s="135">
        <v>2008394.9899334745</v>
      </c>
    </row>
    <row r="128" spans="2:15" ht="15" thickBot="1" x14ac:dyDescent="0.35">
      <c r="B128" s="154">
        <v>1</v>
      </c>
      <c r="C128" s="7">
        <v>3229.1699999999992</v>
      </c>
      <c r="D128" s="133">
        <v>1154933.0325089656</v>
      </c>
      <c r="E128" s="134">
        <v>1254261.9926167571</v>
      </c>
      <c r="F128" s="134">
        <v>1353590.9527245499</v>
      </c>
      <c r="G128" s="134">
        <v>1452919.9128323414</v>
      </c>
      <c r="H128" s="134">
        <v>1552248.8729401333</v>
      </c>
      <c r="I128" s="134">
        <v>1651577.8330479255</v>
      </c>
      <c r="J128" s="134">
        <v>1750906.7931557156</v>
      </c>
      <c r="K128" s="134">
        <v>1850235.7532635077</v>
      </c>
      <c r="L128" s="135">
        <v>1949564.7133712985</v>
      </c>
    </row>
    <row r="129" spans="2:13" ht="14.4" x14ac:dyDescent="0.3">
      <c r="B129" s="153">
        <f>SUM(B128+B134)</f>
        <v>1.0249999999999999</v>
      </c>
      <c r="C129" s="5">
        <f>B129*C128</f>
        <v>3309.899249999999</v>
      </c>
      <c r="D129" s="133">
        <v>1096102.7559467903</v>
      </c>
      <c r="E129" s="134">
        <v>1195431.7160545818</v>
      </c>
      <c r="F129" s="134">
        <v>1294760.6761623747</v>
      </c>
      <c r="G129" s="134">
        <v>1394089.6362701661</v>
      </c>
      <c r="H129" s="134">
        <v>1493418.5963779583</v>
      </c>
      <c r="I129" s="134">
        <v>1592747.5564857502</v>
      </c>
      <c r="J129" s="134">
        <v>1692076.5165935403</v>
      </c>
      <c r="K129" s="134">
        <v>1791405.4767013325</v>
      </c>
      <c r="L129" s="135">
        <v>1890734.4368091233</v>
      </c>
    </row>
    <row r="130" spans="2:13" ht="14.4" x14ac:dyDescent="0.3">
      <c r="B130" s="153">
        <f>SUM(B129+B134)</f>
        <v>1.0499999999999998</v>
      </c>
      <c r="C130" s="5">
        <f>B130*C128</f>
        <v>3390.6284999999984</v>
      </c>
      <c r="D130" s="133">
        <v>1037272.4793846158</v>
      </c>
      <c r="E130" s="134">
        <v>1136601.4394924073</v>
      </c>
      <c r="F130" s="134">
        <v>1235930.3996002001</v>
      </c>
      <c r="G130" s="134">
        <v>1335259.3597079916</v>
      </c>
      <c r="H130" s="134">
        <v>1434588.3198157838</v>
      </c>
      <c r="I130" s="134">
        <v>1533917.2799235757</v>
      </c>
      <c r="J130" s="134">
        <v>1633246.2400313658</v>
      </c>
      <c r="K130" s="134">
        <v>1732575.2001391579</v>
      </c>
      <c r="L130" s="135">
        <v>1831904.1602469487</v>
      </c>
    </row>
    <row r="131" spans="2:13" ht="14.4" x14ac:dyDescent="0.3">
      <c r="B131" s="153">
        <f>SUM(B130+B134)</f>
        <v>1.0749999999999997</v>
      </c>
      <c r="C131" s="5">
        <f>B131*C128</f>
        <v>3471.3577499999983</v>
      </c>
      <c r="D131" s="133">
        <v>978442.20282243995</v>
      </c>
      <c r="E131" s="134">
        <v>1077771.1629302313</v>
      </c>
      <c r="F131" s="134">
        <v>1177100.1230380242</v>
      </c>
      <c r="G131" s="134">
        <v>1276429.0831458156</v>
      </c>
      <c r="H131" s="134">
        <v>1375758.0432536078</v>
      </c>
      <c r="I131" s="134">
        <v>1475087.0033614</v>
      </c>
      <c r="J131" s="134">
        <v>1574415.9634691901</v>
      </c>
      <c r="K131" s="134">
        <v>1673744.923576982</v>
      </c>
      <c r="L131" s="135">
        <v>1773073.8836847728</v>
      </c>
    </row>
    <row r="132" spans="2:13" ht="14.4" x14ac:dyDescent="0.3">
      <c r="B132" s="153">
        <f>SUM(B131+B134)</f>
        <v>1.0999999999999996</v>
      </c>
      <c r="C132" s="5">
        <f>B132*C128</f>
        <v>3552.0869999999977</v>
      </c>
      <c r="D132" s="133">
        <v>919611.92626026541</v>
      </c>
      <c r="E132" s="134">
        <v>1018940.8863680568</v>
      </c>
      <c r="F132" s="134">
        <v>1118269.8464758496</v>
      </c>
      <c r="G132" s="134">
        <v>1217598.8065836411</v>
      </c>
      <c r="H132" s="134">
        <v>1316927.7666914333</v>
      </c>
      <c r="I132" s="134">
        <v>1416256.7267992254</v>
      </c>
      <c r="J132" s="134">
        <v>1515585.6869070155</v>
      </c>
      <c r="K132" s="134">
        <v>1614914.6470148077</v>
      </c>
      <c r="L132" s="135">
        <v>1714243.6071225984</v>
      </c>
    </row>
    <row r="133" spans="2:13" ht="15" thickBot="1" x14ac:dyDescent="0.35">
      <c r="B133" s="153">
        <f>SUM(B132+B134)</f>
        <v>1.1249999999999996</v>
      </c>
      <c r="C133" s="5">
        <f>B133*C128</f>
        <v>3632.8162499999976</v>
      </c>
      <c r="D133" s="136">
        <v>860781.64969809086</v>
      </c>
      <c r="E133" s="137">
        <v>960110.60980588233</v>
      </c>
      <c r="F133" s="137">
        <v>1059439.5699136751</v>
      </c>
      <c r="G133" s="137">
        <v>1158768.5300214665</v>
      </c>
      <c r="H133" s="137">
        <v>1258097.4901292587</v>
      </c>
      <c r="I133" s="137">
        <v>1357426.4502370509</v>
      </c>
      <c r="J133" s="137">
        <v>1456755.410344841</v>
      </c>
      <c r="K133" s="137">
        <v>1556084.3704526331</v>
      </c>
      <c r="L133" s="138">
        <v>1655413.3305604239</v>
      </c>
      <c r="M133" s="8"/>
    </row>
    <row r="134" spans="2:13" ht="16.2" thickBot="1" x14ac:dyDescent="0.35">
      <c r="B134" s="127">
        <v>2.5000000000000001E-2</v>
      </c>
      <c r="C134" s="3"/>
      <c r="D134" s="3"/>
      <c r="E134" s="3"/>
      <c r="F134" s="3"/>
      <c r="G134" s="62"/>
      <c r="H134" s="3"/>
      <c r="I134" s="3"/>
      <c r="J134" s="3"/>
      <c r="K134" s="3"/>
      <c r="L134" s="4"/>
    </row>
    <row r="135" spans="2:13" ht="22.8" thickBot="1" x14ac:dyDescent="0.5">
      <c r="B135" s="125" t="s">
        <v>37</v>
      </c>
      <c r="C135" s="126">
        <f>C24</f>
        <v>90</v>
      </c>
      <c r="D135" s="220" t="s">
        <v>111</v>
      </c>
      <c r="E135" s="221"/>
      <c r="F135" s="221"/>
      <c r="G135" s="221"/>
      <c r="H135" s="221"/>
      <c r="I135" s="221"/>
      <c r="J135" s="221"/>
      <c r="K135" s="221"/>
      <c r="L135" s="222"/>
    </row>
    <row r="136" spans="2:13" ht="18" thickBot="1" x14ac:dyDescent="0.4">
      <c r="B136" s="125" t="s">
        <v>38</v>
      </c>
      <c r="C136" s="139">
        <f>C25</f>
        <v>0.1</v>
      </c>
      <c r="D136" s="63">
        <f>E136-M136</f>
        <v>0.60000000000000009</v>
      </c>
      <c r="E136" s="64">
        <f>F136-M136</f>
        <v>0.70000000000000007</v>
      </c>
      <c r="F136" s="64">
        <f>G136-M136</f>
        <v>0.8</v>
      </c>
      <c r="G136" s="64">
        <f>H136-M136</f>
        <v>0.9</v>
      </c>
      <c r="H136" s="151">
        <v>1</v>
      </c>
      <c r="I136" s="64">
        <f>H136+M136</f>
        <v>1.1000000000000001</v>
      </c>
      <c r="J136" s="64">
        <f>I136+M136</f>
        <v>1.2000000000000002</v>
      </c>
      <c r="K136" s="64">
        <f>J136+M136</f>
        <v>1.3000000000000003</v>
      </c>
      <c r="L136" s="65">
        <f>K136+M136</f>
        <v>1.4000000000000004</v>
      </c>
      <c r="M136" s="152">
        <v>0.1</v>
      </c>
    </row>
    <row r="137" spans="2:13" ht="18" thickBot="1" x14ac:dyDescent="0.4">
      <c r="B137" s="157"/>
      <c r="C137" s="129">
        <f>N106</f>
        <v>1552248.8729401333</v>
      </c>
      <c r="D137" s="161">
        <f>D136*$H137</f>
        <v>6.0000000000000012E-2</v>
      </c>
      <c r="E137" s="161">
        <f t="shared" ref="E137" si="17">E136*$H137</f>
        <v>7.0000000000000007E-2</v>
      </c>
      <c r="F137" s="161">
        <f t="shared" ref="F137" si="18">F136*$H137</f>
        <v>8.0000000000000016E-2</v>
      </c>
      <c r="G137" s="161">
        <f t="shared" ref="G137" si="19">G136*$H137</f>
        <v>9.0000000000000011E-2</v>
      </c>
      <c r="H137" s="162">
        <v>0.1</v>
      </c>
      <c r="I137" s="163">
        <f>I136*H137</f>
        <v>0.11000000000000001</v>
      </c>
      <c r="J137" s="161">
        <f>J136*H137</f>
        <v>0.12000000000000002</v>
      </c>
      <c r="K137" s="161">
        <f>K136*H137</f>
        <v>0.13000000000000003</v>
      </c>
      <c r="L137" s="164">
        <f>L136*H137</f>
        <v>0.14000000000000004</v>
      </c>
    </row>
    <row r="138" spans="2:13" ht="14.4" x14ac:dyDescent="0.3">
      <c r="B138" s="153">
        <f>SUM(B139-B149)</f>
        <v>0.87499999999999989</v>
      </c>
      <c r="C138" s="159">
        <f>B138*C143</f>
        <v>78.749999999999986</v>
      </c>
      <c r="D138" s="130">
        <f t="dataTable" ref="D138:L148" dt2D="1" dtr="1" r1="C25" r2="C24" ca="1"/>
        <v>1850640.0757304195</v>
      </c>
      <c r="E138" s="131">
        <v>1715007.7108257441</v>
      </c>
      <c r="F138" s="131">
        <v>1613283.4371472374</v>
      </c>
      <c r="G138" s="131">
        <v>1534164.55761951</v>
      </c>
      <c r="H138" s="131">
        <v>1470869.4539973282</v>
      </c>
      <c r="I138" s="131">
        <v>1419082.551033725</v>
      </c>
      <c r="J138" s="131">
        <v>1375926.7985640552</v>
      </c>
      <c r="K138" s="131">
        <v>1339410.3926281808</v>
      </c>
      <c r="L138" s="132">
        <v>1308110.6161117177</v>
      </c>
    </row>
    <row r="139" spans="2:13" ht="14.4" x14ac:dyDescent="0.3">
      <c r="B139" s="153">
        <f>SUM(B140-B149)</f>
        <v>0.89999999999999991</v>
      </c>
      <c r="C139" s="159">
        <f>B139*C143</f>
        <v>80.999999999999986</v>
      </c>
      <c r="D139" s="133">
        <v>1877766.5487113546</v>
      </c>
      <c r="E139" s="134">
        <v>1738258.9733808304</v>
      </c>
      <c r="F139" s="134">
        <v>1633628.2918829387</v>
      </c>
      <c r="G139" s="134">
        <v>1552248.8729401333</v>
      </c>
      <c r="H139" s="134">
        <v>1487145.3377858892</v>
      </c>
      <c r="I139" s="134">
        <v>1433878.8090233251</v>
      </c>
      <c r="J139" s="134">
        <v>1389490.0350545228</v>
      </c>
      <c r="K139" s="134">
        <v>1351930.3032347662</v>
      </c>
      <c r="L139" s="135">
        <v>1319736.2473892611</v>
      </c>
    </row>
    <row r="140" spans="2:13" ht="14.4" x14ac:dyDescent="0.3">
      <c r="B140" s="153">
        <f>SUM(B141-B149)</f>
        <v>0.92499999999999993</v>
      </c>
      <c r="C140" s="159">
        <f>B140*C143</f>
        <v>83.25</v>
      </c>
      <c r="D140" s="133">
        <v>1904893.0216922897</v>
      </c>
      <c r="E140" s="134">
        <v>1761510.2359359188</v>
      </c>
      <c r="F140" s="134">
        <v>1653973.1466186401</v>
      </c>
      <c r="G140" s="134">
        <v>1570333.1882607569</v>
      </c>
      <c r="H140" s="134">
        <v>1503421.2215744501</v>
      </c>
      <c r="I140" s="134">
        <v>1448675.0670129263</v>
      </c>
      <c r="J140" s="134">
        <v>1403053.2715449904</v>
      </c>
      <c r="K140" s="134">
        <v>1364450.2138413517</v>
      </c>
      <c r="L140" s="135">
        <v>1331361.8786668046</v>
      </c>
    </row>
    <row r="141" spans="2:13" ht="14.4" x14ac:dyDescent="0.3">
      <c r="B141" s="153">
        <f>SUM(B142-B149)</f>
        <v>0.95</v>
      </c>
      <c r="C141" s="159">
        <f>B141*C143</f>
        <v>85.5</v>
      </c>
      <c r="D141" s="133">
        <v>1932019.4946732246</v>
      </c>
      <c r="E141" s="134">
        <v>1784761.498491005</v>
      </c>
      <c r="F141" s="134">
        <v>1674318.0013543414</v>
      </c>
      <c r="G141" s="134">
        <v>1588417.5035813802</v>
      </c>
      <c r="H141" s="134">
        <v>1519697.1053630114</v>
      </c>
      <c r="I141" s="134">
        <v>1463471.3250025271</v>
      </c>
      <c r="J141" s="134">
        <v>1416616.5080354579</v>
      </c>
      <c r="K141" s="134">
        <v>1376970.1244479374</v>
      </c>
      <c r="L141" s="135">
        <v>1342987.5099443481</v>
      </c>
    </row>
    <row r="142" spans="2:13" ht="15" thickBot="1" x14ac:dyDescent="0.35">
      <c r="B142" s="153">
        <f>SUM(B143-B149)</f>
        <v>0.97499999999999998</v>
      </c>
      <c r="C142" s="159">
        <f>B142*C143</f>
        <v>87.75</v>
      </c>
      <c r="D142" s="133">
        <v>1959145.9676541598</v>
      </c>
      <c r="E142" s="134">
        <v>1808012.7610460927</v>
      </c>
      <c r="F142" s="134">
        <v>1694662.8560900427</v>
      </c>
      <c r="G142" s="134">
        <v>1606501.8189020036</v>
      </c>
      <c r="H142" s="134">
        <v>1535972.9891515723</v>
      </c>
      <c r="I142" s="134">
        <v>1478267.5829921286</v>
      </c>
      <c r="J142" s="134">
        <v>1430179.7445259255</v>
      </c>
      <c r="K142" s="134">
        <v>1389490.0350545228</v>
      </c>
      <c r="L142" s="135">
        <v>1354613.1412218923</v>
      </c>
    </row>
    <row r="143" spans="2:13" ht="15" thickBot="1" x14ac:dyDescent="0.35">
      <c r="B143" s="154">
        <v>1</v>
      </c>
      <c r="C143" s="160">
        <v>90</v>
      </c>
      <c r="D143" s="133">
        <v>1986272.4406350949</v>
      </c>
      <c r="E143" s="134">
        <v>1831264.0236011797</v>
      </c>
      <c r="F143" s="134">
        <v>1715007.7108257441</v>
      </c>
      <c r="G143" s="134">
        <v>1624586.1342226269</v>
      </c>
      <c r="H143" s="134">
        <v>1552248.8729401333</v>
      </c>
      <c r="I143" s="134">
        <v>1493063.8409817298</v>
      </c>
      <c r="J143" s="134">
        <v>1443742.9810163931</v>
      </c>
      <c r="K143" s="134">
        <v>1402009.9456611085</v>
      </c>
      <c r="L143" s="135">
        <v>1366238.7724994358</v>
      </c>
    </row>
    <row r="144" spans="2:13" ht="14.4" x14ac:dyDescent="0.3">
      <c r="B144" s="153">
        <f>SUM(B143+B149)</f>
        <v>1.0249999999999999</v>
      </c>
      <c r="C144" s="159">
        <f>B144*C143</f>
        <v>92.249999999999986</v>
      </c>
      <c r="D144" s="133">
        <v>2013398.91361603</v>
      </c>
      <c r="E144" s="134">
        <v>1854515.2861562676</v>
      </c>
      <c r="F144" s="134">
        <v>1735352.5655614452</v>
      </c>
      <c r="G144" s="134">
        <v>1642670.4495432505</v>
      </c>
      <c r="H144" s="134">
        <v>1568524.7567286945</v>
      </c>
      <c r="I144" s="134">
        <v>1507860.0989713306</v>
      </c>
      <c r="J144" s="134">
        <v>1457306.2175068606</v>
      </c>
      <c r="K144" s="134">
        <v>1414529.8562676932</v>
      </c>
      <c r="L144" s="135">
        <v>1377864.4037769786</v>
      </c>
    </row>
    <row r="145" spans="2:12" ht="14.4" x14ac:dyDescent="0.3">
      <c r="B145" s="153">
        <f>SUM(B144+B149)</f>
        <v>1.0499999999999998</v>
      </c>
      <c r="C145" s="159">
        <f>B145*C143</f>
        <v>94.499999999999986</v>
      </c>
      <c r="D145" s="133">
        <v>2040525.3865969644</v>
      </c>
      <c r="E145" s="134">
        <v>1877766.5487113546</v>
      </c>
      <c r="F145" s="134">
        <v>1755697.4202971465</v>
      </c>
      <c r="G145" s="134">
        <v>1660754.7648638738</v>
      </c>
      <c r="H145" s="134">
        <v>1584800.6405172555</v>
      </c>
      <c r="I145" s="134">
        <v>1522656.3569609313</v>
      </c>
      <c r="J145" s="134">
        <v>1470869.4539973282</v>
      </c>
      <c r="K145" s="134">
        <v>1427049.7668742794</v>
      </c>
      <c r="L145" s="135">
        <v>1389490.0350545228</v>
      </c>
    </row>
    <row r="146" spans="2:12" ht="14.4" x14ac:dyDescent="0.3">
      <c r="B146" s="153">
        <f>SUM(B145+B149)</f>
        <v>1.0749999999999997</v>
      </c>
      <c r="C146" s="159">
        <f>B146*C143</f>
        <v>96.749999999999972</v>
      </c>
      <c r="D146" s="133">
        <v>2067651.8595778996</v>
      </c>
      <c r="E146" s="134">
        <v>1901017.8112664409</v>
      </c>
      <c r="F146" s="134">
        <v>1776042.2750328472</v>
      </c>
      <c r="G146" s="134">
        <v>1678839.0801844972</v>
      </c>
      <c r="H146" s="134">
        <v>1601076.5243058165</v>
      </c>
      <c r="I146" s="134">
        <v>1537452.6149505321</v>
      </c>
      <c r="J146" s="134">
        <v>1484432.6904877957</v>
      </c>
      <c r="K146" s="134">
        <v>1439569.6774808643</v>
      </c>
      <c r="L146" s="135">
        <v>1401115.6663320663</v>
      </c>
    </row>
    <row r="147" spans="2:12" ht="14.4" x14ac:dyDescent="0.3">
      <c r="B147" s="153">
        <f>SUM(B146+B149)</f>
        <v>1.0999999999999996</v>
      </c>
      <c r="C147" s="159">
        <f>B147*C143</f>
        <v>98.999999999999972</v>
      </c>
      <c r="D147" s="133">
        <v>2094778.3325588347</v>
      </c>
      <c r="E147" s="134">
        <v>1924269.0738215286</v>
      </c>
      <c r="F147" s="134">
        <v>1796387.1297685485</v>
      </c>
      <c r="G147" s="134">
        <v>1696923.3955051205</v>
      </c>
      <c r="H147" s="134">
        <v>1617352.4080943777</v>
      </c>
      <c r="I147" s="134">
        <v>1552248.8729401333</v>
      </c>
      <c r="J147" s="134">
        <v>1497995.9269782633</v>
      </c>
      <c r="K147" s="134">
        <v>1452089.5880874498</v>
      </c>
      <c r="L147" s="135">
        <v>1412741.2976096091</v>
      </c>
    </row>
    <row r="148" spans="2:12" ht="15" thickBot="1" x14ac:dyDescent="0.35">
      <c r="B148" s="153">
        <f>SUM(B147+B149)</f>
        <v>1.1249999999999996</v>
      </c>
      <c r="C148" s="159">
        <f>B148*C143</f>
        <v>101.24999999999996</v>
      </c>
      <c r="D148" s="136">
        <v>2121904.8055397691</v>
      </c>
      <c r="E148" s="137">
        <v>1947520.3363766156</v>
      </c>
      <c r="F148" s="137">
        <v>1816731.9845042499</v>
      </c>
      <c r="G148" s="137">
        <v>1715007.7108257434</v>
      </c>
      <c r="H148" s="137">
        <v>1633628.2918829387</v>
      </c>
      <c r="I148" s="137">
        <v>1567045.1309297341</v>
      </c>
      <c r="J148" s="137">
        <v>1511559.1634687302</v>
      </c>
      <c r="K148" s="137">
        <v>1464609.4986940348</v>
      </c>
      <c r="L148" s="138">
        <v>1424366.9288871535</v>
      </c>
    </row>
    <row r="149" spans="2:12" ht="16.2" thickBot="1" x14ac:dyDescent="0.35">
      <c r="B149" s="127">
        <v>2.5000000000000001E-2</v>
      </c>
      <c r="C149" s="3"/>
      <c r="D149" s="3"/>
      <c r="E149" s="3"/>
      <c r="F149" s="3"/>
      <c r="G149" s="62"/>
      <c r="H149" s="3"/>
      <c r="I149" s="3"/>
      <c r="J149" s="3"/>
      <c r="K149" s="3"/>
      <c r="L149" s="4"/>
    </row>
  </sheetData>
  <mergeCells count="2">
    <mergeCell ref="D120:L120"/>
    <mergeCell ref="D135:L135"/>
  </mergeCells>
  <conditionalFormatting sqref="D123:L133">
    <cfRule type="cellIs" dxfId="1" priority="3" operator="equal">
      <formula>$N$106</formula>
    </cfRule>
    <cfRule type="colorScale" priority="4">
      <colorScale>
        <cfvo type="min"/>
        <cfvo type="max"/>
        <color rgb="FFFF0000"/>
        <color rgb="FF00FF00"/>
      </colorScale>
    </cfRule>
  </conditionalFormatting>
  <conditionalFormatting sqref="D138:L148">
    <cfRule type="cellIs" dxfId="0" priority="1" operator="equal">
      <formula>$N$106</formula>
    </cfRule>
    <cfRule type="colorScale" priority="2">
      <colorScale>
        <cfvo type="min"/>
        <cfvo type="max"/>
        <color rgb="FFFF0000"/>
        <color rgb="FF00FF00"/>
      </colorScale>
    </cfRule>
  </conditionalFormatting>
  <hyperlinks>
    <hyperlink ref="B117" r:id="rId1" xr:uid="{00000000-0004-0000-1300-000000000000}"/>
  </hyperlinks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DevApp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2026-01-23T12:33:22Z</dcterms:modified>
</cp:coreProperties>
</file>