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Done/"/>
    </mc:Choice>
  </mc:AlternateContent>
  <xr:revisionPtr revIDLastSave="0" documentId="14_{C931A3EA-F826-4277-8665-F8A1EC93A4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 App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3" l="1"/>
  <c r="D12" i="23"/>
  <c r="I110" i="23"/>
  <c r="J110" i="23" s="1"/>
  <c r="G110" i="23"/>
  <c r="F110" i="23" s="1"/>
  <c r="H109" i="23"/>
  <c r="I93" i="23"/>
  <c r="I92" i="23" s="1"/>
  <c r="G93" i="23"/>
  <c r="F93" i="23" s="1"/>
  <c r="H92" i="23"/>
  <c r="I76" i="23"/>
  <c r="I75" i="23" s="1"/>
  <c r="G76" i="23"/>
  <c r="F76" i="23" s="1"/>
  <c r="H75" i="23"/>
  <c r="B101" i="23"/>
  <c r="B102" i="23" s="1"/>
  <c r="B100" i="23"/>
  <c r="C100" i="23" s="1"/>
  <c r="B98" i="23"/>
  <c r="B97" i="23" s="1"/>
  <c r="B83" i="23"/>
  <c r="C83" i="23" s="1"/>
  <c r="B81" i="23"/>
  <c r="C81" i="23" s="1"/>
  <c r="B80" i="23"/>
  <c r="C80" i="23" s="1"/>
  <c r="D58" i="23"/>
  <c r="G59" i="23"/>
  <c r="G58" i="23" s="1"/>
  <c r="C121" i="23"/>
  <c r="C120" i="23"/>
  <c r="C119" i="23"/>
  <c r="C118" i="23"/>
  <c r="C117" i="23"/>
  <c r="C115" i="23"/>
  <c r="C114" i="23"/>
  <c r="C113" i="23"/>
  <c r="C112" i="23"/>
  <c r="C111" i="23"/>
  <c r="C70" i="23"/>
  <c r="C69" i="23"/>
  <c r="C68" i="23"/>
  <c r="C67" i="23"/>
  <c r="C66" i="23"/>
  <c r="C64" i="23"/>
  <c r="C63" i="23"/>
  <c r="C62" i="23"/>
  <c r="C61" i="23"/>
  <c r="C60" i="23"/>
  <c r="B70" i="23"/>
  <c r="B69" i="23"/>
  <c r="B68" i="23"/>
  <c r="B67" i="23"/>
  <c r="B66" i="23"/>
  <c r="B64" i="23"/>
  <c r="B63" i="23"/>
  <c r="B62" i="23"/>
  <c r="B61" i="23"/>
  <c r="B60" i="23"/>
  <c r="I59" i="23"/>
  <c r="I58" i="23" s="1"/>
  <c r="F59" i="23"/>
  <c r="H58" i="23"/>
  <c r="B111" i="23"/>
  <c r="B115" i="23"/>
  <c r="B114" i="23"/>
  <c r="B113" i="23"/>
  <c r="B112" i="23" s="1"/>
  <c r="B121" i="23"/>
  <c r="B120" i="23"/>
  <c r="B119" i="23"/>
  <c r="B118" i="23"/>
  <c r="B117" i="23"/>
  <c r="F52" i="23"/>
  <c r="C57" i="23"/>
  <c r="C58" i="23"/>
  <c r="L41" i="23"/>
  <c r="C109" i="23"/>
  <c r="C108" i="23"/>
  <c r="C92" i="23"/>
  <c r="C91" i="23"/>
  <c r="C75" i="23"/>
  <c r="C74" i="23"/>
  <c r="L39" i="23"/>
  <c r="F35" i="23"/>
  <c r="B30" i="23"/>
  <c r="B29" i="23"/>
  <c r="G28" i="23"/>
  <c r="C28" i="23"/>
  <c r="B28" i="23"/>
  <c r="G27" i="23"/>
  <c r="C27" i="23"/>
  <c r="B27" i="23"/>
  <c r="G26" i="23"/>
  <c r="E26" i="23"/>
  <c r="E27" i="23" s="1"/>
  <c r="C26" i="23"/>
  <c r="B26" i="23"/>
  <c r="G25" i="23"/>
  <c r="C25" i="23"/>
  <c r="C29" i="23" s="1"/>
  <c r="I29" i="23" s="1"/>
  <c r="B25" i="23"/>
  <c r="G21" i="23"/>
  <c r="G20" i="23"/>
  <c r="G18" i="23"/>
  <c r="E17" i="23"/>
  <c r="E20" i="23" s="1"/>
  <c r="J11" i="23"/>
  <c r="H11" i="23"/>
  <c r="E11" i="23"/>
  <c r="K11" i="23" s="1"/>
  <c r="J10" i="23"/>
  <c r="H10" i="23"/>
  <c r="E10" i="23"/>
  <c r="D9" i="23"/>
  <c r="C9" i="23"/>
  <c r="G8" i="23"/>
  <c r="E8" i="23"/>
  <c r="G7" i="23"/>
  <c r="H7" i="23" s="1"/>
  <c r="E7" i="23"/>
  <c r="G6" i="23"/>
  <c r="H6" i="23" s="1"/>
  <c r="E6" i="23"/>
  <c r="I5" i="23"/>
  <c r="K5" i="23" s="1"/>
  <c r="H5" i="23"/>
  <c r="E5" i="23"/>
  <c r="E110" i="23" l="1"/>
  <c r="F109" i="23"/>
  <c r="K110" i="23"/>
  <c r="J109" i="23"/>
  <c r="I109" i="23"/>
  <c r="G109" i="23"/>
  <c r="E93" i="23"/>
  <c r="F92" i="23"/>
  <c r="J93" i="23"/>
  <c r="G92" i="23"/>
  <c r="E76" i="23"/>
  <c r="F75" i="23"/>
  <c r="J76" i="23"/>
  <c r="G75" i="23"/>
  <c r="C97" i="23"/>
  <c r="B96" i="23"/>
  <c r="C102" i="23"/>
  <c r="B103" i="23"/>
  <c r="C98" i="23"/>
  <c r="C101" i="23"/>
  <c r="B79" i="23"/>
  <c r="B84" i="23"/>
  <c r="E59" i="23"/>
  <c r="F58" i="23"/>
  <c r="J59" i="23"/>
  <c r="I6" i="23"/>
  <c r="K6" i="23" s="1"/>
  <c r="C30" i="23"/>
  <c r="I30" i="23" s="1"/>
  <c r="I25" i="23"/>
  <c r="I26" i="23"/>
  <c r="F11" i="23"/>
  <c r="H20" i="23"/>
  <c r="K10" i="23"/>
  <c r="H17" i="23"/>
  <c r="I28" i="23"/>
  <c r="E9" i="23"/>
  <c r="I8" i="23"/>
  <c r="K8" i="23" s="1"/>
  <c r="F6" i="23"/>
  <c r="F7" i="23"/>
  <c r="F10" i="23"/>
  <c r="I7" i="23"/>
  <c r="K7" i="23" s="1"/>
  <c r="H8" i="23"/>
  <c r="E12" i="23"/>
  <c r="D34" i="23"/>
  <c r="I27" i="23"/>
  <c r="G31" i="23"/>
  <c r="F8" i="23" l="1"/>
  <c r="F5" i="23"/>
  <c r="L110" i="23"/>
  <c r="L109" i="23" s="1"/>
  <c r="K109" i="23"/>
  <c r="D110" i="23"/>
  <c r="D109" i="23" s="1"/>
  <c r="E109" i="23"/>
  <c r="K93" i="23"/>
  <c r="J92" i="23"/>
  <c r="D93" i="23"/>
  <c r="D92" i="23" s="1"/>
  <c r="E92" i="23"/>
  <c r="K76" i="23"/>
  <c r="J75" i="23"/>
  <c r="D76" i="23"/>
  <c r="D75" i="23" s="1"/>
  <c r="E75" i="23"/>
  <c r="B104" i="23"/>
  <c r="C104" i="23" s="1"/>
  <c r="C103" i="23"/>
  <c r="B95" i="23"/>
  <c r="C96" i="23"/>
  <c r="C84" i="23"/>
  <c r="B85" i="23"/>
  <c r="C79" i="23"/>
  <c r="B78" i="23"/>
  <c r="K9" i="23"/>
  <c r="K14" i="23" s="1"/>
  <c r="E46" i="23" s="1"/>
  <c r="K59" i="23"/>
  <c r="J58" i="23"/>
  <c r="D59" i="23"/>
  <c r="E58" i="23"/>
  <c r="I9" i="23"/>
  <c r="I31" i="23"/>
  <c r="F13" i="23"/>
  <c r="E13" i="23"/>
  <c r="I32" i="23"/>
  <c r="L93" i="23" l="1"/>
  <c r="L92" i="23" s="1"/>
  <c r="K92" i="23"/>
  <c r="L76" i="23"/>
  <c r="L75" i="23" s="1"/>
  <c r="K75" i="23"/>
  <c r="C95" i="23"/>
  <c r="B94" i="23"/>
  <c r="C94" i="23" s="1"/>
  <c r="C78" i="23"/>
  <c r="B77" i="23"/>
  <c r="C77" i="23" s="1"/>
  <c r="C85" i="23"/>
  <c r="B86" i="23"/>
  <c r="E21" i="23"/>
  <c r="H21" i="23" s="1"/>
  <c r="E18" i="23"/>
  <c r="H18" i="23" s="1"/>
  <c r="L59" i="23"/>
  <c r="L58" i="23" s="1"/>
  <c r="K58" i="23"/>
  <c r="I35" i="23"/>
  <c r="I36" i="23" s="1"/>
  <c r="I37" i="23" s="1"/>
  <c r="I39" i="23" s="1"/>
  <c r="B87" i="23" l="1"/>
  <c r="C87" i="23" s="1"/>
  <c r="C86" i="23"/>
  <c r="H22" i="23"/>
  <c r="K22" i="23" s="1"/>
  <c r="K37" i="23" s="1"/>
  <c r="K45" i="23" s="1"/>
  <c r="C59" i="23" s="1"/>
  <c r="I41" i="23"/>
  <c r="C76" i="23" l="1"/>
  <c r="F53" i="23"/>
  <c r="F54" i="23" s="1"/>
  <c r="I40" i="23" s="1"/>
  <c r="I42" i="23" l="1"/>
  <c r="I43" i="23" s="1"/>
  <c r="D40" i="23"/>
  <c r="L40" i="23" s="1"/>
  <c r="L42" i="23" s="1"/>
  <c r="K46" i="23" l="1"/>
  <c r="E47" i="23"/>
  <c r="C93" i="23" s="1"/>
  <c r="L43" i="23"/>
  <c r="L44" i="23" s="1"/>
  <c r="I44" i="23"/>
  <c r="G46" i="23" s="1"/>
  <c r="G47" i="23" s="1"/>
  <c r="C110" i="23" s="1"/>
  <c r="K47" i="23" l="1"/>
</calcChain>
</file>

<file path=xl/sharedStrings.xml><?xml version="1.0" encoding="utf-8"?>
<sst xmlns="http://schemas.openxmlformats.org/spreadsheetml/2006/main" count="144" uniqueCount="75">
  <si>
    <t>sq.ft</t>
  </si>
  <si>
    <t>sq.m</t>
  </si>
  <si>
    <t>sqm</t>
  </si>
  <si>
    <t>for</t>
  </si>
  <si>
    <t>N/A</t>
  </si>
  <si>
    <t>@</t>
  </si>
  <si>
    <t>Less</t>
  </si>
  <si>
    <t>Completed Development Value</t>
  </si>
  <si>
    <t xml:space="preserve"> </t>
  </si>
  <si>
    <t>Sales Income</t>
  </si>
  <si>
    <t>Gross</t>
  </si>
  <si>
    <t>Sales Price</t>
  </si>
  <si>
    <t>Unit (Av)</t>
  </si>
  <si>
    <t>YP</t>
  </si>
  <si>
    <t>House No. 1</t>
  </si>
  <si>
    <t xml:space="preserve">  </t>
  </si>
  <si>
    <t>House No. 2</t>
  </si>
  <si>
    <t>House No. 3</t>
  </si>
  <si>
    <t>House No. 4</t>
  </si>
  <si>
    <t>Total Private Res</t>
  </si>
  <si>
    <t>Office</t>
  </si>
  <si>
    <t>Basement</t>
  </si>
  <si>
    <t>Car spaces</t>
  </si>
  <si>
    <t>Total Sales</t>
  </si>
  <si>
    <t>Sale Costs</t>
  </si>
  <si>
    <t>Agents</t>
  </si>
  <si>
    <t>Lettings</t>
  </si>
  <si>
    <t>of</t>
  </si>
  <si>
    <t xml:space="preserve"> plus VAT @</t>
  </si>
  <si>
    <t>Sales</t>
  </si>
  <si>
    <t>Solicitors</t>
  </si>
  <si>
    <t>Cost of Development</t>
  </si>
  <si>
    <t>Average Unit Size</t>
  </si>
  <si>
    <t xml:space="preserve">     @</t>
  </si>
  <si>
    <t xml:space="preserve"> / sqm</t>
  </si>
  <si>
    <t>sqm  =</t>
  </si>
  <si>
    <t>Professional fees</t>
  </si>
  <si>
    <t>Site works</t>
  </si>
  <si>
    <t xml:space="preserve">    =</t>
  </si>
  <si>
    <t>CIL</t>
  </si>
  <si>
    <t>Finance</t>
  </si>
  <si>
    <t>months</t>
  </si>
  <si>
    <t>Profit</t>
  </si>
  <si>
    <t>Sub-total =</t>
  </si>
  <si>
    <t>Cost of site and associated costs</t>
  </si>
  <si>
    <t>x</t>
  </si>
  <si>
    <t>Solicitors fees</t>
  </si>
  <si>
    <t xml:space="preserve"> plus VAT</t>
  </si>
  <si>
    <t>Stamp Duty Land Tax</t>
  </si>
  <si>
    <t>Planning Costs</t>
  </si>
  <si>
    <t>Building / Site value unadjusted =</t>
  </si>
  <si>
    <t>GDV</t>
  </si>
  <si>
    <t>Dev Costs</t>
  </si>
  <si>
    <t>Return on GDV</t>
  </si>
  <si>
    <t>Development Profit</t>
  </si>
  <si>
    <t>Site Val to Dev Costs</t>
  </si>
  <si>
    <t>Return on Costs</t>
  </si>
  <si>
    <t>Stamp Duty Land Tax - SDLT for non-residential purchases</t>
  </si>
  <si>
    <t>Property or lease premium or transfer value</t>
  </si>
  <si>
    <t>SDLT rate</t>
  </si>
  <si>
    <t>Up to £150,000</t>
  </si>
  <si>
    <t>Zero</t>
  </si>
  <si>
    <t>The next £100,000 (the portion from £150,001 to £250,000)</t>
  </si>
  <si>
    <t>The remaining amount (the portion above £250,000)</t>
  </si>
  <si>
    <t>SDLT:</t>
  </si>
  <si>
    <t>Sales/sqm=</t>
  </si>
  <si>
    <t>Site Value = Sales / sqm v Construction Cost / sqm</t>
  </si>
  <si>
    <t>Bldg/sqm=</t>
  </si>
  <si>
    <t>Office Rent/sqm</t>
  </si>
  <si>
    <t>Site Value = Office + Basement Rent</t>
  </si>
  <si>
    <t>Basement Rt/sqm</t>
  </si>
  <si>
    <t>Development Profit = Basement Rent/sq.ft + Resy Sales/sq.ft</t>
  </si>
  <si>
    <t>Resy Sales/sq.ft</t>
  </si>
  <si>
    <t>Site Value to Development Costs = Basement Rent/sq.ft + Resy Sales/sq.ft</t>
  </si>
  <si>
    <t>Manual Input Above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</si>
</sst>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_-&quot;£&quot;* #,##0_-;\-&quot;£&quot;* #,##0_-;_-&quot;£&quot;* &quot;-&quot;??_-;_-@_-"/>
    <numFmt numFmtId="166" formatCode="_-* #,##0_-;\-* #,##0_-;_-* &quot;-&quot;??_-;_-@_-"/>
    <numFmt numFmtId="167" formatCode="0.000"/>
    <numFmt numFmtId="168" formatCode="_-* #,##0.000_-;\-* #,##0.000_-;_-* &quot;-&quot;??_-;_-@_-"/>
    <numFmt numFmtId="169" formatCode="_(* #,##0_);_(* \(#,##0\);_(* &quot;-&quot;??_);_(@_)"/>
    <numFmt numFmtId="170" formatCode="_-[$£-809]* #,##0_-;\-[$£-809]* #,##0_-;_-[$£-809]* &quot;-&quot;??_-;_-@_-"/>
    <numFmt numFmtId="171" formatCode="&quot;£&quot;#,##0\ &quot;/sq.m&quot;"/>
    <numFmt numFmtId="172" formatCode="&quot;£&quot;#,##0\ &quot;/sq.ft&quot;"/>
    <numFmt numFmtId="173" formatCode="&quot;£&quot;#,##0"/>
    <numFmt numFmtId="174" formatCode="#,##0\ &quot;units&quot;"/>
    <numFmt numFmtId="175" formatCode="#,##0\ &quot;sqm&quot;"/>
    <numFmt numFmtId="176" formatCode="#,##0\ &quot;sq.ft&quot;"/>
    <numFmt numFmtId="177" formatCode="[$£-809]#,##0"/>
    <numFmt numFmtId="179" formatCode="&quot;£&quot;#,##0\ &quot;/sqm/pa&quot;"/>
    <numFmt numFmtId="180" formatCode="&quot;£&quot;#,##0.0\ &quot;/sq.ft/p.a&quot;"/>
    <numFmt numFmtId="181" formatCode="[$£-809]#,##0.00"/>
    <numFmt numFmtId="182" formatCode="_-* #,##0.000000_-;\-* #,##0.000000_-;_-* &quot;-&quot;??_-;_-@_-"/>
    <numFmt numFmtId="185" formatCode="_-&quot;£&quot;* #,##0.0_-;\-&quot;£&quot;* #,##0.0_-;_-&quot;£&quot;* &quot;-&quot;??_-;_-@_-"/>
  </numFmts>
  <fonts count="34" x14ac:knownFonts="1">
    <font>
      <sz val="10"/>
      <name val="Arial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0070C0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8"/>
      <color indexed="10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name val="Calibri"/>
      <family val="2"/>
      <scheme val="minor"/>
    </font>
    <font>
      <sz val="10"/>
      <color theme="0"/>
      <name val="Arial"/>
      <family val="2"/>
    </font>
    <font>
      <b/>
      <sz val="8"/>
      <color rgb="FF7030A0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  <font>
      <b/>
      <u/>
      <sz val="8"/>
      <color rgb="FFFF0000"/>
      <name val="Arial"/>
      <family val="2"/>
    </font>
    <font>
      <u/>
      <sz val="8"/>
      <color rgb="FFFF0000"/>
      <name val="Arial"/>
      <family val="2"/>
    </font>
    <font>
      <b/>
      <u/>
      <sz val="8"/>
      <color rgb="FF0070C0"/>
      <name val="Arial"/>
      <family val="2"/>
    </font>
    <font>
      <sz val="8"/>
      <color rgb="FF7030A0"/>
      <name val="Arial"/>
      <family val="2"/>
    </font>
    <font>
      <b/>
      <sz val="8"/>
      <color rgb="FF0070C0"/>
      <name val="Arial"/>
      <family val="2"/>
    </font>
    <font>
      <b/>
      <sz val="8"/>
      <color rgb="FFFF00FF"/>
      <name val="Arial"/>
      <family val="2"/>
    </font>
    <font>
      <u val="singleAccounting"/>
      <sz val="8"/>
      <name val="Arial"/>
      <family val="2"/>
    </font>
    <font>
      <b/>
      <u/>
      <sz val="10"/>
      <color rgb="FF3E0DF1"/>
      <name val="Arial"/>
      <family val="2"/>
    </font>
    <font>
      <b/>
      <sz val="12"/>
      <color rgb="FF7030A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E0DF1"/>
      <name val="Arial"/>
      <family val="2"/>
    </font>
    <font>
      <b/>
      <sz val="10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505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83">
    <xf numFmtId="0" fontId="0" fillId="0" borderId="0" xfId="0"/>
    <xf numFmtId="0" fontId="3" fillId="0" borderId="0" xfId="0" applyFont="1"/>
    <xf numFmtId="0" fontId="0" fillId="0" borderId="3" xfId="0" applyBorder="1"/>
    <xf numFmtId="1" fontId="0" fillId="0" borderId="0" xfId="0" applyNumberFormat="1"/>
    <xf numFmtId="0" fontId="8" fillId="7" borderId="13" xfId="0" applyFont="1" applyFill="1" applyBorder="1"/>
    <xf numFmtId="0" fontId="8" fillId="7" borderId="14" xfId="0" applyFont="1" applyFill="1" applyBorder="1"/>
    <xf numFmtId="0" fontId="8" fillId="7" borderId="15" xfId="0" applyFont="1" applyFill="1" applyBorder="1"/>
    <xf numFmtId="170" fontId="12" fillId="4" borderId="19" xfId="0" applyNumberFormat="1" applyFont="1" applyFill="1" applyBorder="1" applyAlignment="1">
      <alignment horizontal="center"/>
    </xf>
    <xf numFmtId="165" fontId="13" fillId="8" borderId="18" xfId="2" applyNumberFormat="1" applyFont="1" applyFill="1" applyBorder="1" applyAlignment="1">
      <alignment horizontal="center"/>
    </xf>
    <xf numFmtId="165" fontId="2" fillId="0" borderId="4" xfId="2" applyNumberFormat="1" applyFont="1" applyFill="1" applyBorder="1" applyAlignment="1">
      <alignment horizontal="center"/>
    </xf>
    <xf numFmtId="165" fontId="0" fillId="0" borderId="0" xfId="2" applyNumberFormat="1" applyFont="1"/>
    <xf numFmtId="165" fontId="7" fillId="2" borderId="4" xfId="2" applyNumberFormat="1" applyFont="1" applyFill="1" applyBorder="1"/>
    <xf numFmtId="9" fontId="0" fillId="0" borderId="0" xfId="3" applyFont="1"/>
    <xf numFmtId="44" fontId="16" fillId="4" borderId="8" xfId="2" applyFont="1" applyFill="1" applyBorder="1" applyAlignment="1">
      <alignment horizontal="right"/>
    </xf>
    <xf numFmtId="0" fontId="18" fillId="3" borderId="5" xfId="0" applyFont="1" applyFill="1" applyBorder="1"/>
    <xf numFmtId="0" fontId="9" fillId="3" borderId="6" xfId="0" applyFont="1" applyFill="1" applyBorder="1"/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/>
    <xf numFmtId="0" fontId="19" fillId="3" borderId="8" xfId="0" applyFont="1" applyFill="1" applyBorder="1"/>
    <xf numFmtId="0" fontId="9" fillId="3" borderId="0" xfId="0" applyFont="1" applyFill="1"/>
    <xf numFmtId="0" fontId="19" fillId="3" borderId="0" xfId="0" applyFont="1" applyFill="1" applyAlignment="1">
      <alignment horizontal="right"/>
    </xf>
    <xf numFmtId="0" fontId="19" fillId="3" borderId="0" xfId="0" applyFont="1" applyFill="1" applyAlignment="1">
      <alignment horizontal="center"/>
    </xf>
    <xf numFmtId="0" fontId="19" fillId="3" borderId="0" xfId="0" applyFont="1" applyFill="1"/>
    <xf numFmtId="0" fontId="9" fillId="3" borderId="9" xfId="0" applyFont="1" applyFill="1" applyBorder="1"/>
    <xf numFmtId="0" fontId="20" fillId="3" borderId="8" xfId="0" applyFont="1" applyFill="1" applyBorder="1"/>
    <xf numFmtId="173" fontId="9" fillId="3" borderId="0" xfId="0" applyNumberFormat="1" applyFont="1" applyFill="1"/>
    <xf numFmtId="0" fontId="21" fillId="3" borderId="0" xfId="0" applyFont="1" applyFill="1" applyAlignment="1">
      <alignment horizontal="right"/>
    </xf>
    <xf numFmtId="0" fontId="21" fillId="3" borderId="0" xfId="0" applyFont="1" applyFill="1" applyAlignment="1">
      <alignment horizontal="center"/>
    </xf>
    <xf numFmtId="0" fontId="9" fillId="3" borderId="8" xfId="0" applyFont="1" applyFill="1" applyBorder="1"/>
    <xf numFmtId="174" fontId="15" fillId="3" borderId="0" xfId="0" applyNumberFormat="1" applyFont="1" applyFill="1"/>
    <xf numFmtId="175" fontId="15" fillId="3" borderId="0" xfId="0" applyNumberFormat="1" applyFont="1" applyFill="1" applyAlignment="1">
      <alignment horizontal="right"/>
    </xf>
    <xf numFmtId="176" fontId="9" fillId="3" borderId="0" xfId="0" applyNumberFormat="1" applyFont="1" applyFill="1" applyAlignment="1">
      <alignment horizontal="right"/>
    </xf>
    <xf numFmtId="10" fontId="9" fillId="3" borderId="0" xfId="0" applyNumberFormat="1" applyFont="1" applyFill="1" applyAlignment="1">
      <alignment horizontal="center"/>
    </xf>
    <xf numFmtId="172" fontId="15" fillId="2" borderId="4" xfId="0" applyNumberFormat="1" applyFont="1" applyFill="1" applyBorder="1"/>
    <xf numFmtId="171" fontId="9" fillId="3" borderId="0" xfId="0" applyNumberFormat="1" applyFont="1" applyFill="1"/>
    <xf numFmtId="0" fontId="15" fillId="3" borderId="0" xfId="0" applyFont="1" applyFill="1" applyAlignment="1">
      <alignment horizontal="right"/>
    </xf>
    <xf numFmtId="177" fontId="9" fillId="3" borderId="9" xfId="0" applyNumberFormat="1" applyFont="1" applyFill="1" applyBorder="1"/>
    <xf numFmtId="174" fontId="22" fillId="3" borderId="0" xfId="0" applyNumberFormat="1" applyFont="1" applyFill="1"/>
    <xf numFmtId="175" fontId="22" fillId="3" borderId="0" xfId="0" applyNumberFormat="1" applyFont="1" applyFill="1" applyAlignment="1">
      <alignment horizontal="right"/>
    </xf>
    <xf numFmtId="176" fontId="20" fillId="3" borderId="0" xfId="0" applyNumberFormat="1" applyFont="1" applyFill="1" applyAlignment="1">
      <alignment horizontal="right"/>
    </xf>
    <xf numFmtId="173" fontId="20" fillId="3" borderId="0" xfId="0" applyNumberFormat="1" applyFont="1" applyFill="1"/>
    <xf numFmtId="0" fontId="22" fillId="3" borderId="0" xfId="0" applyFont="1" applyFill="1" applyAlignment="1">
      <alignment horizontal="right"/>
    </xf>
    <xf numFmtId="177" fontId="20" fillId="3" borderId="9" xfId="0" applyNumberFormat="1" applyFont="1" applyFill="1" applyBorder="1"/>
    <xf numFmtId="174" fontId="19" fillId="3" borderId="0" xfId="0" applyNumberFormat="1" applyFont="1" applyFill="1"/>
    <xf numFmtId="175" fontId="19" fillId="3" borderId="0" xfId="0" applyNumberFormat="1" applyFont="1" applyFill="1" applyAlignment="1">
      <alignment horizontal="right"/>
    </xf>
    <xf numFmtId="176" fontId="19" fillId="3" borderId="0" xfId="0" applyNumberFormat="1" applyFont="1" applyFill="1" applyAlignment="1">
      <alignment horizontal="right"/>
    </xf>
    <xf numFmtId="173" fontId="19" fillId="3" borderId="0" xfId="0" applyNumberFormat="1" applyFont="1" applyFill="1"/>
    <xf numFmtId="179" fontId="9" fillId="3" borderId="0" xfId="0" applyNumberFormat="1" applyFont="1" applyFill="1"/>
    <xf numFmtId="173" fontId="15" fillId="3" borderId="0" xfId="0" applyNumberFormat="1" applyFont="1" applyFill="1"/>
    <xf numFmtId="43" fontId="15" fillId="3" borderId="0" xfId="1" applyFont="1" applyFill="1" applyBorder="1" applyAlignment="1">
      <alignment horizontal="right"/>
    </xf>
    <xf numFmtId="166" fontId="0" fillId="0" borderId="0" xfId="1" applyNumberFormat="1" applyFont="1"/>
    <xf numFmtId="180" fontId="15" fillId="2" borderId="4" xfId="0" applyNumberFormat="1" applyFont="1" applyFill="1" applyBorder="1"/>
    <xf numFmtId="175" fontId="21" fillId="3" borderId="0" xfId="0" applyNumberFormat="1" applyFont="1" applyFill="1" applyAlignment="1">
      <alignment horizontal="right"/>
    </xf>
    <xf numFmtId="176" fontId="21" fillId="3" borderId="0" xfId="0" applyNumberFormat="1" applyFont="1" applyFill="1" applyAlignment="1">
      <alignment horizontal="right"/>
    </xf>
    <xf numFmtId="10" fontId="20" fillId="3" borderId="0" xfId="0" applyNumberFormat="1" applyFont="1" applyFill="1" applyAlignment="1">
      <alignment horizontal="center"/>
    </xf>
    <xf numFmtId="177" fontId="23" fillId="3" borderId="9" xfId="0" applyNumberFormat="1" applyFont="1" applyFill="1" applyBorder="1"/>
    <xf numFmtId="10" fontId="19" fillId="3" borderId="0" xfId="0" applyNumberFormat="1" applyFont="1" applyFill="1" applyAlignment="1">
      <alignment horizontal="center"/>
    </xf>
    <xf numFmtId="0" fontId="15" fillId="3" borderId="0" xfId="0" applyFont="1" applyFill="1"/>
    <xf numFmtId="44" fontId="0" fillId="0" borderId="0" xfId="2" applyFont="1"/>
    <xf numFmtId="177" fontId="6" fillId="3" borderId="9" xfId="0" applyNumberFormat="1" applyFont="1" applyFill="1" applyBorder="1"/>
    <xf numFmtId="165" fontId="0" fillId="0" borderId="0" xfId="0" applyNumberFormat="1"/>
    <xf numFmtId="177" fontId="3" fillId="3" borderId="7" xfId="0" applyNumberFormat="1" applyFont="1" applyFill="1" applyBorder="1"/>
    <xf numFmtId="10" fontId="0" fillId="0" borderId="0" xfId="3" applyNumberFormat="1" applyFont="1"/>
    <xf numFmtId="0" fontId="24" fillId="3" borderId="8" xfId="0" applyFont="1" applyFill="1" applyBorder="1"/>
    <xf numFmtId="0" fontId="9" fillId="3" borderId="0" xfId="0" applyFont="1" applyFill="1" applyAlignment="1">
      <alignment horizontal="center"/>
    </xf>
    <xf numFmtId="177" fontId="3" fillId="3" borderId="9" xfId="0" applyNumberFormat="1" applyFont="1" applyFill="1" applyBorder="1"/>
    <xf numFmtId="10" fontId="15" fillId="3" borderId="0" xfId="3" applyNumberFormat="1" applyFont="1" applyFill="1" applyBorder="1"/>
    <xf numFmtId="177" fontId="9" fillId="3" borderId="0" xfId="0" applyNumberFormat="1" applyFont="1" applyFill="1"/>
    <xf numFmtId="10" fontId="15" fillId="3" borderId="0" xfId="0" applyNumberFormat="1" applyFont="1" applyFill="1" applyAlignment="1">
      <alignment horizontal="center"/>
    </xf>
    <xf numFmtId="181" fontId="9" fillId="3" borderId="0" xfId="0" applyNumberFormat="1" applyFont="1" applyFill="1"/>
    <xf numFmtId="177" fontId="20" fillId="3" borderId="0" xfId="0" applyNumberFormat="1" applyFont="1" applyFill="1"/>
    <xf numFmtId="0" fontId="9" fillId="3" borderId="10" xfId="0" applyFont="1" applyFill="1" applyBorder="1"/>
    <xf numFmtId="0" fontId="9" fillId="3" borderId="11" xfId="0" applyFont="1" applyFill="1" applyBorder="1"/>
    <xf numFmtId="0" fontId="9" fillId="3" borderId="11" xfId="0" applyFont="1" applyFill="1" applyBorder="1" applyAlignment="1">
      <alignment horizontal="center"/>
    </xf>
    <xf numFmtId="177" fontId="18" fillId="3" borderId="11" xfId="0" applyNumberFormat="1" applyFont="1" applyFill="1" applyBorder="1"/>
    <xf numFmtId="177" fontId="6" fillId="3" borderId="12" xfId="0" applyNumberFormat="1" applyFont="1" applyFill="1" applyBorder="1"/>
    <xf numFmtId="0" fontId="19" fillId="3" borderId="5" xfId="0" applyFont="1" applyFill="1" applyBorder="1"/>
    <xf numFmtId="0" fontId="25" fillId="3" borderId="6" xfId="0" applyFont="1" applyFill="1" applyBorder="1"/>
    <xf numFmtId="0" fontId="21" fillId="3" borderId="0" xfId="0" applyFont="1" applyFill="1" applyAlignment="1">
      <alignment horizontal="left"/>
    </xf>
    <xf numFmtId="174" fontId="9" fillId="3" borderId="0" xfId="0" applyNumberFormat="1" applyFont="1" applyFill="1"/>
    <xf numFmtId="177" fontId="15" fillId="2" borderId="4" xfId="0" applyNumberFormat="1" applyFont="1" applyFill="1" applyBorder="1"/>
    <xf numFmtId="3" fontId="9" fillId="3" borderId="0" xfId="0" applyNumberFormat="1" applyFont="1" applyFill="1"/>
    <xf numFmtId="3" fontId="15" fillId="3" borderId="0" xfId="0" applyNumberFormat="1" applyFont="1" applyFill="1"/>
    <xf numFmtId="3" fontId="22" fillId="3" borderId="0" xfId="0" applyNumberFormat="1" applyFont="1" applyFill="1"/>
    <xf numFmtId="177" fontId="15" fillId="3" borderId="0" xfId="0" applyNumberFormat="1" applyFont="1" applyFill="1"/>
    <xf numFmtId="3" fontId="18" fillId="3" borderId="1" xfId="0" applyNumberFormat="1" applyFont="1" applyFill="1" applyBorder="1"/>
    <xf numFmtId="0" fontId="9" fillId="3" borderId="1" xfId="0" applyFont="1" applyFill="1" applyBorder="1"/>
    <xf numFmtId="177" fontId="18" fillId="3" borderId="1" xfId="0" applyNumberFormat="1" applyFont="1" applyFill="1" applyBorder="1" applyAlignment="1">
      <alignment horizontal="right"/>
    </xf>
    <xf numFmtId="0" fontId="9" fillId="3" borderId="1" xfId="0" applyFont="1" applyFill="1" applyBorder="1" applyAlignment="1">
      <alignment horizontal="center"/>
    </xf>
    <xf numFmtId="0" fontId="9" fillId="3" borderId="0" xfId="0" applyFont="1" applyFill="1" applyAlignment="1">
      <alignment horizontal="right"/>
    </xf>
    <xf numFmtId="9" fontId="15" fillId="3" borderId="0" xfId="3" applyFont="1" applyFill="1" applyBorder="1" applyAlignment="1">
      <alignment horizontal="left"/>
    </xf>
    <xf numFmtId="1" fontId="9" fillId="3" borderId="0" xfId="0" applyNumberFormat="1" applyFont="1" applyFill="1"/>
    <xf numFmtId="173" fontId="26" fillId="3" borderId="0" xfId="0" applyNumberFormat="1" applyFont="1" applyFill="1" applyAlignment="1">
      <alignment horizontal="right"/>
    </xf>
    <xf numFmtId="173" fontId="9" fillId="3" borderId="0" xfId="0" applyNumberFormat="1" applyFont="1" applyFill="1" applyAlignment="1">
      <alignment horizontal="right"/>
    </xf>
    <xf numFmtId="9" fontId="15" fillId="3" borderId="0" xfId="3" applyFont="1" applyFill="1" applyBorder="1" applyAlignment="1">
      <alignment horizontal="right"/>
    </xf>
    <xf numFmtId="0" fontId="27" fillId="3" borderId="0" xfId="0" applyFont="1" applyFill="1"/>
    <xf numFmtId="177" fontId="19" fillId="3" borderId="11" xfId="0" applyNumberFormat="1" applyFont="1" applyFill="1" applyBorder="1"/>
    <xf numFmtId="0" fontId="15" fillId="4" borderId="16" xfId="0" applyFont="1" applyFill="1" applyBorder="1"/>
    <xf numFmtId="0" fontId="9" fillId="4" borderId="2" xfId="0" applyFont="1" applyFill="1" applyBorder="1" applyAlignment="1">
      <alignment horizontal="center"/>
    </xf>
    <xf numFmtId="181" fontId="9" fillId="3" borderId="0" xfId="0" applyNumberFormat="1" applyFont="1" applyFill="1" applyAlignment="1">
      <alignment horizontal="center"/>
    </xf>
    <xf numFmtId="167" fontId="19" fillId="4" borderId="3" xfId="0" applyNumberFormat="1" applyFont="1" applyFill="1" applyBorder="1"/>
    <xf numFmtId="0" fontId="9" fillId="4" borderId="0" xfId="0" applyFont="1" applyFill="1" applyAlignment="1">
      <alignment horizontal="center"/>
    </xf>
    <xf numFmtId="10" fontId="9" fillId="3" borderId="0" xfId="3" applyNumberFormat="1" applyFont="1" applyFill="1" applyBorder="1"/>
    <xf numFmtId="165" fontId="9" fillId="3" borderId="0" xfId="2" applyNumberFormat="1" applyFont="1" applyFill="1" applyBorder="1"/>
    <xf numFmtId="166" fontId="9" fillId="3" borderId="0" xfId="1" applyNumberFormat="1" applyFont="1" applyFill="1" applyBorder="1" applyAlignment="1">
      <alignment horizontal="center"/>
    </xf>
    <xf numFmtId="165" fontId="28" fillId="3" borderId="0" xfId="2" applyNumberFormat="1" applyFont="1" applyFill="1" applyBorder="1"/>
    <xf numFmtId="177" fontId="9" fillId="3" borderId="0" xfId="0" applyNumberFormat="1" applyFont="1" applyFill="1" applyAlignment="1">
      <alignment horizontal="center"/>
    </xf>
    <xf numFmtId="167" fontId="21" fillId="4" borderId="3" xfId="0" applyNumberFormat="1" applyFont="1" applyFill="1" applyBorder="1"/>
    <xf numFmtId="165" fontId="19" fillId="3" borderId="0" xfId="0" applyNumberFormat="1" applyFont="1" applyFill="1"/>
    <xf numFmtId="0" fontId="19" fillId="3" borderId="11" xfId="0" applyFont="1" applyFill="1" applyBorder="1"/>
    <xf numFmtId="0" fontId="19" fillId="3" borderId="11" xfId="0" applyFont="1" applyFill="1" applyBorder="1" applyAlignment="1">
      <alignment horizontal="right"/>
    </xf>
    <xf numFmtId="165" fontId="2" fillId="10" borderId="5" xfId="2" applyNumberFormat="1" applyFont="1" applyFill="1" applyBorder="1"/>
    <xf numFmtId="0" fontId="0" fillId="10" borderId="6" xfId="0" applyFill="1" applyBorder="1"/>
    <xf numFmtId="165" fontId="2" fillId="10" borderId="7" xfId="2" applyNumberFormat="1" applyFont="1" applyFill="1" applyBorder="1"/>
    <xf numFmtId="165" fontId="2" fillId="10" borderId="13" xfId="2" applyNumberFormat="1" applyFont="1" applyFill="1" applyBorder="1"/>
    <xf numFmtId="177" fontId="2" fillId="10" borderId="15" xfId="3" applyNumberFormat="1" applyFont="1" applyFill="1" applyBorder="1"/>
    <xf numFmtId="10" fontId="2" fillId="10" borderId="7" xfId="3" applyNumberFormat="1" applyFont="1" applyFill="1" applyBorder="1"/>
    <xf numFmtId="0" fontId="0" fillId="10" borderId="14" xfId="0" applyFill="1" applyBorder="1"/>
    <xf numFmtId="165" fontId="2" fillId="10" borderId="15" xfId="2" applyNumberFormat="1" applyFont="1" applyFill="1" applyBorder="1"/>
    <xf numFmtId="10" fontId="2" fillId="10" borderId="15" xfId="3" applyNumberFormat="1" applyFont="1" applyFill="1" applyBorder="1"/>
    <xf numFmtId="0" fontId="1" fillId="0" borderId="0" xfId="0" applyFont="1"/>
    <xf numFmtId="0" fontId="29" fillId="11" borderId="5" xfId="0" applyFont="1" applyFill="1" applyBorder="1"/>
    <xf numFmtId="0" fontId="0" fillId="11" borderId="6" xfId="0" applyFill="1" applyBorder="1"/>
    <xf numFmtId="0" fontId="29" fillId="11" borderId="7" xfId="0" applyFont="1" applyFill="1" applyBorder="1" applyAlignment="1">
      <alignment horizontal="right"/>
    </xf>
    <xf numFmtId="0" fontId="0" fillId="11" borderId="17" xfId="0" applyFill="1" applyBorder="1"/>
    <xf numFmtId="0" fontId="0" fillId="11" borderId="8" xfId="0" applyFill="1" applyBorder="1"/>
    <xf numFmtId="0" fontId="0" fillId="11" borderId="0" xfId="0" applyFill="1"/>
    <xf numFmtId="0" fontId="5" fillId="11" borderId="9" xfId="0" applyFont="1" applyFill="1" applyBorder="1" applyAlignment="1">
      <alignment horizontal="right"/>
    </xf>
    <xf numFmtId="165" fontId="2" fillId="11" borderId="18" xfId="2" applyNumberFormat="1" applyFont="1" applyFill="1" applyBorder="1"/>
    <xf numFmtId="10" fontId="5" fillId="11" borderId="9" xfId="0" applyNumberFormat="1" applyFont="1" applyFill="1" applyBorder="1" applyAlignment="1">
      <alignment horizontal="right"/>
    </xf>
    <xf numFmtId="0" fontId="0" fillId="11" borderId="10" xfId="0" applyFill="1" applyBorder="1"/>
    <xf numFmtId="0" fontId="0" fillId="11" borderId="11" xfId="0" applyFill="1" applyBorder="1"/>
    <xf numFmtId="10" fontId="5" fillId="11" borderId="12" xfId="0" applyNumberFormat="1" applyFont="1" applyFill="1" applyBorder="1" applyAlignment="1">
      <alignment horizontal="right"/>
    </xf>
    <xf numFmtId="177" fontId="2" fillId="11" borderId="19" xfId="0" applyNumberFormat="1" applyFont="1" applyFill="1" applyBorder="1"/>
    <xf numFmtId="0" fontId="29" fillId="11" borderId="13" xfId="0" applyFont="1" applyFill="1" applyBorder="1"/>
    <xf numFmtId="0" fontId="0" fillId="11" borderId="14" xfId="0" applyFill="1" applyBorder="1"/>
    <xf numFmtId="0" fontId="30" fillId="7" borderId="14" xfId="0" applyFont="1" applyFill="1" applyBorder="1"/>
    <xf numFmtId="165" fontId="16" fillId="10" borderId="17" xfId="2" applyNumberFormat="1" applyFont="1" applyFill="1" applyBorder="1"/>
    <xf numFmtId="165" fontId="16" fillId="10" borderId="19" xfId="2" applyNumberFormat="1" applyFont="1" applyFill="1" applyBorder="1"/>
    <xf numFmtId="164" fontId="10" fillId="5" borderId="10" xfId="3" applyNumberFormat="1" applyFont="1" applyFill="1" applyBorder="1" applyAlignment="1">
      <alignment horizontal="center"/>
    </xf>
    <xf numFmtId="164" fontId="10" fillId="5" borderId="11" xfId="3" applyNumberFormat="1" applyFont="1" applyFill="1" applyBorder="1" applyAlignment="1">
      <alignment horizontal="center"/>
    </xf>
    <xf numFmtId="164" fontId="10" fillId="5" borderId="12" xfId="3" applyNumberFormat="1" applyFont="1" applyFill="1" applyBorder="1" applyAlignment="1">
      <alignment horizontal="center"/>
    </xf>
    <xf numFmtId="164" fontId="10" fillId="5" borderId="8" xfId="3" applyNumberFormat="1" applyFont="1" applyFill="1" applyBorder="1" applyAlignment="1">
      <alignment horizontal="center"/>
    </xf>
    <xf numFmtId="164" fontId="11" fillId="5" borderId="8" xfId="3" applyNumberFormat="1" applyFont="1" applyFill="1" applyBorder="1" applyAlignment="1">
      <alignment horizontal="center"/>
    </xf>
    <xf numFmtId="165" fontId="3" fillId="0" borderId="0" xfId="0" applyNumberFormat="1" applyFont="1"/>
    <xf numFmtId="44" fontId="31" fillId="4" borderId="8" xfId="2" applyFont="1" applyFill="1" applyBorder="1" applyAlignment="1">
      <alignment horizontal="right"/>
    </xf>
    <xf numFmtId="165" fontId="7" fillId="12" borderId="14" xfId="2" applyNumberFormat="1" applyFont="1" applyFill="1" applyBorder="1" applyAlignment="1">
      <alignment horizontal="right"/>
    </xf>
    <xf numFmtId="44" fontId="10" fillId="4" borderId="8" xfId="2" applyFont="1" applyFill="1" applyBorder="1" applyAlignment="1">
      <alignment horizontal="right"/>
    </xf>
    <xf numFmtId="165" fontId="2" fillId="0" borderId="4" xfId="3" applyNumberFormat="1" applyFont="1" applyFill="1" applyBorder="1" applyAlignment="1">
      <alignment horizontal="center"/>
    </xf>
    <xf numFmtId="10" fontId="2" fillId="0" borderId="4" xfId="3" applyNumberFormat="1" applyFont="1" applyFill="1" applyBorder="1" applyAlignment="1">
      <alignment horizontal="center"/>
    </xf>
    <xf numFmtId="169" fontId="14" fillId="5" borderId="5" xfId="1" applyNumberFormat="1" applyFont="1" applyFill="1" applyBorder="1" applyAlignment="1">
      <alignment horizontal="center"/>
    </xf>
    <xf numFmtId="169" fontId="14" fillId="5" borderId="6" xfId="1" applyNumberFormat="1" applyFont="1" applyFill="1" applyBorder="1" applyAlignment="1">
      <alignment horizontal="center"/>
    </xf>
    <xf numFmtId="169" fontId="14" fillId="5" borderId="7" xfId="1" applyNumberFormat="1" applyFont="1" applyFill="1" applyBorder="1" applyAlignment="1">
      <alignment horizontal="center"/>
    </xf>
    <xf numFmtId="0" fontId="32" fillId="11" borderId="15" xfId="0" applyFont="1" applyFill="1" applyBorder="1" applyAlignment="1">
      <alignment horizontal="right"/>
    </xf>
    <xf numFmtId="165" fontId="33" fillId="9" borderId="20" xfId="2" applyNumberFormat="1" applyFont="1" applyFill="1" applyBorder="1" applyAlignment="1">
      <alignment horizontal="right" vertical="center"/>
    </xf>
    <xf numFmtId="165" fontId="33" fillId="9" borderId="21" xfId="2" applyNumberFormat="1" applyFont="1" applyFill="1" applyBorder="1" applyAlignment="1">
      <alignment horizontal="right" vertical="center"/>
    </xf>
    <xf numFmtId="165" fontId="33" fillId="9" borderId="22" xfId="2" applyNumberFormat="1" applyFont="1" applyFill="1" applyBorder="1" applyAlignment="1">
      <alignment horizontal="right" vertical="center"/>
    </xf>
    <xf numFmtId="165" fontId="33" fillId="9" borderId="23" xfId="2" applyNumberFormat="1" applyFont="1" applyFill="1" applyBorder="1" applyAlignment="1">
      <alignment horizontal="right" vertical="center"/>
    </xf>
    <xf numFmtId="165" fontId="33" fillId="9" borderId="24" xfId="2" applyNumberFormat="1" applyFont="1" applyFill="1" applyBorder="1" applyAlignment="1">
      <alignment horizontal="right" vertical="center"/>
    </xf>
    <xf numFmtId="165" fontId="33" fillId="9" borderId="25" xfId="2" applyNumberFormat="1" applyFont="1" applyFill="1" applyBorder="1" applyAlignment="1">
      <alignment horizontal="right" vertical="center"/>
    </xf>
    <xf numFmtId="165" fontId="33" fillId="9" borderId="26" xfId="2" applyNumberFormat="1" applyFont="1" applyFill="1" applyBorder="1" applyAlignment="1">
      <alignment horizontal="right" vertical="center"/>
    </xf>
    <xf numFmtId="165" fontId="33" fillId="9" borderId="27" xfId="2" applyNumberFormat="1" applyFont="1" applyFill="1" applyBorder="1" applyAlignment="1">
      <alignment horizontal="right" vertical="center"/>
    </xf>
    <xf numFmtId="165" fontId="33" fillId="9" borderId="28" xfId="2" applyNumberFormat="1" applyFont="1" applyFill="1" applyBorder="1" applyAlignment="1">
      <alignment horizontal="right" vertical="center"/>
    </xf>
    <xf numFmtId="10" fontId="33" fillId="9" borderId="20" xfId="3" applyNumberFormat="1" applyFont="1" applyFill="1" applyBorder="1" applyAlignment="1">
      <alignment horizontal="right" vertical="center"/>
    </xf>
    <xf numFmtId="10" fontId="33" fillId="9" borderId="21" xfId="3" applyNumberFormat="1" applyFont="1" applyFill="1" applyBorder="1" applyAlignment="1">
      <alignment horizontal="right" vertical="center"/>
    </xf>
    <xf numFmtId="10" fontId="33" fillId="9" borderId="22" xfId="3" applyNumberFormat="1" applyFont="1" applyFill="1" applyBorder="1" applyAlignment="1">
      <alignment horizontal="right" vertical="center"/>
    </xf>
    <xf numFmtId="10" fontId="33" fillId="9" borderId="23" xfId="3" applyNumberFormat="1" applyFont="1" applyFill="1" applyBorder="1" applyAlignment="1">
      <alignment horizontal="right" vertical="center"/>
    </xf>
    <xf numFmtId="10" fontId="33" fillId="9" borderId="24" xfId="3" applyNumberFormat="1" applyFont="1" applyFill="1" applyBorder="1" applyAlignment="1">
      <alignment horizontal="right" vertical="center"/>
    </xf>
    <xf numFmtId="10" fontId="33" fillId="9" borderId="25" xfId="3" applyNumberFormat="1" applyFont="1" applyFill="1" applyBorder="1" applyAlignment="1">
      <alignment horizontal="right" vertical="center"/>
    </xf>
    <xf numFmtId="10" fontId="33" fillId="9" borderId="26" xfId="3" applyNumberFormat="1" applyFont="1" applyFill="1" applyBorder="1" applyAlignment="1">
      <alignment horizontal="right" vertical="center"/>
    </xf>
    <xf numFmtId="10" fontId="33" fillId="9" borderId="27" xfId="3" applyNumberFormat="1" applyFont="1" applyFill="1" applyBorder="1" applyAlignment="1">
      <alignment horizontal="right" vertical="center"/>
    </xf>
    <xf numFmtId="10" fontId="33" fillId="9" borderId="28" xfId="3" applyNumberFormat="1" applyFont="1" applyFill="1" applyBorder="1" applyAlignment="1">
      <alignment horizontal="right" vertical="center"/>
    </xf>
    <xf numFmtId="185" fontId="7" fillId="2" borderId="4" xfId="2" applyNumberFormat="1" applyFont="1" applyFill="1" applyBorder="1"/>
    <xf numFmtId="44" fontId="7" fillId="2" borderId="4" xfId="2" applyNumberFormat="1" applyFont="1" applyFill="1" applyBorder="1"/>
    <xf numFmtId="10" fontId="7" fillId="2" borderId="4" xfId="3" applyNumberFormat="1" applyFont="1" applyFill="1" applyBorder="1" applyAlignment="1">
      <alignment horizontal="center"/>
    </xf>
    <xf numFmtId="185" fontId="7" fillId="12" borderId="14" xfId="2" applyNumberFormat="1" applyFont="1" applyFill="1" applyBorder="1" applyAlignment="1">
      <alignment horizontal="right"/>
    </xf>
    <xf numFmtId="185" fontId="13" fillId="8" borderId="18" xfId="2" applyNumberFormat="1" applyFont="1" applyFill="1" applyBorder="1" applyAlignment="1">
      <alignment horizontal="center"/>
    </xf>
    <xf numFmtId="167" fontId="19" fillId="13" borderId="17" xfId="0" applyNumberFormat="1" applyFont="1" applyFill="1" applyBorder="1"/>
    <xf numFmtId="0" fontId="9" fillId="4" borderId="0" xfId="0" applyFont="1" applyFill="1" applyBorder="1" applyAlignment="1">
      <alignment horizontal="center"/>
    </xf>
    <xf numFmtId="182" fontId="17" fillId="6" borderId="5" xfId="1" applyNumberFormat="1" applyFont="1" applyFill="1" applyBorder="1"/>
    <xf numFmtId="0" fontId="0" fillId="6" borderId="7" xfId="0" applyFill="1" applyBorder="1"/>
    <xf numFmtId="168" fontId="5" fillId="2" borderId="10" xfId="1" applyNumberFormat="1" applyFont="1" applyFill="1" applyBorder="1" applyAlignment="1"/>
    <xf numFmtId="0" fontId="0" fillId="6" borderId="12" xfId="0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b/>
        <i val="0"/>
        <strike val="0"/>
        <color rgb="FF0070C0"/>
      </font>
      <fill>
        <patternFill>
          <bgColor theme="0"/>
        </patternFill>
      </fill>
    </dxf>
    <dxf>
      <font>
        <b/>
        <i val="0"/>
        <strike val="0"/>
        <color rgb="FF0070C0"/>
      </font>
      <fill>
        <patternFill>
          <bgColor theme="0"/>
        </patternFill>
      </fill>
    </dxf>
    <dxf>
      <font>
        <b/>
        <i val="0"/>
        <strike val="0"/>
        <color rgb="FF0070C0"/>
      </font>
      <fill>
        <patternFill>
          <bgColor theme="0"/>
        </patternFill>
      </fill>
    </dxf>
    <dxf>
      <font>
        <b/>
        <i val="0"/>
        <strike val="0"/>
        <color rgb="FF0070C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5050"/>
      <color rgb="FFFF00FF"/>
      <color rgb="FF1ACEE6"/>
      <color rgb="FF99FF99"/>
      <color rgb="FFFFFFCC"/>
      <color rgb="FFFFCCFF"/>
      <color rgb="FFFFCC99"/>
      <color rgb="FF3E0DF1"/>
      <color rgb="FFFFFF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B1:N123"/>
  <sheetViews>
    <sheetView tabSelected="1" workbookViewId="0">
      <selection activeCell="D14" sqref="D14"/>
    </sheetView>
  </sheetViews>
  <sheetFormatPr defaultRowHeight="13.2" x14ac:dyDescent="0.25"/>
  <cols>
    <col min="2" max="2" width="16.109375" bestFit="1" customWidth="1"/>
    <col min="3" max="3" width="10.88671875" bestFit="1" customWidth="1"/>
    <col min="4" max="5" width="13.88671875" bestFit="1" customWidth="1"/>
    <col min="6" max="6" width="21.109375" bestFit="1" customWidth="1"/>
    <col min="7" max="12" width="13.88671875" bestFit="1" customWidth="1"/>
  </cols>
  <sheetData>
    <row r="1" spans="2:13" ht="13.8" thickBot="1" x14ac:dyDescent="0.3"/>
    <row r="2" spans="2:13" x14ac:dyDescent="0.25">
      <c r="B2" s="14" t="s">
        <v>7</v>
      </c>
      <c r="C2" s="15"/>
      <c r="D2" s="15"/>
      <c r="E2" s="15"/>
      <c r="F2" s="15"/>
      <c r="G2" s="15"/>
      <c r="H2" s="15" t="s">
        <v>8</v>
      </c>
      <c r="I2" s="15"/>
      <c r="J2" s="16"/>
      <c r="K2" s="17"/>
    </row>
    <row r="3" spans="2:13" x14ac:dyDescent="0.25">
      <c r="B3" s="18" t="s">
        <v>9</v>
      </c>
      <c r="C3" s="19"/>
      <c r="D3" s="20" t="s">
        <v>10</v>
      </c>
      <c r="E3" s="20" t="s">
        <v>10</v>
      </c>
      <c r="F3" s="21" t="s">
        <v>10</v>
      </c>
      <c r="G3" s="21" t="s">
        <v>11</v>
      </c>
      <c r="H3" s="21" t="s">
        <v>11</v>
      </c>
      <c r="I3" s="21" t="s">
        <v>11</v>
      </c>
      <c r="J3" s="22"/>
      <c r="K3" s="23"/>
    </row>
    <row r="4" spans="2:13" ht="13.8" thickBot="1" x14ac:dyDescent="0.3">
      <c r="B4" s="24"/>
      <c r="C4" s="25" t="s">
        <v>8</v>
      </c>
      <c r="D4" s="26" t="s">
        <v>2</v>
      </c>
      <c r="E4" s="26" t="s">
        <v>0</v>
      </c>
      <c r="F4" s="27" t="s">
        <v>2</v>
      </c>
      <c r="G4" s="27" t="s">
        <v>0</v>
      </c>
      <c r="H4" s="27" t="s">
        <v>1</v>
      </c>
      <c r="I4" s="27" t="s">
        <v>12</v>
      </c>
      <c r="J4" s="26" t="s">
        <v>13</v>
      </c>
      <c r="K4" s="23"/>
    </row>
    <row r="5" spans="2:13" ht="13.8" thickBot="1" x14ac:dyDescent="0.3">
      <c r="B5" s="28" t="s">
        <v>14</v>
      </c>
      <c r="C5" s="29">
        <v>1</v>
      </c>
      <c r="D5" s="30">
        <v>70</v>
      </c>
      <c r="E5" s="31">
        <f>D5*10.7639</f>
        <v>753.47299999999996</v>
      </c>
      <c r="F5" s="32">
        <f>D5/D$13</f>
        <v>0.16682554814108674</v>
      </c>
      <c r="G5" s="33">
        <v>500</v>
      </c>
      <c r="H5" s="34">
        <f>G5*10.7639</f>
        <v>5381.95</v>
      </c>
      <c r="I5" s="25">
        <f>G5*E5</f>
        <v>376736.5</v>
      </c>
      <c r="J5" s="35" t="s">
        <v>15</v>
      </c>
      <c r="K5" s="36">
        <f>I5*C5</f>
        <v>376736.5</v>
      </c>
      <c r="L5" s="3"/>
      <c r="M5" s="3"/>
    </row>
    <row r="6" spans="2:13" x14ac:dyDescent="0.25">
      <c r="B6" s="28" t="s">
        <v>16</v>
      </c>
      <c r="C6" s="29">
        <v>1</v>
      </c>
      <c r="D6" s="30">
        <v>70.2</v>
      </c>
      <c r="E6" s="31">
        <f>D6*10.7639</f>
        <v>755.62577999999996</v>
      </c>
      <c r="F6" s="32">
        <f>D6/D$13</f>
        <v>0.167302192564347</v>
      </c>
      <c r="G6" s="25">
        <f>G5</f>
        <v>500</v>
      </c>
      <c r="H6" s="34">
        <f>G6*10.7639</f>
        <v>5381.95</v>
      </c>
      <c r="I6" s="25">
        <f>G6*E6</f>
        <v>377812.88999999996</v>
      </c>
      <c r="J6" s="35" t="s">
        <v>15</v>
      </c>
      <c r="K6" s="36">
        <f>I6*C6</f>
        <v>377812.88999999996</v>
      </c>
      <c r="L6" s="3"/>
      <c r="M6" s="3"/>
    </row>
    <row r="7" spans="2:13" x14ac:dyDescent="0.25">
      <c r="B7" s="28" t="s">
        <v>17</v>
      </c>
      <c r="C7" s="29">
        <v>1</v>
      </c>
      <c r="D7" s="30">
        <v>70.3</v>
      </c>
      <c r="E7" s="31">
        <f>D7*10.7639</f>
        <v>756.70216999999991</v>
      </c>
      <c r="F7" s="32">
        <f>D7/D$13</f>
        <v>0.16754051477597712</v>
      </c>
      <c r="G7" s="25">
        <f>G5</f>
        <v>500</v>
      </c>
      <c r="H7" s="34">
        <f>G7*10.7639</f>
        <v>5381.95</v>
      </c>
      <c r="I7" s="25">
        <f>G7*E7</f>
        <v>378351.08499999996</v>
      </c>
      <c r="J7" s="35" t="s">
        <v>15</v>
      </c>
      <c r="K7" s="36">
        <f>I7*C7</f>
        <v>378351.08499999996</v>
      </c>
      <c r="L7" s="3"/>
      <c r="M7" s="3"/>
    </row>
    <row r="8" spans="2:13" x14ac:dyDescent="0.25">
      <c r="B8" s="28" t="s">
        <v>18</v>
      </c>
      <c r="C8" s="37">
        <v>1</v>
      </c>
      <c r="D8" s="38">
        <v>50.1</v>
      </c>
      <c r="E8" s="39">
        <f>D8*10.7639</f>
        <v>539.27139</v>
      </c>
      <c r="F8" s="32">
        <f>D8/D$13</f>
        <v>0.11939942802669208</v>
      </c>
      <c r="G8" s="25">
        <f>G5</f>
        <v>500</v>
      </c>
      <c r="H8" s="34">
        <f>G8*10.7639</f>
        <v>5381.95</v>
      </c>
      <c r="I8" s="40">
        <f>G8*E8</f>
        <v>269635.69500000001</v>
      </c>
      <c r="J8" s="41"/>
      <c r="K8" s="42">
        <f>I8*C8</f>
        <v>269635.69500000001</v>
      </c>
      <c r="L8" s="3"/>
      <c r="M8" s="3"/>
    </row>
    <row r="9" spans="2:13" ht="13.8" thickBot="1" x14ac:dyDescent="0.3">
      <c r="B9" s="28" t="s">
        <v>19</v>
      </c>
      <c r="C9" s="43">
        <f>SUM(C5:C8)</f>
        <v>4</v>
      </c>
      <c r="D9" s="44">
        <f>SUM(D5:D8)</f>
        <v>260.60000000000002</v>
      </c>
      <c r="E9" s="45">
        <f>SUM(E5:E8)</f>
        <v>2805.0723399999997</v>
      </c>
      <c r="F9" s="32"/>
      <c r="G9" s="46"/>
      <c r="H9" s="34"/>
      <c r="I9" s="25">
        <f>SUM(I5:I8)</f>
        <v>1402536.17</v>
      </c>
      <c r="J9" s="20" t="s">
        <v>15</v>
      </c>
      <c r="K9" s="36">
        <f>SUM(K5:K8)</f>
        <v>1402536.17</v>
      </c>
      <c r="L9" s="1"/>
      <c r="M9" s="1"/>
    </row>
    <row r="10" spans="2:13" ht="13.8" thickBot="1" x14ac:dyDescent="0.3">
      <c r="B10" s="28" t="s">
        <v>20</v>
      </c>
      <c r="C10" s="29">
        <v>1</v>
      </c>
      <c r="D10" s="30">
        <v>5</v>
      </c>
      <c r="E10" s="31">
        <f>D10*10.7639</f>
        <v>53.819499999999998</v>
      </c>
      <c r="F10" s="32">
        <f>D10/D$13</f>
        <v>1.1916110581506196E-2</v>
      </c>
      <c r="G10" s="51">
        <v>20</v>
      </c>
      <c r="H10" s="47">
        <f>G10*10.7639</f>
        <v>215.27799999999999</v>
      </c>
      <c r="I10" s="48"/>
      <c r="J10" s="49">
        <f>(1/5)*100</f>
        <v>20</v>
      </c>
      <c r="K10" s="36">
        <f>(G10*E10)*J10</f>
        <v>21527.799999999996</v>
      </c>
      <c r="M10" s="50"/>
    </row>
    <row r="11" spans="2:13" ht="13.8" thickBot="1" x14ac:dyDescent="0.3">
      <c r="B11" s="28" t="s">
        <v>21</v>
      </c>
      <c r="C11" s="29">
        <v>1</v>
      </c>
      <c r="D11" s="38">
        <v>154</v>
      </c>
      <c r="E11" s="39">
        <f>D11*10.7639</f>
        <v>1657.6405999999999</v>
      </c>
      <c r="F11" s="32">
        <f>D11/D$13</f>
        <v>0.3670162059103908</v>
      </c>
      <c r="G11" s="51">
        <v>10</v>
      </c>
      <c r="H11" s="47">
        <f>G11*10.7639</f>
        <v>107.639</v>
      </c>
      <c r="I11" s="48"/>
      <c r="J11" s="49">
        <f>(1/5)*100</f>
        <v>20</v>
      </c>
      <c r="K11" s="36">
        <f>(G11*E11)*J11</f>
        <v>331528.12</v>
      </c>
      <c r="M11" s="50"/>
    </row>
    <row r="12" spans="2:13" x14ac:dyDescent="0.25">
      <c r="B12" s="28" t="s">
        <v>22</v>
      </c>
      <c r="C12" s="29"/>
      <c r="D12" s="52">
        <f>SUM(D10:D11)</f>
        <v>159</v>
      </c>
      <c r="E12" s="53">
        <f>SUM(E10:E11)</f>
        <v>1711.4601</v>
      </c>
      <c r="F12" s="54"/>
      <c r="G12" s="48">
        <v>0</v>
      </c>
      <c r="H12" s="48"/>
      <c r="I12" s="48"/>
      <c r="J12" s="35">
        <v>0</v>
      </c>
      <c r="K12" s="55">
        <v>0</v>
      </c>
      <c r="M12" s="10"/>
    </row>
    <row r="13" spans="2:13" x14ac:dyDescent="0.25">
      <c r="B13" s="28"/>
      <c r="C13" s="29"/>
      <c r="D13" s="44">
        <f>D9+D12</f>
        <v>419.6</v>
      </c>
      <c r="E13" s="45">
        <f>E9+E12</f>
        <v>4516.53244</v>
      </c>
      <c r="F13" s="56">
        <f>SUM(F5:F12)</f>
        <v>1</v>
      </c>
      <c r="G13" s="57"/>
      <c r="H13" s="48"/>
      <c r="I13" s="48"/>
      <c r="J13" s="57"/>
      <c r="K13" s="55"/>
      <c r="M13" s="58"/>
    </row>
    <row r="14" spans="2:13" ht="13.8" thickBot="1" x14ac:dyDescent="0.3">
      <c r="B14" s="28"/>
      <c r="C14" s="19"/>
      <c r="D14" s="19"/>
      <c r="E14" s="19"/>
      <c r="F14" s="19"/>
      <c r="G14" s="19" t="s">
        <v>8</v>
      </c>
      <c r="H14" s="19"/>
      <c r="I14" s="19" t="s">
        <v>23</v>
      </c>
      <c r="J14" s="19"/>
      <c r="K14" s="59">
        <f>SUM(K9:K12)</f>
        <v>1755592.0899999999</v>
      </c>
      <c r="M14" s="60"/>
    </row>
    <row r="15" spans="2:13" x14ac:dyDescent="0.25">
      <c r="B15" s="14" t="s">
        <v>24</v>
      </c>
      <c r="C15" s="15"/>
      <c r="D15" s="15"/>
      <c r="E15" s="15"/>
      <c r="F15" s="15"/>
      <c r="G15" s="15"/>
      <c r="H15" s="15"/>
      <c r="I15" s="15"/>
      <c r="J15" s="16"/>
      <c r="K15" s="61"/>
      <c r="L15" s="62"/>
    </row>
    <row r="16" spans="2:13" x14ac:dyDescent="0.25">
      <c r="B16" s="63" t="s">
        <v>25</v>
      </c>
      <c r="C16" s="19"/>
      <c r="D16" s="19"/>
      <c r="E16" s="19"/>
      <c r="F16" s="19"/>
      <c r="G16" s="19"/>
      <c r="H16" s="19"/>
      <c r="I16" s="19"/>
      <c r="J16" s="64"/>
      <c r="K16" s="65"/>
    </row>
    <row r="17" spans="2:14" x14ac:dyDescent="0.25">
      <c r="B17" s="28" t="s">
        <v>26</v>
      </c>
      <c r="C17" s="66">
        <v>0.1</v>
      </c>
      <c r="D17" s="64" t="s">
        <v>27</v>
      </c>
      <c r="E17" s="67">
        <f xml:space="preserve"> I11</f>
        <v>0</v>
      </c>
      <c r="F17" s="19" t="s">
        <v>28</v>
      </c>
      <c r="G17" s="68">
        <v>0.2</v>
      </c>
      <c r="H17" s="67">
        <f>(E17*C17)*(1+G17)</f>
        <v>0</v>
      </c>
      <c r="I17" s="19"/>
      <c r="J17" s="64"/>
      <c r="K17" s="65"/>
    </row>
    <row r="18" spans="2:14" x14ac:dyDescent="0.25">
      <c r="B18" s="28" t="s">
        <v>29</v>
      </c>
      <c r="C18" s="66">
        <v>0.01</v>
      </c>
      <c r="D18" s="64" t="s">
        <v>27</v>
      </c>
      <c r="E18" s="67">
        <f>K14</f>
        <v>1755592.0899999999</v>
      </c>
      <c r="F18" s="19" t="s">
        <v>28</v>
      </c>
      <c r="G18" s="32">
        <f>G17</f>
        <v>0.2</v>
      </c>
      <c r="H18" s="67">
        <f>(E18*C18)*(1+G18)</f>
        <v>21067.105079999998</v>
      </c>
      <c r="I18" s="19"/>
      <c r="J18" s="64"/>
      <c r="K18" s="65"/>
    </row>
    <row r="19" spans="2:14" x14ac:dyDescent="0.25">
      <c r="B19" s="63" t="s">
        <v>30</v>
      </c>
      <c r="C19" s="66"/>
      <c r="D19" s="19"/>
      <c r="E19" s="19"/>
      <c r="F19" s="69" t="s">
        <v>8</v>
      </c>
      <c r="G19" s="19"/>
      <c r="H19" s="19"/>
      <c r="I19" s="19"/>
      <c r="J19" s="64"/>
      <c r="K19" s="65"/>
    </row>
    <row r="20" spans="2:14" x14ac:dyDescent="0.25">
      <c r="B20" s="28" t="s">
        <v>26</v>
      </c>
      <c r="C20" s="66">
        <v>0</v>
      </c>
      <c r="D20" s="64" t="s">
        <v>27</v>
      </c>
      <c r="E20" s="67">
        <f>E17</f>
        <v>0</v>
      </c>
      <c r="F20" s="19" t="s">
        <v>28</v>
      </c>
      <c r="G20" s="32">
        <f>G17</f>
        <v>0.2</v>
      </c>
      <c r="H20" s="67">
        <f>(E20*C20)*(1+G20)</f>
        <v>0</v>
      </c>
      <c r="I20" s="19"/>
      <c r="J20" s="64"/>
      <c r="K20" s="65"/>
    </row>
    <row r="21" spans="2:14" x14ac:dyDescent="0.25">
      <c r="B21" s="28" t="s">
        <v>29</v>
      </c>
      <c r="C21" s="66">
        <v>5.0000000000000001E-3</v>
      </c>
      <c r="D21" s="64" t="s">
        <v>27</v>
      </c>
      <c r="E21" s="67">
        <f>K14</f>
        <v>1755592.0899999999</v>
      </c>
      <c r="F21" s="19" t="s">
        <v>28</v>
      </c>
      <c r="G21" s="32">
        <f>G17</f>
        <v>0.2</v>
      </c>
      <c r="H21" s="70">
        <f>(E21*C21)*(1+G21)</f>
        <v>10533.552539999999</v>
      </c>
      <c r="I21" s="19"/>
      <c r="J21" s="64"/>
      <c r="K21" s="65"/>
    </row>
    <row r="22" spans="2:14" ht="13.8" thickBot="1" x14ac:dyDescent="0.3">
      <c r="B22" s="71"/>
      <c r="C22" s="72"/>
      <c r="D22" s="72"/>
      <c r="E22" s="72"/>
      <c r="F22" s="72"/>
      <c r="G22" s="73" t="s">
        <v>6</v>
      </c>
      <c r="H22" s="74">
        <f>H17+H18+H20+H21</f>
        <v>31600.657619999998</v>
      </c>
      <c r="I22" s="72"/>
      <c r="J22" s="73"/>
      <c r="K22" s="75">
        <f>K14-H22</f>
        <v>1723991.4323799999</v>
      </c>
    </row>
    <row r="23" spans="2:14" x14ac:dyDescent="0.25">
      <c r="B23" s="76" t="s">
        <v>31</v>
      </c>
      <c r="C23" s="77"/>
      <c r="D23" s="15"/>
      <c r="E23" s="15"/>
      <c r="F23" s="15"/>
      <c r="G23" s="15"/>
      <c r="H23" s="15"/>
      <c r="I23" s="15"/>
      <c r="J23" s="16"/>
      <c r="K23" s="61"/>
    </row>
    <row r="24" spans="2:14" ht="13.8" thickBot="1" x14ac:dyDescent="0.3">
      <c r="B24" s="24"/>
      <c r="C24" s="19"/>
      <c r="D24" s="19"/>
      <c r="E24" s="19"/>
      <c r="F24" s="19"/>
      <c r="G24" s="78" t="s">
        <v>32</v>
      </c>
      <c r="H24" s="19"/>
      <c r="I24" s="19"/>
      <c r="J24" s="64"/>
      <c r="K24" s="65"/>
    </row>
    <row r="25" spans="2:14" ht="13.8" thickBot="1" x14ac:dyDescent="0.3">
      <c r="B25" s="28" t="str">
        <f t="shared" ref="B25:C28" si="0">B5</f>
        <v>House No. 1</v>
      </c>
      <c r="C25" s="79">
        <f t="shared" si="0"/>
        <v>1</v>
      </c>
      <c r="D25" s="19" t="s">
        <v>33</v>
      </c>
      <c r="E25" s="80">
        <v>1700</v>
      </c>
      <c r="F25" s="19" t="s">
        <v>34</v>
      </c>
      <c r="G25" s="81">
        <f>D5/C5</f>
        <v>70</v>
      </c>
      <c r="H25" s="19" t="s">
        <v>35</v>
      </c>
      <c r="I25" s="67">
        <f t="shared" ref="I25:I28" si="1">C25*E25*G25</f>
        <v>119000</v>
      </c>
      <c r="J25" s="64"/>
      <c r="K25" s="65"/>
      <c r="M25" s="62"/>
      <c r="N25" s="12"/>
    </row>
    <row r="26" spans="2:14" x14ac:dyDescent="0.25">
      <c r="B26" s="28" t="str">
        <f t="shared" si="0"/>
        <v>House No. 2</v>
      </c>
      <c r="C26" s="79">
        <f t="shared" si="0"/>
        <v>1</v>
      </c>
      <c r="D26" s="19" t="s">
        <v>33</v>
      </c>
      <c r="E26" s="67">
        <f>E25</f>
        <v>1700</v>
      </c>
      <c r="F26" s="19" t="s">
        <v>34</v>
      </c>
      <c r="G26" s="81">
        <f>D6/C6</f>
        <v>70.2</v>
      </c>
      <c r="H26" s="19" t="s">
        <v>35</v>
      </c>
      <c r="I26" s="67">
        <f t="shared" si="1"/>
        <v>119340</v>
      </c>
      <c r="J26" s="64"/>
      <c r="K26" s="65"/>
      <c r="M26" s="62"/>
      <c r="N26" s="12"/>
    </row>
    <row r="27" spans="2:14" ht="13.8" thickBot="1" x14ac:dyDescent="0.3">
      <c r="B27" s="28" t="str">
        <f t="shared" si="0"/>
        <v>House No. 3</v>
      </c>
      <c r="C27" s="79">
        <f t="shared" si="0"/>
        <v>1</v>
      </c>
      <c r="D27" s="19" t="s">
        <v>33</v>
      </c>
      <c r="E27" s="67">
        <f>E26</f>
        <v>1700</v>
      </c>
      <c r="F27" s="19" t="s">
        <v>34</v>
      </c>
      <c r="G27" s="81">
        <f>D7/C7</f>
        <v>70.3</v>
      </c>
      <c r="H27" s="19" t="s">
        <v>35</v>
      </c>
      <c r="I27" s="67">
        <f t="shared" si="1"/>
        <v>119510</v>
      </c>
      <c r="J27" s="64"/>
      <c r="K27" s="65"/>
      <c r="M27" s="62"/>
      <c r="N27" s="12"/>
    </row>
    <row r="28" spans="2:14" ht="13.8" thickBot="1" x14ac:dyDescent="0.3">
      <c r="B28" s="28" t="str">
        <f t="shared" si="0"/>
        <v>House No. 4</v>
      </c>
      <c r="C28" s="79">
        <f t="shared" si="0"/>
        <v>1</v>
      </c>
      <c r="D28" s="19" t="s">
        <v>33</v>
      </c>
      <c r="E28" s="80">
        <v>1800</v>
      </c>
      <c r="F28" s="19" t="s">
        <v>34</v>
      </c>
      <c r="G28" s="81">
        <f>D8/C8</f>
        <v>50.1</v>
      </c>
      <c r="H28" s="19" t="s">
        <v>35</v>
      </c>
      <c r="I28" s="67">
        <f t="shared" si="1"/>
        <v>90180</v>
      </c>
      <c r="J28" s="64"/>
      <c r="K28" s="65"/>
      <c r="M28" s="62"/>
      <c r="N28" s="12"/>
    </row>
    <row r="29" spans="2:14" ht="13.8" thickBot="1" x14ac:dyDescent="0.3">
      <c r="B29" s="28" t="str">
        <f>B10</f>
        <v>Office</v>
      </c>
      <c r="C29" s="79">
        <f>C25</f>
        <v>1</v>
      </c>
      <c r="D29" s="19"/>
      <c r="E29" s="80">
        <v>1600</v>
      </c>
      <c r="F29" s="19" t="s">
        <v>34</v>
      </c>
      <c r="G29" s="82">
        <v>27.03</v>
      </c>
      <c r="H29" s="19" t="s">
        <v>35</v>
      </c>
      <c r="I29" s="67">
        <f>C29*E29*G29</f>
        <v>43248</v>
      </c>
      <c r="J29" s="64"/>
      <c r="K29" s="65"/>
      <c r="M29" s="62"/>
      <c r="N29" s="12"/>
    </row>
    <row r="30" spans="2:14" ht="13.8" thickBot="1" x14ac:dyDescent="0.3">
      <c r="B30" s="28" t="str">
        <f>B11</f>
        <v>Basement</v>
      </c>
      <c r="C30" s="79">
        <f>C25</f>
        <v>1</v>
      </c>
      <c r="D30" s="19" t="s">
        <v>33</v>
      </c>
      <c r="E30" s="80">
        <v>1600</v>
      </c>
      <c r="F30" s="19" t="s">
        <v>34</v>
      </c>
      <c r="G30" s="83">
        <v>223.99</v>
      </c>
      <c r="H30" s="19" t="s">
        <v>35</v>
      </c>
      <c r="I30" s="70">
        <f>C30*E30*G30</f>
        <v>358384</v>
      </c>
      <c r="J30" s="64"/>
      <c r="K30" s="65"/>
      <c r="M30" s="62"/>
      <c r="N30" s="12"/>
    </row>
    <row r="31" spans="2:14" x14ac:dyDescent="0.25">
      <c r="B31" s="28"/>
      <c r="C31" s="19"/>
      <c r="D31" s="19"/>
      <c r="E31" s="84"/>
      <c r="F31" s="19"/>
      <c r="G31" s="85">
        <f>SUM(G25:G30)</f>
        <v>511.62</v>
      </c>
      <c r="H31" s="86" t="s">
        <v>2</v>
      </c>
      <c r="I31" s="87">
        <f>SUM(I25:I30)</f>
        <v>849662</v>
      </c>
      <c r="J31" s="88"/>
      <c r="K31" s="65"/>
      <c r="M31" s="62"/>
    </row>
    <row r="32" spans="2:14" x14ac:dyDescent="0.25">
      <c r="B32" s="28" t="s">
        <v>36</v>
      </c>
      <c r="C32" s="19"/>
      <c r="D32" s="19"/>
      <c r="E32" s="19" t="s">
        <v>8</v>
      </c>
      <c r="F32" s="19"/>
      <c r="G32" s="89" t="s">
        <v>5</v>
      </c>
      <c r="H32" s="90">
        <v>0.1</v>
      </c>
      <c r="I32" s="67">
        <f>(I25+I26+I27+I28+I29+I30)*H32</f>
        <v>84966.200000000012</v>
      </c>
      <c r="J32" s="64"/>
      <c r="K32" s="65"/>
      <c r="M32" s="62"/>
    </row>
    <row r="33" spans="2:14" x14ac:dyDescent="0.25">
      <c r="B33" s="28" t="s">
        <v>37</v>
      </c>
      <c r="C33" s="19"/>
      <c r="D33" s="91" t="s">
        <v>8</v>
      </c>
      <c r="E33" s="19"/>
      <c r="F33" s="19"/>
      <c r="G33" s="19"/>
      <c r="H33" s="19" t="s">
        <v>38</v>
      </c>
      <c r="I33" s="84">
        <v>50000</v>
      </c>
      <c r="J33" s="64"/>
      <c r="K33" s="65"/>
    </row>
    <row r="34" spans="2:14" x14ac:dyDescent="0.25">
      <c r="B34" s="28" t="s">
        <v>39</v>
      </c>
      <c r="C34" s="57" t="s">
        <v>4</v>
      </c>
      <c r="D34" s="92">
        <f>I34/D9</f>
        <v>0</v>
      </c>
      <c r="E34" s="93">
        <v>0</v>
      </c>
      <c r="F34" s="93">
        <v>0</v>
      </c>
      <c r="G34" s="91">
        <v>0</v>
      </c>
      <c r="H34" s="19" t="s">
        <v>38</v>
      </c>
      <c r="I34" s="84">
        <v>0</v>
      </c>
      <c r="J34" s="64"/>
      <c r="K34" s="65"/>
      <c r="M34" s="10"/>
    </row>
    <row r="35" spans="2:14" x14ac:dyDescent="0.25">
      <c r="B35" s="28" t="s">
        <v>40</v>
      </c>
      <c r="C35" s="19" t="s">
        <v>33</v>
      </c>
      <c r="D35" s="94">
        <v>7.0000000000000007E-2</v>
      </c>
      <c r="E35" s="89" t="s">
        <v>3</v>
      </c>
      <c r="F35" s="95">
        <f>F42/2</f>
        <v>6</v>
      </c>
      <c r="G35" s="19" t="s">
        <v>41</v>
      </c>
      <c r="H35" s="19" t="s">
        <v>38</v>
      </c>
      <c r="I35" s="67">
        <f>(((I25+I26+I27+I28+I29+I30+I32+I33+I34)*D35)/12)*F35</f>
        <v>34461.987000000001</v>
      </c>
      <c r="J35" s="64"/>
      <c r="K35" s="65"/>
    </row>
    <row r="36" spans="2:14" x14ac:dyDescent="0.25">
      <c r="B36" s="28" t="s">
        <v>42</v>
      </c>
      <c r="C36" s="19" t="s">
        <v>33</v>
      </c>
      <c r="D36" s="94">
        <v>0.2</v>
      </c>
      <c r="E36" s="19"/>
      <c r="F36" s="19"/>
      <c r="G36" s="19"/>
      <c r="H36" s="19" t="s">
        <v>38</v>
      </c>
      <c r="I36" s="70">
        <f>(I25+I26+I27+I28+I29+I30+I32+I33+I34+I35)*D36</f>
        <v>203818.0374</v>
      </c>
      <c r="J36" s="64"/>
      <c r="K36" s="65"/>
    </row>
    <row r="37" spans="2:14" ht="13.8" thickBot="1" x14ac:dyDescent="0.3">
      <c r="B37" s="71"/>
      <c r="C37" s="72"/>
      <c r="D37" s="72"/>
      <c r="E37" s="72"/>
      <c r="F37" s="72"/>
      <c r="G37" s="72"/>
      <c r="H37" s="72" t="s">
        <v>43</v>
      </c>
      <c r="I37" s="96">
        <f>I25+I26+I27+I28+I29+I30+I32+I33+I34+I35+I36</f>
        <v>1222908.2243999999</v>
      </c>
      <c r="J37" s="73"/>
      <c r="K37" s="75">
        <f>K22-I37</f>
        <v>501083.20797999995</v>
      </c>
    </row>
    <row r="38" spans="2:14" x14ac:dyDescent="0.25">
      <c r="B38" s="14" t="s">
        <v>44</v>
      </c>
      <c r="C38" s="15"/>
      <c r="D38" s="15"/>
      <c r="E38" s="15"/>
      <c r="F38" s="15"/>
      <c r="G38" s="15"/>
      <c r="H38" s="15"/>
      <c r="I38" s="15"/>
      <c r="J38" s="16"/>
      <c r="K38" s="61"/>
      <c r="L38" s="97">
        <v>1</v>
      </c>
      <c r="M38" s="98" t="s">
        <v>45</v>
      </c>
      <c r="N38" s="2"/>
    </row>
    <row r="39" spans="2:14" x14ac:dyDescent="0.25">
      <c r="B39" s="28" t="s">
        <v>46</v>
      </c>
      <c r="C39" s="19" t="s">
        <v>33</v>
      </c>
      <c r="D39" s="66">
        <v>5.0000000000000001E-3</v>
      </c>
      <c r="E39" s="19" t="s">
        <v>47</v>
      </c>
      <c r="F39" s="19"/>
      <c r="G39" s="19"/>
      <c r="H39" s="19" t="s">
        <v>8</v>
      </c>
      <c r="I39" s="69">
        <f>(D39*(1+G17))*I37</f>
        <v>7337.4493463999997</v>
      </c>
      <c r="J39" s="99"/>
      <c r="K39" s="65"/>
      <c r="L39" s="100">
        <f>(D39)*(1+G$17)</f>
        <v>6.0000000000000001E-3</v>
      </c>
      <c r="M39" s="101" t="s">
        <v>45</v>
      </c>
      <c r="N39" s="2"/>
    </row>
    <row r="40" spans="2:14" x14ac:dyDescent="0.25">
      <c r="B40" s="28" t="s">
        <v>48</v>
      </c>
      <c r="C40" s="19" t="s">
        <v>33</v>
      </c>
      <c r="D40" s="102">
        <f>I40/K45</f>
        <v>2.2330257222199432E-2</v>
      </c>
      <c r="E40" s="19" t="s">
        <v>47</v>
      </c>
      <c r="F40" s="19"/>
      <c r="G40" s="19"/>
      <c r="H40" s="19" t="s">
        <v>8</v>
      </c>
      <c r="I40" s="67">
        <f>F54</f>
        <v>8473.7940181072954</v>
      </c>
      <c r="J40" s="99"/>
      <c r="K40" s="65"/>
      <c r="L40" s="100">
        <f>D40</f>
        <v>2.2330257222199432E-2</v>
      </c>
      <c r="M40" s="101" t="s">
        <v>45</v>
      </c>
      <c r="N40" s="2"/>
    </row>
    <row r="41" spans="2:14" x14ac:dyDescent="0.25">
      <c r="B41" s="28" t="s">
        <v>49</v>
      </c>
      <c r="C41" s="19" t="s">
        <v>33</v>
      </c>
      <c r="D41" s="66">
        <v>0</v>
      </c>
      <c r="E41" s="19" t="s">
        <v>47</v>
      </c>
      <c r="F41" s="19"/>
      <c r="G41" s="19"/>
      <c r="H41" s="19" t="s">
        <v>8</v>
      </c>
      <c r="I41" s="67">
        <f>(D41*(1+G17))*I37</f>
        <v>0</v>
      </c>
      <c r="J41" s="64"/>
      <c r="K41" s="65"/>
      <c r="L41" s="100">
        <f>(D41)*(1+G$17)</f>
        <v>0</v>
      </c>
      <c r="M41" s="101" t="s">
        <v>45</v>
      </c>
      <c r="N41" s="2"/>
    </row>
    <row r="42" spans="2:14" x14ac:dyDescent="0.25">
      <c r="B42" s="28" t="s">
        <v>40</v>
      </c>
      <c r="C42" s="19" t="s">
        <v>33</v>
      </c>
      <c r="D42" s="66">
        <v>7.0000000000000007E-2</v>
      </c>
      <c r="E42" s="19" t="s">
        <v>41</v>
      </c>
      <c r="F42" s="57">
        <v>12</v>
      </c>
      <c r="G42" s="19" t="s">
        <v>41</v>
      </c>
      <c r="H42" s="19" t="s">
        <v>8</v>
      </c>
      <c r="I42" s="103">
        <f>((SUM(I39:I41)+K45)*(D42/12)*F42)</f>
        <v>27670.098660865719</v>
      </c>
      <c r="J42" s="104"/>
      <c r="K42" s="65"/>
      <c r="L42" s="100">
        <f>((SUM(L38:L41)*D42)/12)*F42</f>
        <v>7.1983118005553973E-2</v>
      </c>
      <c r="M42" s="101" t="s">
        <v>45</v>
      </c>
      <c r="N42" s="2"/>
    </row>
    <row r="43" spans="2:14" ht="15" thickBot="1" x14ac:dyDescent="0.4">
      <c r="B43" s="28" t="s">
        <v>42</v>
      </c>
      <c r="C43" s="19" t="s">
        <v>33</v>
      </c>
      <c r="D43" s="66">
        <v>0.2</v>
      </c>
      <c r="E43" s="19"/>
      <c r="F43" s="19"/>
      <c r="G43" s="19"/>
      <c r="H43" s="19" t="s">
        <v>8</v>
      </c>
      <c r="I43" s="105">
        <f>(SUM(I39:I42)*D43)+(K45*D43)</f>
        <v>84591.444477503785</v>
      </c>
      <c r="J43" s="106"/>
      <c r="K43" s="65"/>
      <c r="L43" s="107">
        <f>SUM(L38:L42)*D43</f>
        <v>0.22006267504555069</v>
      </c>
      <c r="M43" s="101" t="s">
        <v>45</v>
      </c>
      <c r="N43" s="2"/>
    </row>
    <row r="44" spans="2:14" ht="13.8" thickBot="1" x14ac:dyDescent="0.3">
      <c r="B44" s="28"/>
      <c r="C44" s="19"/>
      <c r="D44" s="69"/>
      <c r="E44" s="19"/>
      <c r="F44" s="19"/>
      <c r="G44" s="19"/>
      <c r="H44" s="19"/>
      <c r="I44" s="108">
        <f>SUM(I39:I43)</f>
        <v>128072.7865028768</v>
      </c>
      <c r="J44" s="64"/>
      <c r="K44" s="65"/>
      <c r="L44" s="177">
        <f>SUM(L38:L43)</f>
        <v>1.3203760502733042</v>
      </c>
      <c r="M44" s="178"/>
      <c r="N44" s="2"/>
    </row>
    <row r="45" spans="2:14" ht="13.8" thickBot="1" x14ac:dyDescent="0.3">
      <c r="B45" s="71"/>
      <c r="C45" s="72"/>
      <c r="D45" s="72" t="s">
        <v>8</v>
      </c>
      <c r="E45" s="72"/>
      <c r="F45" s="72" t="s">
        <v>8</v>
      </c>
      <c r="G45" s="72" t="s">
        <v>8</v>
      </c>
      <c r="H45" s="109"/>
      <c r="I45" s="72"/>
      <c r="J45" s="110" t="s">
        <v>50</v>
      </c>
      <c r="K45" s="75">
        <f>SUM(K37/L46)</f>
        <v>379475.88036214589</v>
      </c>
      <c r="L45" s="179" t="s">
        <v>74</v>
      </c>
      <c r="M45" s="180"/>
      <c r="N45" s="62"/>
    </row>
    <row r="46" spans="2:14" ht="13.8" thickBot="1" x14ac:dyDescent="0.3">
      <c r="B46" s="111" t="s">
        <v>51</v>
      </c>
      <c r="C46" s="112"/>
      <c r="D46" s="112"/>
      <c r="E46" s="113">
        <f>K14</f>
        <v>1755592.0899999999</v>
      </c>
      <c r="F46" s="114" t="s">
        <v>52</v>
      </c>
      <c r="G46" s="115">
        <f>(H22+I37+I44+K45)-I36-I43</f>
        <v>1473648.0670075186</v>
      </c>
      <c r="H46" s="111" t="s">
        <v>53</v>
      </c>
      <c r="I46" s="112"/>
      <c r="J46" s="112"/>
      <c r="K46" s="116">
        <f>(I36+I43)/E46</f>
        <v>0.16428046328091159</v>
      </c>
      <c r="L46" s="181">
        <v>1.3204612833411187</v>
      </c>
      <c r="M46" s="182"/>
    </row>
    <row r="47" spans="2:14" ht="13.8" thickBot="1" x14ac:dyDescent="0.3">
      <c r="B47" s="114" t="s">
        <v>54</v>
      </c>
      <c r="C47" s="117"/>
      <c r="D47" s="117"/>
      <c r="E47" s="118">
        <f>I36+I43</f>
        <v>288409.4818775038</v>
      </c>
      <c r="F47" s="114" t="s">
        <v>55</v>
      </c>
      <c r="G47" s="119">
        <f>SUM(K45/G46)</f>
        <v>0.25750780587167815</v>
      </c>
      <c r="H47" s="114" t="s">
        <v>56</v>
      </c>
      <c r="I47" s="117"/>
      <c r="J47" s="117"/>
      <c r="K47" s="119">
        <f>(I36+I43)/G46</f>
        <v>0.19571123413690356</v>
      </c>
    </row>
    <row r="49" spans="2:13" ht="13.8" thickBot="1" x14ac:dyDescent="0.3">
      <c r="B49" s="120" t="s">
        <v>57</v>
      </c>
    </row>
    <row r="50" spans="2:13" x14ac:dyDescent="0.25">
      <c r="B50" s="121" t="s">
        <v>58</v>
      </c>
      <c r="C50" s="122"/>
      <c r="D50" s="122"/>
      <c r="E50" s="123" t="s">
        <v>59</v>
      </c>
      <c r="F50" s="124"/>
    </row>
    <row r="51" spans="2:13" x14ac:dyDescent="0.25">
      <c r="B51" s="125" t="s">
        <v>60</v>
      </c>
      <c r="C51" s="126"/>
      <c r="D51" s="126"/>
      <c r="E51" s="127" t="s">
        <v>61</v>
      </c>
      <c r="F51" s="128">
        <v>0</v>
      </c>
    </row>
    <row r="52" spans="2:13" x14ac:dyDescent="0.25">
      <c r="B52" s="125" t="s">
        <v>62</v>
      </c>
      <c r="C52" s="126"/>
      <c r="D52" s="126"/>
      <c r="E52" s="129">
        <v>0.02</v>
      </c>
      <c r="F52" s="128">
        <f>100000*E52</f>
        <v>2000</v>
      </c>
    </row>
    <row r="53" spans="2:13" ht="13.8" thickBot="1" x14ac:dyDescent="0.3">
      <c r="B53" s="130" t="s">
        <v>63</v>
      </c>
      <c r="C53" s="131"/>
      <c r="D53" s="131"/>
      <c r="E53" s="132">
        <v>0.05</v>
      </c>
      <c r="F53" s="133">
        <f>(K45-250000)*E53</f>
        <v>6473.7940181072954</v>
      </c>
    </row>
    <row r="54" spans="2:13" ht="13.8" thickBot="1" x14ac:dyDescent="0.3">
      <c r="B54" s="134"/>
      <c r="C54" s="135"/>
      <c r="D54" s="135"/>
      <c r="E54" s="153" t="s">
        <v>64</v>
      </c>
      <c r="F54" s="133">
        <f>SUM(F51:F53)</f>
        <v>8473.7940181072954</v>
      </c>
      <c r="G54" s="62"/>
    </row>
    <row r="55" spans="2:13" ht="13.8" thickBot="1" x14ac:dyDescent="0.3"/>
    <row r="56" spans="2:13" ht="16.2" thickBot="1" x14ac:dyDescent="0.35">
      <c r="B56" s="4"/>
      <c r="C56" s="5"/>
      <c r="D56" s="5"/>
      <c r="E56" s="5"/>
      <c r="F56" s="5"/>
      <c r="G56" s="136"/>
      <c r="H56" s="5"/>
      <c r="I56" s="5"/>
      <c r="J56" s="5"/>
      <c r="K56" s="5"/>
      <c r="L56" s="6"/>
    </row>
    <row r="57" spans="2:13" ht="23.4" x14ac:dyDescent="0.45">
      <c r="B57" s="13" t="s">
        <v>65</v>
      </c>
      <c r="C57" s="137">
        <f>G5</f>
        <v>500</v>
      </c>
      <c r="D57" s="150" t="s">
        <v>66</v>
      </c>
      <c r="E57" s="151"/>
      <c r="F57" s="151"/>
      <c r="G57" s="151"/>
      <c r="H57" s="151"/>
      <c r="I57" s="151"/>
      <c r="J57" s="151"/>
      <c r="K57" s="151"/>
      <c r="L57" s="152"/>
    </row>
    <row r="58" spans="2:13" ht="18.600000000000001" thickBot="1" x14ac:dyDescent="0.4">
      <c r="B58" s="13" t="s">
        <v>67</v>
      </c>
      <c r="C58" s="138">
        <f>E25</f>
        <v>1700</v>
      </c>
      <c r="D58" s="139">
        <f>D59/$H59</f>
        <v>0.94117647058823528</v>
      </c>
      <c r="E58" s="140">
        <f>E59/$H59</f>
        <v>0.95588235294117652</v>
      </c>
      <c r="F58" s="140">
        <f>F59/$H59</f>
        <v>0.97058823529411764</v>
      </c>
      <c r="G58" s="140">
        <f>G59/H59</f>
        <v>0.98529411764705888</v>
      </c>
      <c r="H58" s="140">
        <f>H59/$H59</f>
        <v>1</v>
      </c>
      <c r="I58" s="140">
        <f>I59/$H59</f>
        <v>1.0147058823529411</v>
      </c>
      <c r="J58" s="140">
        <f>J59/$H59</f>
        <v>1.0294117647058822</v>
      </c>
      <c r="K58" s="140">
        <f>K59/$H59</f>
        <v>1.0441176470588236</v>
      </c>
      <c r="L58" s="141">
        <f>L59/$H59</f>
        <v>1.0588235294117647</v>
      </c>
    </row>
    <row r="59" spans="2:13" ht="15" thickBot="1" x14ac:dyDescent="0.35">
      <c r="B59" s="7"/>
      <c r="C59" s="9">
        <f>K45</f>
        <v>379475.88036214589</v>
      </c>
      <c r="D59" s="146">
        <f>E59-M59</f>
        <v>1600</v>
      </c>
      <c r="E59" s="146">
        <f>F59-M59</f>
        <v>1625</v>
      </c>
      <c r="F59" s="146">
        <f>G59-M59</f>
        <v>1650</v>
      </c>
      <c r="G59" s="146">
        <f>H59-M59</f>
        <v>1675</v>
      </c>
      <c r="H59" s="11">
        <v>1700</v>
      </c>
      <c r="I59" s="146">
        <f>H59+M59</f>
        <v>1725</v>
      </c>
      <c r="J59" s="146">
        <f>I59+M59</f>
        <v>1750</v>
      </c>
      <c r="K59" s="146">
        <f>J59+M59</f>
        <v>1775</v>
      </c>
      <c r="L59" s="146">
        <f>K59+M59</f>
        <v>1800</v>
      </c>
      <c r="M59" s="173">
        <v>25</v>
      </c>
    </row>
    <row r="60" spans="2:13" ht="14.4" x14ac:dyDescent="0.3">
      <c r="B60" s="142">
        <f>B61-B71</f>
        <v>0.87499999999999989</v>
      </c>
      <c r="C60" s="8">
        <f>B60*C65</f>
        <v>437.49999999999994</v>
      </c>
      <c r="D60" s="154">
        <f t="dataTable" ref="D60:L70" dt2D="1" dtr="1" r1="E25" r2="G5"/>
        <v>270875.34305244684</v>
      </c>
      <c r="E60" s="155">
        <v>265430.55827101937</v>
      </c>
      <c r="F60" s="155">
        <v>259985.77348959169</v>
      </c>
      <c r="G60" s="155">
        <v>254540.98870816419</v>
      </c>
      <c r="H60" s="155">
        <v>249096.20392673669</v>
      </c>
      <c r="I60" s="155">
        <v>243651.41914530902</v>
      </c>
      <c r="J60" s="155">
        <v>238206.63436388152</v>
      </c>
      <c r="K60" s="155">
        <v>232761.84958245402</v>
      </c>
      <c r="L60" s="156">
        <v>227317.06480102651</v>
      </c>
    </row>
    <row r="61" spans="2:13" ht="14.4" x14ac:dyDescent="0.3">
      <c r="B61" s="142">
        <f>B62-B71</f>
        <v>0.89999999999999991</v>
      </c>
      <c r="C61" s="8">
        <f>B61*C65</f>
        <v>449.99999999999994</v>
      </c>
      <c r="D61" s="157">
        <v>296951.27833952877</v>
      </c>
      <c r="E61" s="158">
        <v>291506.4935581013</v>
      </c>
      <c r="F61" s="158">
        <v>286061.70877667365</v>
      </c>
      <c r="G61" s="158">
        <v>280616.92399524612</v>
      </c>
      <c r="H61" s="158">
        <v>275172.13921381865</v>
      </c>
      <c r="I61" s="158">
        <v>269727.35443239094</v>
      </c>
      <c r="J61" s="158">
        <v>264282.56965096347</v>
      </c>
      <c r="K61" s="158">
        <v>258837.78486953597</v>
      </c>
      <c r="L61" s="159">
        <v>253393.00008810847</v>
      </c>
    </row>
    <row r="62" spans="2:13" ht="14.4" x14ac:dyDescent="0.3">
      <c r="B62" s="142">
        <f>B63-B71</f>
        <v>0.92499999999999993</v>
      </c>
      <c r="C62" s="8">
        <f>B62*C65</f>
        <v>462.49999999999994</v>
      </c>
      <c r="D62" s="157">
        <v>323027.21362661058</v>
      </c>
      <c r="E62" s="158">
        <v>317582.42884518305</v>
      </c>
      <c r="F62" s="158">
        <v>312137.6440637554</v>
      </c>
      <c r="G62" s="158">
        <v>306692.85928232787</v>
      </c>
      <c r="H62" s="158">
        <v>301248.0745009004</v>
      </c>
      <c r="I62" s="158">
        <v>295803.2897194727</v>
      </c>
      <c r="J62" s="158">
        <v>290358.50493804523</v>
      </c>
      <c r="K62" s="158">
        <v>284913.72015661775</v>
      </c>
      <c r="L62" s="159">
        <v>279468.93537519022</v>
      </c>
    </row>
    <row r="63" spans="2:13" ht="14.4" x14ac:dyDescent="0.3">
      <c r="B63" s="142">
        <f>B64-B71</f>
        <v>0.95</v>
      </c>
      <c r="C63" s="8">
        <f>B63*C65</f>
        <v>475</v>
      </c>
      <c r="D63" s="157">
        <v>349103.14891369251</v>
      </c>
      <c r="E63" s="158">
        <v>343658.36413226498</v>
      </c>
      <c r="F63" s="158">
        <v>338213.57935083733</v>
      </c>
      <c r="G63" s="158">
        <v>332768.79456940986</v>
      </c>
      <c r="H63" s="158">
        <v>327324.00978798233</v>
      </c>
      <c r="I63" s="158">
        <v>321879.22500655468</v>
      </c>
      <c r="J63" s="158">
        <v>316434.44022512715</v>
      </c>
      <c r="K63" s="158">
        <v>310989.65544369968</v>
      </c>
      <c r="L63" s="159">
        <v>305544.87066227215</v>
      </c>
    </row>
    <row r="64" spans="2:13" ht="15" thickBot="1" x14ac:dyDescent="0.35">
      <c r="B64" s="142">
        <f>B65-B71</f>
        <v>0.97499999999999998</v>
      </c>
      <c r="C64" s="8">
        <f>B64*C65</f>
        <v>487.5</v>
      </c>
      <c r="D64" s="157">
        <v>375179.08420077409</v>
      </c>
      <c r="E64" s="158">
        <v>369734.29941934661</v>
      </c>
      <c r="F64" s="158">
        <v>364289.51463791891</v>
      </c>
      <c r="G64" s="158">
        <v>358844.72985649144</v>
      </c>
      <c r="H64" s="158">
        <v>353399.94507506391</v>
      </c>
      <c r="I64" s="158">
        <v>347955.16029363626</v>
      </c>
      <c r="J64" s="158">
        <v>342510.37551220873</v>
      </c>
      <c r="K64" s="158">
        <v>337065.59073078126</v>
      </c>
      <c r="L64" s="159">
        <v>331620.80594935379</v>
      </c>
    </row>
    <row r="65" spans="2:14" ht="15" thickBot="1" x14ac:dyDescent="0.35">
      <c r="B65" s="143">
        <v>1</v>
      </c>
      <c r="C65" s="11">
        <v>500</v>
      </c>
      <c r="D65" s="157">
        <v>401255.01948785601</v>
      </c>
      <c r="E65" s="158">
        <v>395810.23470642854</v>
      </c>
      <c r="F65" s="158">
        <v>390365.44992500084</v>
      </c>
      <c r="G65" s="158">
        <v>384920.66514357337</v>
      </c>
      <c r="H65" s="158">
        <v>379475.88036214589</v>
      </c>
      <c r="I65" s="158">
        <v>374031.09558071819</v>
      </c>
      <c r="J65" s="158">
        <v>368586.31079929072</v>
      </c>
      <c r="K65" s="158">
        <v>363141.52601786319</v>
      </c>
      <c r="L65" s="159">
        <v>357696.74123643572</v>
      </c>
    </row>
    <row r="66" spans="2:14" ht="14.4" x14ac:dyDescent="0.3">
      <c r="B66" s="142">
        <f>B65+B71</f>
        <v>1.0249999999999999</v>
      </c>
      <c r="C66" s="8">
        <f>B66*C65</f>
        <v>512.5</v>
      </c>
      <c r="D66" s="157">
        <v>427330.954774938</v>
      </c>
      <c r="E66" s="158">
        <v>421886.16999351047</v>
      </c>
      <c r="F66" s="158">
        <v>416441.38521208282</v>
      </c>
      <c r="G66" s="158">
        <v>410996.60043065529</v>
      </c>
      <c r="H66" s="158">
        <v>405551.81564922782</v>
      </c>
      <c r="I66" s="158">
        <v>400107.03086780012</v>
      </c>
      <c r="J66" s="158">
        <v>394662.24608637264</v>
      </c>
      <c r="K66" s="158">
        <v>389217.46130494517</v>
      </c>
      <c r="L66" s="159">
        <v>383772.67652351764</v>
      </c>
    </row>
    <row r="67" spans="2:14" ht="14.4" x14ac:dyDescent="0.3">
      <c r="B67" s="142">
        <f>B66+B71</f>
        <v>1.0499999999999998</v>
      </c>
      <c r="C67" s="8">
        <f>B67*C65</f>
        <v>524.99999999999989</v>
      </c>
      <c r="D67" s="157">
        <v>453406.8900620194</v>
      </c>
      <c r="E67" s="158">
        <v>447962.10528059187</v>
      </c>
      <c r="F67" s="158">
        <v>442517.32049916423</v>
      </c>
      <c r="G67" s="158">
        <v>437072.5357177367</v>
      </c>
      <c r="H67" s="158">
        <v>431627.75093630922</v>
      </c>
      <c r="I67" s="158">
        <v>426182.96615488158</v>
      </c>
      <c r="J67" s="158">
        <v>420738.18137345405</v>
      </c>
      <c r="K67" s="158">
        <v>415293.39659202658</v>
      </c>
      <c r="L67" s="159">
        <v>409848.61181059905</v>
      </c>
      <c r="N67" s="144"/>
    </row>
    <row r="68" spans="2:14" ht="14.4" x14ac:dyDescent="0.3">
      <c r="B68" s="142">
        <f>B67+B71</f>
        <v>1.0749999999999997</v>
      </c>
      <c r="C68" s="8">
        <f>B68*C65</f>
        <v>537.49999999999989</v>
      </c>
      <c r="D68" s="157">
        <v>479482.82534910133</v>
      </c>
      <c r="E68" s="158">
        <v>474038.04056767386</v>
      </c>
      <c r="F68" s="158">
        <v>468593.25578624615</v>
      </c>
      <c r="G68" s="158">
        <v>463148.47100481868</v>
      </c>
      <c r="H68" s="158">
        <v>457703.68622339115</v>
      </c>
      <c r="I68" s="158">
        <v>452258.90144196351</v>
      </c>
      <c r="J68" s="158">
        <v>446814.11666053598</v>
      </c>
      <c r="K68" s="158">
        <v>441369.3318791085</v>
      </c>
      <c r="L68" s="159">
        <v>435924.54709768103</v>
      </c>
      <c r="N68" s="144"/>
    </row>
    <row r="69" spans="2:14" ht="14.4" x14ac:dyDescent="0.3">
      <c r="B69" s="142">
        <f>B68+B71</f>
        <v>1.0999999999999996</v>
      </c>
      <c r="C69" s="8">
        <f>B69*C65</f>
        <v>549.99999999999977</v>
      </c>
      <c r="D69" s="157">
        <v>505558.76063618291</v>
      </c>
      <c r="E69" s="158">
        <v>500113.97585475544</v>
      </c>
      <c r="F69" s="158">
        <v>494669.19107332773</v>
      </c>
      <c r="G69" s="158">
        <v>489224.40629190026</v>
      </c>
      <c r="H69" s="158">
        <v>483779.62151047273</v>
      </c>
      <c r="I69" s="158">
        <v>478334.83672904508</v>
      </c>
      <c r="J69" s="158">
        <v>472890.05194761761</v>
      </c>
      <c r="K69" s="158">
        <v>467445.26716619008</v>
      </c>
      <c r="L69" s="159">
        <v>462000.48238476261</v>
      </c>
      <c r="N69" s="144"/>
    </row>
    <row r="70" spans="2:14" ht="15" thickBot="1" x14ac:dyDescent="0.35">
      <c r="B70" s="142">
        <f>B69+B71</f>
        <v>1.1249999999999996</v>
      </c>
      <c r="C70" s="8">
        <f>B70*C65</f>
        <v>562.49999999999977</v>
      </c>
      <c r="D70" s="160">
        <v>531634.69592326449</v>
      </c>
      <c r="E70" s="161">
        <v>526189.91114183702</v>
      </c>
      <c r="F70" s="161">
        <v>520745.12636040931</v>
      </c>
      <c r="G70" s="161">
        <v>515300.34157898184</v>
      </c>
      <c r="H70" s="161">
        <v>509855.55679755437</v>
      </c>
      <c r="I70" s="161">
        <v>504410.77201612666</v>
      </c>
      <c r="J70" s="161">
        <v>498965.98723469919</v>
      </c>
      <c r="K70" s="161">
        <v>493521.20245327166</v>
      </c>
      <c r="L70" s="162">
        <v>488076.41767184419</v>
      </c>
      <c r="M70" s="12"/>
      <c r="N70" s="144"/>
    </row>
    <row r="71" spans="2:14" ht="16.2" thickBot="1" x14ac:dyDescent="0.35">
      <c r="B71" s="174">
        <v>2.5000000000000001E-2</v>
      </c>
      <c r="C71" s="5"/>
      <c r="D71" s="5"/>
      <c r="E71" s="5"/>
      <c r="F71" s="5"/>
      <c r="G71" s="136"/>
      <c r="H71" s="5"/>
      <c r="I71" s="5"/>
      <c r="J71" s="5"/>
      <c r="K71" s="5"/>
      <c r="L71" s="6"/>
    </row>
    <row r="72" spans="2:14" ht="13.8" thickBot="1" x14ac:dyDescent="0.3">
      <c r="F72" s="12"/>
    </row>
    <row r="73" spans="2:14" ht="16.2" thickBot="1" x14ac:dyDescent="0.35">
      <c r="B73" s="4"/>
      <c r="C73" s="5"/>
      <c r="D73" s="5"/>
      <c r="E73" s="5"/>
      <c r="F73" s="5"/>
      <c r="G73" s="136"/>
      <c r="H73" s="5"/>
      <c r="I73" s="5"/>
      <c r="J73" s="5"/>
      <c r="K73" s="5"/>
      <c r="L73" s="6"/>
    </row>
    <row r="74" spans="2:14" ht="23.4" x14ac:dyDescent="0.45">
      <c r="B74" s="145" t="s">
        <v>68</v>
      </c>
      <c r="C74" s="137">
        <f>G10</f>
        <v>20</v>
      </c>
      <c r="D74" s="150" t="s">
        <v>69</v>
      </c>
      <c r="E74" s="151"/>
      <c r="F74" s="151"/>
      <c r="G74" s="151"/>
      <c r="H74" s="151"/>
      <c r="I74" s="151"/>
      <c r="J74" s="151"/>
      <c r="K74" s="151"/>
      <c r="L74" s="152"/>
    </row>
    <row r="75" spans="2:14" ht="18.600000000000001" thickBot="1" x14ac:dyDescent="0.4">
      <c r="B75" s="145" t="s">
        <v>70</v>
      </c>
      <c r="C75" s="138">
        <f>G11</f>
        <v>10</v>
      </c>
      <c r="D75" s="139">
        <f>D76/$H76</f>
        <v>0.8</v>
      </c>
      <c r="E75" s="140">
        <f>E76/$H76</f>
        <v>0.85</v>
      </c>
      <c r="F75" s="140">
        <f>F76/$H76</f>
        <v>0.9</v>
      </c>
      <c r="G75" s="140">
        <f>G76/H76</f>
        <v>0.95</v>
      </c>
      <c r="H75" s="140">
        <f>H76/$H76</f>
        <v>1</v>
      </c>
      <c r="I75" s="140">
        <f>I76/$H76</f>
        <v>1.05</v>
      </c>
      <c r="J75" s="140">
        <f>J76/$H76</f>
        <v>1.1000000000000001</v>
      </c>
      <c r="K75" s="140">
        <f>K76/$H76</f>
        <v>1.1499999999999999</v>
      </c>
      <c r="L75" s="141">
        <f>L76/$H76</f>
        <v>1.2</v>
      </c>
    </row>
    <row r="76" spans="2:14" ht="15" thickBot="1" x14ac:dyDescent="0.35">
      <c r="B76" s="7"/>
      <c r="C76" s="9">
        <f>K45</f>
        <v>379475.88036214589</v>
      </c>
      <c r="D76" s="175">
        <f>E76-M76</f>
        <v>16</v>
      </c>
      <c r="E76" s="175">
        <f>F76-M76</f>
        <v>17</v>
      </c>
      <c r="F76" s="175">
        <f>G76-M76</f>
        <v>18</v>
      </c>
      <c r="G76" s="175">
        <f>H76-M76</f>
        <v>19</v>
      </c>
      <c r="H76" s="172">
        <v>20</v>
      </c>
      <c r="I76" s="175">
        <f>H76+M76</f>
        <v>21</v>
      </c>
      <c r="J76" s="175">
        <f>I76+M76</f>
        <v>22</v>
      </c>
      <c r="K76" s="175">
        <f>J76+M76</f>
        <v>23</v>
      </c>
      <c r="L76" s="175">
        <f>K76+M76</f>
        <v>24</v>
      </c>
      <c r="M76" s="173">
        <v>1</v>
      </c>
    </row>
    <row r="77" spans="2:14" ht="14.4" x14ac:dyDescent="0.3">
      <c r="B77" s="142">
        <f>B78-B88</f>
        <v>0.87499999999999989</v>
      </c>
      <c r="C77" s="176">
        <f>B77*C82</f>
        <v>8.7499999999999982</v>
      </c>
      <c r="D77" s="154">
        <f t="dataTable" ref="D77:L87" dt2D="1" dtr="1" r1="G10" r2="G11" ca="1"/>
        <v>345455.08988782577</v>
      </c>
      <c r="E77" s="155">
        <v>346255.57907545683</v>
      </c>
      <c r="F77" s="155">
        <v>347056.06826308789</v>
      </c>
      <c r="G77" s="155">
        <v>347856.55745071894</v>
      </c>
      <c r="H77" s="155">
        <v>348657.04663835012</v>
      </c>
      <c r="I77" s="155">
        <v>349457.535825981</v>
      </c>
      <c r="J77" s="155">
        <v>350258.02501361223</v>
      </c>
      <c r="K77" s="155">
        <v>351058.51420124329</v>
      </c>
      <c r="L77" s="156">
        <v>351859.00338887429</v>
      </c>
    </row>
    <row r="78" spans="2:14" ht="14.4" x14ac:dyDescent="0.3">
      <c r="B78" s="142">
        <f>B79-B88</f>
        <v>0.89999999999999991</v>
      </c>
      <c r="C78" s="176">
        <f>B78*C82</f>
        <v>9</v>
      </c>
      <c r="D78" s="157">
        <v>351618.85663258494</v>
      </c>
      <c r="E78" s="158">
        <v>352419.345820216</v>
      </c>
      <c r="F78" s="158">
        <v>353219.835007847</v>
      </c>
      <c r="G78" s="158">
        <v>354020.32419547805</v>
      </c>
      <c r="H78" s="158">
        <v>354820.81338310929</v>
      </c>
      <c r="I78" s="158">
        <v>355621.30257074017</v>
      </c>
      <c r="J78" s="158">
        <v>356421.7917583714</v>
      </c>
      <c r="K78" s="158">
        <v>357222.2809460024</v>
      </c>
      <c r="L78" s="159">
        <v>358022.77013363346</v>
      </c>
    </row>
    <row r="79" spans="2:14" ht="14.4" x14ac:dyDescent="0.3">
      <c r="B79" s="142">
        <f>B80-B88</f>
        <v>0.92499999999999993</v>
      </c>
      <c r="C79" s="176">
        <f>B79*C82</f>
        <v>9.25</v>
      </c>
      <c r="D79" s="157">
        <v>357782.62337734411</v>
      </c>
      <c r="E79" s="158">
        <v>358583.1125649751</v>
      </c>
      <c r="F79" s="158">
        <v>359383.60175260616</v>
      </c>
      <c r="G79" s="158">
        <v>360184.09094023722</v>
      </c>
      <c r="H79" s="158">
        <v>360984.58012786845</v>
      </c>
      <c r="I79" s="158">
        <v>361785.06931549928</v>
      </c>
      <c r="J79" s="158">
        <v>362585.55850313051</v>
      </c>
      <c r="K79" s="158">
        <v>363386.04769076157</v>
      </c>
      <c r="L79" s="159">
        <v>364186.53687839262</v>
      </c>
    </row>
    <row r="80" spans="2:14" ht="14.4" x14ac:dyDescent="0.3">
      <c r="B80" s="142">
        <f>B81-B88</f>
        <v>0.95</v>
      </c>
      <c r="C80" s="176">
        <f>B80*C82</f>
        <v>9.5</v>
      </c>
      <c r="D80" s="157">
        <v>363946.39012210321</v>
      </c>
      <c r="E80" s="158">
        <v>364746.87930973427</v>
      </c>
      <c r="F80" s="158">
        <v>365547.36849736533</v>
      </c>
      <c r="G80" s="158">
        <v>366347.85768499633</v>
      </c>
      <c r="H80" s="158">
        <v>367148.34687262756</v>
      </c>
      <c r="I80" s="158">
        <v>367948.83606025844</v>
      </c>
      <c r="J80" s="158">
        <v>368749.32524788968</v>
      </c>
      <c r="K80" s="158">
        <v>369549.81443552073</v>
      </c>
      <c r="L80" s="159">
        <v>370350.30362315173</v>
      </c>
    </row>
    <row r="81" spans="2:13" ht="15" thickBot="1" x14ac:dyDescent="0.35">
      <c r="B81" s="142">
        <f>B82-B88</f>
        <v>0.97499999999999998</v>
      </c>
      <c r="C81" s="176">
        <f>B81*C82</f>
        <v>9.75</v>
      </c>
      <c r="D81" s="157">
        <v>370110.15686686256</v>
      </c>
      <c r="E81" s="158">
        <v>370910.64605449344</v>
      </c>
      <c r="F81" s="158">
        <v>371711.13524212444</v>
      </c>
      <c r="G81" s="158">
        <v>372511.62442975567</v>
      </c>
      <c r="H81" s="158">
        <v>373312.1136173869</v>
      </c>
      <c r="I81" s="158">
        <v>374112.60280501761</v>
      </c>
      <c r="J81" s="158">
        <v>374913.09199264878</v>
      </c>
      <c r="K81" s="158">
        <v>375713.58118028002</v>
      </c>
      <c r="L81" s="159">
        <v>376514.07036791107</v>
      </c>
    </row>
    <row r="82" spans="2:13" ht="15" thickBot="1" x14ac:dyDescent="0.35">
      <c r="B82" s="143">
        <v>1</v>
      </c>
      <c r="C82" s="172">
        <v>10</v>
      </c>
      <c r="D82" s="157">
        <v>376273.92361162149</v>
      </c>
      <c r="E82" s="158">
        <v>377074.41279925272</v>
      </c>
      <c r="F82" s="158">
        <v>377874.90198688395</v>
      </c>
      <c r="G82" s="158">
        <v>378675.39117451466</v>
      </c>
      <c r="H82" s="158">
        <v>379475.88036214589</v>
      </c>
      <c r="I82" s="158">
        <v>380276.36954977689</v>
      </c>
      <c r="J82" s="158">
        <v>381076.85873740813</v>
      </c>
      <c r="K82" s="158">
        <v>381877.34792503901</v>
      </c>
      <c r="L82" s="159">
        <v>382677.83711267007</v>
      </c>
    </row>
    <row r="83" spans="2:13" ht="14.4" x14ac:dyDescent="0.3">
      <c r="B83" s="142">
        <f>B82+B88</f>
        <v>1.0249999999999999</v>
      </c>
      <c r="C83" s="176">
        <f>B83*C82</f>
        <v>10.25</v>
      </c>
      <c r="D83" s="157">
        <v>382437.69035638083</v>
      </c>
      <c r="E83" s="158">
        <v>383238.17954401171</v>
      </c>
      <c r="F83" s="158">
        <v>384038.66873164295</v>
      </c>
      <c r="G83" s="158">
        <v>384839.15791927394</v>
      </c>
      <c r="H83" s="158">
        <v>385639.64710690518</v>
      </c>
      <c r="I83" s="158">
        <v>386440.13629453606</v>
      </c>
      <c r="J83" s="158">
        <v>387240.62548216712</v>
      </c>
      <c r="K83" s="158">
        <v>388041.11466979835</v>
      </c>
      <c r="L83" s="159">
        <v>388841.60385742935</v>
      </c>
    </row>
    <row r="84" spans="2:13" ht="14.4" x14ac:dyDescent="0.3">
      <c r="B84" s="142">
        <f>B83+B88</f>
        <v>1.0499999999999998</v>
      </c>
      <c r="C84" s="176">
        <f>B84*C82</f>
        <v>10.499999999999998</v>
      </c>
      <c r="D84" s="157">
        <v>388601.45710113982</v>
      </c>
      <c r="E84" s="158">
        <v>389401.94628877088</v>
      </c>
      <c r="F84" s="158">
        <v>390202.43547640205</v>
      </c>
      <c r="G84" s="158">
        <v>391002.92466403294</v>
      </c>
      <c r="H84" s="158">
        <v>391803.41385166417</v>
      </c>
      <c r="I84" s="158">
        <v>392603.90303929523</v>
      </c>
      <c r="J84" s="158">
        <v>393404.39222692623</v>
      </c>
      <c r="K84" s="158">
        <v>394204.88141455728</v>
      </c>
      <c r="L84" s="159">
        <v>395005.37060218852</v>
      </c>
    </row>
    <row r="85" spans="2:13" ht="14.4" x14ac:dyDescent="0.3">
      <c r="B85" s="142">
        <f>B84+B88</f>
        <v>1.0749999999999997</v>
      </c>
      <c r="C85" s="176">
        <f>B85*C82</f>
        <v>10.749999999999996</v>
      </c>
      <c r="D85" s="157">
        <v>394765.22384589893</v>
      </c>
      <c r="E85" s="158">
        <v>395565.71303352999</v>
      </c>
      <c r="F85" s="158">
        <v>396366.20222116122</v>
      </c>
      <c r="G85" s="158">
        <v>397166.6914087921</v>
      </c>
      <c r="H85" s="158">
        <v>397967.18059642334</v>
      </c>
      <c r="I85" s="158">
        <v>398767.66978405433</v>
      </c>
      <c r="J85" s="158">
        <v>399568.15897168539</v>
      </c>
      <c r="K85" s="158">
        <v>400368.64815931645</v>
      </c>
      <c r="L85" s="159">
        <v>401169.13734694768</v>
      </c>
    </row>
    <row r="86" spans="2:13" ht="14.4" x14ac:dyDescent="0.3">
      <c r="B86" s="142">
        <f>B85+B88</f>
        <v>1.0999999999999996</v>
      </c>
      <c r="C86" s="176">
        <f>B86*C82</f>
        <v>10.999999999999996</v>
      </c>
      <c r="D86" s="157">
        <v>400928.9905906581</v>
      </c>
      <c r="E86" s="158">
        <v>401729.47977828933</v>
      </c>
      <c r="F86" s="158">
        <v>402529.96896592056</v>
      </c>
      <c r="G86" s="158">
        <v>403330.45815355121</v>
      </c>
      <c r="H86" s="158">
        <v>404130.94734118244</v>
      </c>
      <c r="I86" s="158">
        <v>404931.43652881368</v>
      </c>
      <c r="J86" s="158">
        <v>405731.92571644473</v>
      </c>
      <c r="K86" s="158">
        <v>406532.41490407556</v>
      </c>
      <c r="L86" s="159">
        <v>407332.90409170679</v>
      </c>
    </row>
    <row r="87" spans="2:13" ht="15" thickBot="1" x14ac:dyDescent="0.35">
      <c r="B87" s="142">
        <f>B86+B88</f>
        <v>1.1249999999999996</v>
      </c>
      <c r="C87" s="176">
        <f>B87*C82</f>
        <v>11.249999999999996</v>
      </c>
      <c r="D87" s="160">
        <v>407092.75733541744</v>
      </c>
      <c r="E87" s="161">
        <v>407893.24652304826</v>
      </c>
      <c r="F87" s="161">
        <v>408693.7357106795</v>
      </c>
      <c r="G87" s="161">
        <v>409494.22489831055</v>
      </c>
      <c r="H87" s="161">
        <v>410294.71408594179</v>
      </c>
      <c r="I87" s="161">
        <v>411095.20327357267</v>
      </c>
      <c r="J87" s="161">
        <v>411895.69246120367</v>
      </c>
      <c r="K87" s="161">
        <v>412696.1816488349</v>
      </c>
      <c r="L87" s="162">
        <v>413496.67083646613</v>
      </c>
    </row>
    <row r="88" spans="2:13" ht="16.2" thickBot="1" x14ac:dyDescent="0.35">
      <c r="B88" s="174">
        <v>2.5000000000000001E-2</v>
      </c>
      <c r="C88" s="5"/>
      <c r="D88" s="5"/>
      <c r="E88" s="5"/>
      <c r="F88" s="5"/>
      <c r="G88" s="136"/>
      <c r="H88" s="5"/>
      <c r="I88" s="5"/>
      <c r="J88" s="5"/>
      <c r="K88" s="5"/>
      <c r="L88" s="6"/>
    </row>
    <row r="89" spans="2:13" ht="13.8" thickBot="1" x14ac:dyDescent="0.3">
      <c r="F89" s="12"/>
    </row>
    <row r="90" spans="2:13" ht="16.2" thickBot="1" x14ac:dyDescent="0.35">
      <c r="B90" s="4"/>
      <c r="C90" s="5"/>
      <c r="D90" s="5"/>
      <c r="E90" s="5"/>
      <c r="F90" s="5"/>
      <c r="G90" s="136"/>
      <c r="H90" s="5"/>
      <c r="I90" s="5"/>
      <c r="J90" s="5"/>
      <c r="K90" s="5"/>
      <c r="L90" s="6"/>
    </row>
    <row r="91" spans="2:13" ht="23.4" x14ac:dyDescent="0.45">
      <c r="B91" s="147" t="s">
        <v>68</v>
      </c>
      <c r="C91" s="137">
        <f>G11</f>
        <v>10</v>
      </c>
      <c r="D91" s="150" t="s">
        <v>71</v>
      </c>
      <c r="E91" s="151"/>
      <c r="F91" s="151"/>
      <c r="G91" s="151"/>
      <c r="H91" s="151"/>
      <c r="I91" s="151"/>
      <c r="J91" s="151"/>
      <c r="K91" s="151"/>
      <c r="L91" s="152"/>
    </row>
    <row r="92" spans="2:13" ht="18.600000000000001" thickBot="1" x14ac:dyDescent="0.4">
      <c r="B92" s="147" t="s">
        <v>72</v>
      </c>
      <c r="C92" s="138">
        <f>G5</f>
        <v>500</v>
      </c>
      <c r="D92" s="139">
        <f>D93/$H93</f>
        <v>0.8</v>
      </c>
      <c r="E92" s="140">
        <f>E93/$H93</f>
        <v>0.85</v>
      </c>
      <c r="F92" s="140">
        <f>F93/$H93</f>
        <v>0.9</v>
      </c>
      <c r="G92" s="140">
        <f>G93/H93</f>
        <v>0.95</v>
      </c>
      <c r="H92" s="140">
        <f>H93/$H93</f>
        <v>1</v>
      </c>
      <c r="I92" s="140">
        <f>I93/$H93</f>
        <v>1.05</v>
      </c>
      <c r="J92" s="140">
        <f>J93/$H93</f>
        <v>1.1000000000000001</v>
      </c>
      <c r="K92" s="140">
        <f>K93/$H93</f>
        <v>1.1499999999999999</v>
      </c>
      <c r="L92" s="141">
        <f>L93/$H93</f>
        <v>1.2</v>
      </c>
    </row>
    <row r="93" spans="2:13" ht="15" thickBot="1" x14ac:dyDescent="0.35">
      <c r="B93" s="7"/>
      <c r="C93" s="148">
        <f>E47</f>
        <v>288409.4818775038</v>
      </c>
      <c r="D93" s="175">
        <f>E93-M93</f>
        <v>8</v>
      </c>
      <c r="E93" s="175">
        <f>F93-M93</f>
        <v>8.5</v>
      </c>
      <c r="F93" s="175">
        <f>G93-M93</f>
        <v>9</v>
      </c>
      <c r="G93" s="175">
        <f>H93-M93</f>
        <v>9.5</v>
      </c>
      <c r="H93" s="172">
        <v>10</v>
      </c>
      <c r="I93" s="175">
        <f>H93+M93</f>
        <v>10.5</v>
      </c>
      <c r="J93" s="175">
        <f>I93+M93</f>
        <v>11</v>
      </c>
      <c r="K93" s="175">
        <f>J93+M93</f>
        <v>11.5</v>
      </c>
      <c r="L93" s="175">
        <f>K93+M93</f>
        <v>12</v>
      </c>
      <c r="M93" s="173">
        <v>0.5</v>
      </c>
    </row>
    <row r="94" spans="2:13" ht="14.4" x14ac:dyDescent="0.3">
      <c r="B94" s="142">
        <f>B95-B105</f>
        <v>0.87499999999999989</v>
      </c>
      <c r="C94" s="8">
        <f>B94*C99</f>
        <v>437.49999999999994</v>
      </c>
      <c r="D94" s="154">
        <f t="dataTable" ref="D94:L104" dt2D="1" dtr="1" r1="G11" r2="G5" ca="1"/>
        <v>248033.18148208826</v>
      </c>
      <c r="E94" s="155">
        <v>250803.17825718306</v>
      </c>
      <c r="F94" s="155">
        <v>253573.17503227782</v>
      </c>
      <c r="G94" s="155">
        <v>256343.17180737256</v>
      </c>
      <c r="H94" s="155">
        <v>259113.16858246733</v>
      </c>
      <c r="I94" s="155">
        <v>261883.1653575621</v>
      </c>
      <c r="J94" s="155">
        <v>264653.1621326569</v>
      </c>
      <c r="K94" s="155">
        <v>267423.15890775167</v>
      </c>
      <c r="L94" s="156">
        <v>270193.15568284644</v>
      </c>
    </row>
    <row r="95" spans="2:13" ht="14.4" x14ac:dyDescent="0.3">
      <c r="B95" s="142">
        <f>B96-B105</f>
        <v>0.89999999999999991</v>
      </c>
      <c r="C95" s="8">
        <f>B95*C99</f>
        <v>449.99999999999994</v>
      </c>
      <c r="D95" s="157">
        <v>253892.44414109556</v>
      </c>
      <c r="E95" s="158">
        <v>256662.44091619033</v>
      </c>
      <c r="F95" s="158">
        <v>259432.4376912851</v>
      </c>
      <c r="G95" s="158">
        <v>262202.43446637987</v>
      </c>
      <c r="H95" s="158">
        <v>264972.43124147464</v>
      </c>
      <c r="I95" s="158">
        <v>267742.42801656941</v>
      </c>
      <c r="J95" s="158">
        <v>270512.42479166423</v>
      </c>
      <c r="K95" s="158">
        <v>273282.421566759</v>
      </c>
      <c r="L95" s="159">
        <v>276052.41834185371</v>
      </c>
    </row>
    <row r="96" spans="2:13" ht="14.4" x14ac:dyDescent="0.3">
      <c r="B96" s="142">
        <f>B97-B105</f>
        <v>0.92499999999999993</v>
      </c>
      <c r="C96" s="8">
        <f>B96*C99</f>
        <v>462.49999999999994</v>
      </c>
      <c r="D96" s="157">
        <v>259751.70680010284</v>
      </c>
      <c r="E96" s="158">
        <v>262521.70357519761</v>
      </c>
      <c r="F96" s="158">
        <v>265291.70035029238</v>
      </c>
      <c r="G96" s="158">
        <v>268061.69712538715</v>
      </c>
      <c r="H96" s="158">
        <v>270831.69390048191</v>
      </c>
      <c r="I96" s="158">
        <v>273601.69067557668</v>
      </c>
      <c r="J96" s="158">
        <v>276371.68745067145</v>
      </c>
      <c r="K96" s="158">
        <v>279141.68422576622</v>
      </c>
      <c r="L96" s="159">
        <v>281911.68100086099</v>
      </c>
    </row>
    <row r="97" spans="2:13" ht="14.4" x14ac:dyDescent="0.3">
      <c r="B97" s="142">
        <f>B98-B105</f>
        <v>0.95</v>
      </c>
      <c r="C97" s="8">
        <f>B97*C99</f>
        <v>475</v>
      </c>
      <c r="D97" s="157">
        <v>265610.96945911017</v>
      </c>
      <c r="E97" s="158">
        <v>268380.96623420494</v>
      </c>
      <c r="F97" s="158">
        <v>271150.96300929971</v>
      </c>
      <c r="G97" s="158">
        <v>273920.95978439442</v>
      </c>
      <c r="H97" s="158">
        <v>276690.95655948925</v>
      </c>
      <c r="I97" s="158">
        <v>279460.95333458402</v>
      </c>
      <c r="J97" s="158">
        <v>282230.95010967879</v>
      </c>
      <c r="K97" s="158">
        <v>285000.94688477356</v>
      </c>
      <c r="L97" s="159">
        <v>287770.94365986832</v>
      </c>
    </row>
    <row r="98" spans="2:13" ht="15" thickBot="1" x14ac:dyDescent="0.35">
      <c r="B98" s="142">
        <f>B99-B105</f>
        <v>0.97499999999999998</v>
      </c>
      <c r="C98" s="8">
        <f>B98*C99</f>
        <v>487.5</v>
      </c>
      <c r="D98" s="157">
        <v>271470.23211811739</v>
      </c>
      <c r="E98" s="158">
        <v>274240.22889321216</v>
      </c>
      <c r="F98" s="158">
        <v>277010.22566830693</v>
      </c>
      <c r="G98" s="158">
        <v>279780.2224434017</v>
      </c>
      <c r="H98" s="158">
        <v>282550.21921849647</v>
      </c>
      <c r="I98" s="158">
        <v>285320.21599359124</v>
      </c>
      <c r="J98" s="158">
        <v>288090.212768686</v>
      </c>
      <c r="K98" s="158">
        <v>290860.20954378077</v>
      </c>
      <c r="L98" s="159">
        <v>293630.20631887554</v>
      </c>
    </row>
    <row r="99" spans="2:13" ht="15" thickBot="1" x14ac:dyDescent="0.35">
      <c r="B99" s="143">
        <v>1</v>
      </c>
      <c r="C99" s="11">
        <v>500</v>
      </c>
      <c r="D99" s="157">
        <v>277329.49477712472</v>
      </c>
      <c r="E99" s="158">
        <v>280099.49155221949</v>
      </c>
      <c r="F99" s="158">
        <v>282869.48832731426</v>
      </c>
      <c r="G99" s="158">
        <v>285639.48510240903</v>
      </c>
      <c r="H99" s="158">
        <v>288409.4818775038</v>
      </c>
      <c r="I99" s="158">
        <v>291179.47865259857</v>
      </c>
      <c r="J99" s="158">
        <v>293949.47542769334</v>
      </c>
      <c r="K99" s="158">
        <v>296719.47220278811</v>
      </c>
      <c r="L99" s="159">
        <v>299489.46897788288</v>
      </c>
    </row>
    <row r="100" spans="2:13" ht="14.4" x14ac:dyDescent="0.3">
      <c r="B100" s="142">
        <f>B99+B105</f>
        <v>1.0249999999999999</v>
      </c>
      <c r="C100" s="8">
        <f>B100*C99</f>
        <v>512.5</v>
      </c>
      <c r="D100" s="157">
        <v>283188.757436132</v>
      </c>
      <c r="E100" s="158">
        <v>285958.75421122677</v>
      </c>
      <c r="F100" s="158">
        <v>288728.75098632154</v>
      </c>
      <c r="G100" s="158">
        <v>291498.74776141637</v>
      </c>
      <c r="H100" s="158">
        <v>294268.74453651113</v>
      </c>
      <c r="I100" s="158">
        <v>297038.74131160585</v>
      </c>
      <c r="J100" s="158">
        <v>299808.73808670067</v>
      </c>
      <c r="K100" s="158">
        <v>302578.73486179544</v>
      </c>
      <c r="L100" s="159">
        <v>305348.73163689021</v>
      </c>
    </row>
    <row r="101" spans="2:13" ht="14.4" x14ac:dyDescent="0.3">
      <c r="B101" s="142">
        <f>B100+B105</f>
        <v>1.0499999999999998</v>
      </c>
      <c r="C101" s="8">
        <f>B101*C99</f>
        <v>524.99999999999989</v>
      </c>
      <c r="D101" s="157">
        <v>289048.02009513928</v>
      </c>
      <c r="E101" s="158">
        <v>291818.01687023399</v>
      </c>
      <c r="F101" s="158">
        <v>294588.01364532876</v>
      </c>
      <c r="G101" s="158">
        <v>297358.01042042352</v>
      </c>
      <c r="H101" s="158">
        <v>300128.00719551829</v>
      </c>
      <c r="I101" s="158">
        <v>302898.00397061306</v>
      </c>
      <c r="J101" s="158">
        <v>305668.00074570789</v>
      </c>
      <c r="K101" s="158">
        <v>308437.99752080266</v>
      </c>
      <c r="L101" s="159">
        <v>311207.99429589743</v>
      </c>
    </row>
    <row r="102" spans="2:13" ht="14.4" x14ac:dyDescent="0.3">
      <c r="B102" s="142">
        <f>B101+B105</f>
        <v>1.0749999999999997</v>
      </c>
      <c r="C102" s="8">
        <f>B102*C99</f>
        <v>537.49999999999989</v>
      </c>
      <c r="D102" s="157">
        <v>294907.28275414649</v>
      </c>
      <c r="E102" s="158">
        <v>297677.27952924126</v>
      </c>
      <c r="F102" s="158">
        <v>300447.27630433603</v>
      </c>
      <c r="G102" s="158">
        <v>303217.2730794308</v>
      </c>
      <c r="H102" s="158">
        <v>305987.26985452557</v>
      </c>
      <c r="I102" s="158">
        <v>308757.26662962034</v>
      </c>
      <c r="J102" s="158">
        <v>311527.26340471511</v>
      </c>
      <c r="K102" s="158">
        <v>314297.26017980993</v>
      </c>
      <c r="L102" s="159">
        <v>317067.2569549047</v>
      </c>
    </row>
    <row r="103" spans="2:13" ht="14.4" x14ac:dyDescent="0.3">
      <c r="B103" s="142">
        <f>B102+B105</f>
        <v>1.0999999999999996</v>
      </c>
      <c r="C103" s="8">
        <f>B103*C99</f>
        <v>549.99999999999977</v>
      </c>
      <c r="D103" s="157">
        <v>300766.54541315377</v>
      </c>
      <c r="E103" s="158">
        <v>303536.54218824854</v>
      </c>
      <c r="F103" s="158">
        <v>306306.53896334325</v>
      </c>
      <c r="G103" s="158">
        <v>309076.53573843802</v>
      </c>
      <c r="H103" s="158">
        <v>311846.53251353285</v>
      </c>
      <c r="I103" s="158">
        <v>314616.52928862761</v>
      </c>
      <c r="J103" s="158">
        <v>317386.52606372233</v>
      </c>
      <c r="K103" s="158">
        <v>320156.52283881709</v>
      </c>
      <c r="L103" s="159">
        <v>322926.51961391186</v>
      </c>
    </row>
    <row r="104" spans="2:13" ht="15" thickBot="1" x14ac:dyDescent="0.35">
      <c r="B104" s="142">
        <f>B103+B105</f>
        <v>1.1249999999999996</v>
      </c>
      <c r="C104" s="8">
        <f>B104*C99</f>
        <v>562.49999999999977</v>
      </c>
      <c r="D104" s="160">
        <v>306625.80807216105</v>
      </c>
      <c r="E104" s="161">
        <v>309395.80484725581</v>
      </c>
      <c r="F104" s="161">
        <v>312165.80162235058</v>
      </c>
      <c r="G104" s="161">
        <v>314935.79839744529</v>
      </c>
      <c r="H104" s="161">
        <v>317705.79517254006</v>
      </c>
      <c r="I104" s="161">
        <v>320475.79194763483</v>
      </c>
      <c r="J104" s="161">
        <v>323245.78872272966</v>
      </c>
      <c r="K104" s="161">
        <v>326015.78549782437</v>
      </c>
      <c r="L104" s="162">
        <v>328785.78227291914</v>
      </c>
      <c r="M104" s="12"/>
    </row>
    <row r="105" spans="2:13" ht="16.2" thickBot="1" x14ac:dyDescent="0.35">
      <c r="B105" s="174">
        <v>2.5000000000000001E-2</v>
      </c>
      <c r="C105" s="5"/>
      <c r="D105" s="5"/>
      <c r="E105" s="5"/>
      <c r="F105" s="5"/>
      <c r="G105" s="136"/>
      <c r="H105" s="5"/>
      <c r="I105" s="5"/>
      <c r="J105" s="5"/>
      <c r="K105" s="5"/>
      <c r="L105" s="6"/>
    </row>
    <row r="106" spans="2:13" ht="13.8" thickBot="1" x14ac:dyDescent="0.3">
      <c r="F106" s="12"/>
      <c r="G106" s="12"/>
    </row>
    <row r="107" spans="2:13" ht="16.2" thickBot="1" x14ac:dyDescent="0.35">
      <c r="B107" s="4"/>
      <c r="C107" s="5"/>
      <c r="D107" s="5"/>
      <c r="E107" s="5"/>
      <c r="F107" s="5"/>
      <c r="G107" s="136"/>
      <c r="H107" s="5"/>
      <c r="I107" s="5"/>
      <c r="J107" s="5"/>
      <c r="K107" s="5"/>
      <c r="L107" s="6"/>
    </row>
    <row r="108" spans="2:13" ht="23.4" x14ac:dyDescent="0.45">
      <c r="B108" s="147" t="s">
        <v>68</v>
      </c>
      <c r="C108" s="137">
        <f>G11</f>
        <v>10</v>
      </c>
      <c r="D108" s="150" t="s">
        <v>73</v>
      </c>
      <c r="E108" s="151"/>
      <c r="F108" s="151"/>
      <c r="G108" s="151"/>
      <c r="H108" s="151"/>
      <c r="I108" s="151"/>
      <c r="J108" s="151"/>
      <c r="K108" s="151"/>
      <c r="L108" s="152"/>
    </row>
    <row r="109" spans="2:13" ht="18.600000000000001" thickBot="1" x14ac:dyDescent="0.4">
      <c r="B109" s="147" t="s">
        <v>72</v>
      </c>
      <c r="C109" s="138">
        <f>G5</f>
        <v>500</v>
      </c>
      <c r="D109" s="139">
        <f>D110/$H110</f>
        <v>0.8</v>
      </c>
      <c r="E109" s="140">
        <f>E110/$H110</f>
        <v>0.85</v>
      </c>
      <c r="F109" s="140">
        <f>F110/$H110</f>
        <v>0.9</v>
      </c>
      <c r="G109" s="140">
        <f>G110/H110</f>
        <v>0.95</v>
      </c>
      <c r="H109" s="140">
        <f>H110/$H110</f>
        <v>1</v>
      </c>
      <c r="I109" s="140">
        <f>I110/$H110</f>
        <v>1.05</v>
      </c>
      <c r="J109" s="140">
        <f>J110/$H110</f>
        <v>1.1000000000000001</v>
      </c>
      <c r="K109" s="140">
        <f>K110/$H110</f>
        <v>1.1499999999999999</v>
      </c>
      <c r="L109" s="141">
        <f>L110/$H110</f>
        <v>1.2</v>
      </c>
    </row>
    <row r="110" spans="2:13" ht="15" thickBot="1" x14ac:dyDescent="0.35">
      <c r="B110" s="7"/>
      <c r="C110" s="149">
        <f>G47</f>
        <v>0.25750780587167815</v>
      </c>
      <c r="D110" s="175">
        <f>E110-M110</f>
        <v>8</v>
      </c>
      <c r="E110" s="175">
        <f>F110-M110</f>
        <v>8.5</v>
      </c>
      <c r="F110" s="175">
        <f>G110-M110</f>
        <v>9</v>
      </c>
      <c r="G110" s="175">
        <f>H110-M110</f>
        <v>9.5</v>
      </c>
      <c r="H110" s="172">
        <v>10</v>
      </c>
      <c r="I110" s="175">
        <f>H110+M110</f>
        <v>10.5</v>
      </c>
      <c r="J110" s="175">
        <f>I110+M110</f>
        <v>11</v>
      </c>
      <c r="K110" s="175">
        <f>J110+M110</f>
        <v>11.5</v>
      </c>
      <c r="L110" s="175">
        <f>K110+M110</f>
        <v>12</v>
      </c>
      <c r="M110" s="173">
        <v>0.5</v>
      </c>
    </row>
    <row r="111" spans="2:13" ht="14.4" x14ac:dyDescent="0.3">
      <c r="B111" s="142">
        <f>B112-B122</f>
        <v>0.87499999999999989</v>
      </c>
      <c r="C111" s="8">
        <f>B111*C116</f>
        <v>437.49999999999994</v>
      </c>
      <c r="D111" s="163">
        <f t="dataTable" ref="D111:L121" dt2D="1" dtr="1" r1="G11" r2="G5" ca="1"/>
        <v>0.15763242376291486</v>
      </c>
      <c r="E111" s="164">
        <v>0.16551129662005712</v>
      </c>
      <c r="F111" s="164">
        <v>0.17321810509165736</v>
      </c>
      <c r="G111" s="164">
        <v>0.1807584247908435</v>
      </c>
      <c r="H111" s="164">
        <v>0.18813759300707544</v>
      </c>
      <c r="I111" s="164">
        <v>0.19536072130512805</v>
      </c>
      <c r="J111" s="164">
        <v>0.20243270733318194</v>
      </c>
      <c r="K111" s="164">
        <v>0.20935824589734367</v>
      </c>
      <c r="L111" s="165">
        <v>0.21614183935522102</v>
      </c>
    </row>
    <row r="112" spans="2:13" ht="14.4" x14ac:dyDescent="0.3">
      <c r="B112" s="142">
        <f>B113-B122</f>
        <v>0.89999999999999991</v>
      </c>
      <c r="C112" s="8">
        <f>B112*C116</f>
        <v>449.99999999999994</v>
      </c>
      <c r="D112" s="166">
        <v>0.17409558597589347</v>
      </c>
      <c r="E112" s="167">
        <v>0.1816170636501285</v>
      </c>
      <c r="F112" s="167">
        <v>0.18897799027750981</v>
      </c>
      <c r="G112" s="167">
        <v>0.19618345217917479</v>
      </c>
      <c r="H112" s="167">
        <v>0.20323832307247738</v>
      </c>
      <c r="I112" s="167">
        <v>0.21014727506442568</v>
      </c>
      <c r="J112" s="167">
        <v>0.2169147889699547</v>
      </c>
      <c r="K112" s="167">
        <v>0.22354516400292176</v>
      </c>
      <c r="L112" s="168">
        <v>0.23004252688386853</v>
      </c>
    </row>
    <row r="113" spans="2:13" ht="14.4" x14ac:dyDescent="0.3">
      <c r="B113" s="142">
        <f>B114-B122</f>
        <v>0.92499999999999993</v>
      </c>
      <c r="C113" s="8">
        <f>B113*C116</f>
        <v>462.49999999999994</v>
      </c>
      <c r="D113" s="166">
        <v>0.18981632246108956</v>
      </c>
      <c r="E113" s="167">
        <v>0.19700418270076331</v>
      </c>
      <c r="F113" s="167">
        <v>0.20404200051609367</v>
      </c>
      <c r="G113" s="167">
        <v>0.21093442545201371</v>
      </c>
      <c r="H113" s="167">
        <v>0.21768591690948072</v>
      </c>
      <c r="I113" s="167">
        <v>0.22430075376707162</v>
      </c>
      <c r="J113" s="167">
        <v>0.23078304342419073</v>
      </c>
      <c r="K113" s="167">
        <v>0.23713673030604923</v>
      </c>
      <c r="L113" s="168">
        <v>0.24336560386742409</v>
      </c>
    </row>
    <row r="114" spans="2:13" ht="14.4" x14ac:dyDescent="0.3">
      <c r="B114" s="142">
        <f>B115-B122</f>
        <v>0.95</v>
      </c>
      <c r="C114" s="8">
        <f>B114*C116</f>
        <v>475</v>
      </c>
      <c r="D114" s="166">
        <v>0.20484374665087815</v>
      </c>
      <c r="E114" s="167">
        <v>0.21171970376255031</v>
      </c>
      <c r="F114" s="167">
        <v>0.21845522960616176</v>
      </c>
      <c r="G114" s="167">
        <v>0.22505458284510266</v>
      </c>
      <c r="H114" s="167">
        <v>0.23152185167058648</v>
      </c>
      <c r="I114" s="167">
        <v>0.23786096224702902</v>
      </c>
      <c r="J114" s="167">
        <v>0.24407568666028229</v>
      </c>
      <c r="K114" s="167">
        <v>0.25016965040253186</v>
      </c>
      <c r="L114" s="168">
        <v>0.25614633942506732</v>
      </c>
    </row>
    <row r="115" spans="2:13" ht="15" thickBot="1" x14ac:dyDescent="0.35">
      <c r="B115" s="142">
        <f>B116-B122</f>
        <v>0.97499999999999998</v>
      </c>
      <c r="C115" s="8">
        <f>B115*C116</f>
        <v>487.5</v>
      </c>
      <c r="D115" s="166">
        <v>0.21922273346211196</v>
      </c>
      <c r="E115" s="167">
        <v>0.22580665738401706</v>
      </c>
      <c r="F115" s="167">
        <v>0.2322589575275274</v>
      </c>
      <c r="G115" s="167">
        <v>0.2385835419018176</v>
      </c>
      <c r="H115" s="167">
        <v>0.24478416532321584</v>
      </c>
      <c r="I115" s="167">
        <v>0.25086443684875076</v>
      </c>
      <c r="J115" s="167">
        <v>0.25682782678101074</v>
      </c>
      <c r="K115" s="167">
        <v>0.2626776732728841</v>
      </c>
      <c r="L115" s="168">
        <v>0.26841718855859298</v>
      </c>
    </row>
    <row r="116" spans="2:13" ht="15" thickBot="1" x14ac:dyDescent="0.35">
      <c r="B116" s="143">
        <v>1</v>
      </c>
      <c r="C116" s="11">
        <v>500</v>
      </c>
      <c r="D116" s="166">
        <v>0.2329943668723061</v>
      </c>
      <c r="E116" s="167">
        <v>0.23930447491834128</v>
      </c>
      <c r="F116" s="167">
        <v>0.24549104528586554</v>
      </c>
      <c r="G116" s="167">
        <v>0.25155767068977752</v>
      </c>
      <c r="H116" s="167">
        <v>0.25750780587167815</v>
      </c>
      <c r="I116" s="167">
        <v>0.26334477416022994</v>
      </c>
      <c r="J116" s="167">
        <v>0.26907177366072366</v>
      </c>
      <c r="K116" s="167">
        <v>0.27469188309807385</v>
      </c>
      <c r="L116" s="168">
        <v>0.28020806733567533</v>
      </c>
    </row>
    <row r="117" spans="2:13" ht="14.4" x14ac:dyDescent="0.3">
      <c r="B117" s="142">
        <f>B116+B122</f>
        <v>1.0249999999999999</v>
      </c>
      <c r="C117" s="8">
        <f>B117*C116</f>
        <v>512.5</v>
      </c>
      <c r="D117" s="166">
        <v>0.24619633195339491</v>
      </c>
      <c r="E117" s="167">
        <v>0.25224935712409935</v>
      </c>
      <c r="F117" s="167">
        <v>0.25818628169866531</v>
      </c>
      <c r="G117" s="167">
        <v>0.26401041426373012</v>
      </c>
      <c r="H117" s="167">
        <v>0.26972493887325144</v>
      </c>
      <c r="I117" s="167">
        <v>0.27533292085303207</v>
      </c>
      <c r="J117" s="167">
        <v>0.28083731228358111</v>
      </c>
      <c r="K117" s="167">
        <v>0.28624095718191739</v>
      </c>
      <c r="L117" s="168">
        <v>0.29154659640142738</v>
      </c>
    </row>
    <row r="118" spans="2:13" ht="14.4" x14ac:dyDescent="0.3">
      <c r="B118" s="142">
        <f>B117+B122</f>
        <v>1.0499999999999998</v>
      </c>
      <c r="C118" s="8">
        <f>B118*C116</f>
        <v>524.99999999999989</v>
      </c>
      <c r="D118" s="166">
        <v>0.25886325924147796</v>
      </c>
      <c r="E118" s="167">
        <v>0.26467459837626273</v>
      </c>
      <c r="F118" s="167">
        <v>0.27037668881108934</v>
      </c>
      <c r="G118" s="167">
        <v>0.27597258254546475</v>
      </c>
      <c r="H118" s="167">
        <v>0.28146521894583071</v>
      </c>
      <c r="I118" s="167">
        <v>0.28685742989392277</v>
      </c>
      <c r="J118" s="167">
        <v>0.29215194465529587</v>
      </c>
      <c r="K118" s="167">
        <v>0.29735139448560061</v>
      </c>
      <c r="L118" s="168">
        <v>0.30245831699094627</v>
      </c>
    </row>
    <row r="119" spans="2:13" ht="14.4" x14ac:dyDescent="0.3">
      <c r="B119" s="142">
        <f>B118+B122</f>
        <v>1.0749999999999997</v>
      </c>
      <c r="C119" s="8">
        <f>B119*C116</f>
        <v>537.49999999999989</v>
      </c>
      <c r="D119" s="166">
        <v>0.27102702806917356</v>
      </c>
      <c r="E119" s="167">
        <v>0.27661087260144068</v>
      </c>
      <c r="F119" s="167">
        <v>0.28209179158731229</v>
      </c>
      <c r="G119" s="167">
        <v>0.28747260483789877</v>
      </c>
      <c r="H119" s="167">
        <v>0.29275603009209933</v>
      </c>
      <c r="I119" s="167">
        <v>0.29794468759372389</v>
      </c>
      <c r="J119" s="167">
        <v>0.30304110442450855</v>
      </c>
      <c r="K119" s="167">
        <v>0.30804771860807778</v>
      </c>
      <c r="L119" s="168">
        <v>0.31296688299885661</v>
      </c>
    </row>
    <row r="120" spans="2:13" ht="14.4" x14ac:dyDescent="0.3">
      <c r="B120" s="142">
        <f>B119+B122</f>
        <v>1.0999999999999996</v>
      </c>
      <c r="C120" s="8">
        <f>B120*C116</f>
        <v>549.99999999999977</v>
      </c>
      <c r="D120" s="166">
        <v>0.28271703445481017</v>
      </c>
      <c r="E120" s="167">
        <v>0.2880864861075324</v>
      </c>
      <c r="F120" s="167">
        <v>0.29335885665926464</v>
      </c>
      <c r="G120" s="167">
        <v>0.2985367553995229</v>
      </c>
      <c r="H120" s="167">
        <v>0.30362269894017546</v>
      </c>
      <c r="I120" s="167">
        <v>0.30861911529392305</v>
      </c>
      <c r="J120" s="167">
        <v>0.31352834773928051</v>
      </c>
      <c r="K120" s="167">
        <v>0.31835265848498373</v>
      </c>
      <c r="L120" s="168">
        <v>0.32309423214586308</v>
      </c>
    </row>
    <row r="121" spans="2:13" ht="15" thickBot="1" x14ac:dyDescent="0.35">
      <c r="B121" s="142">
        <f>B120+B122</f>
        <v>1.1249999999999996</v>
      </c>
      <c r="C121" s="8">
        <f>B121*C116</f>
        <v>562.49999999999977</v>
      </c>
      <c r="D121" s="169">
        <v>0.29396042828778363</v>
      </c>
      <c r="E121" s="170">
        <v>0.29912760169492725</v>
      </c>
      <c r="F121" s="170">
        <v>0.30420310419690932</v>
      </c>
      <c r="G121" s="170">
        <v>0.30918935384683871</v>
      </c>
      <c r="H121" s="170">
        <v>0.31408868439598764</v>
      </c>
      <c r="I121" s="170">
        <v>0.31890334893587063</v>
      </c>
      <c r="J121" s="170">
        <v>0.32363552335312412</v>
      </c>
      <c r="K121" s="170">
        <v>0.32828730960831459</v>
      </c>
      <c r="L121" s="171">
        <v>0.33286073884905865</v>
      </c>
      <c r="M121" s="12"/>
    </row>
    <row r="122" spans="2:13" ht="16.2" thickBot="1" x14ac:dyDescent="0.35">
      <c r="B122" s="174">
        <v>2.5000000000000001E-2</v>
      </c>
      <c r="C122" s="5"/>
      <c r="D122" s="5"/>
      <c r="E122" s="5"/>
      <c r="F122" s="5"/>
      <c r="G122" s="136"/>
      <c r="H122" s="5"/>
      <c r="I122" s="5"/>
      <c r="J122" s="5"/>
      <c r="K122" s="5"/>
      <c r="L122" s="6"/>
    </row>
    <row r="123" spans="2:13" x14ac:dyDescent="0.25">
      <c r="G123" s="12"/>
    </row>
  </sheetData>
  <mergeCells count="4">
    <mergeCell ref="D57:L57"/>
    <mergeCell ref="D74:L74"/>
    <mergeCell ref="D91:L91"/>
    <mergeCell ref="D108:L108"/>
  </mergeCells>
  <conditionalFormatting sqref="D60:L70">
    <cfRule type="cellIs" dxfId="3" priority="7" operator="equal">
      <formula>$K$45</formula>
    </cfRule>
    <cfRule type="colorScale" priority="8">
      <colorScale>
        <cfvo type="min"/>
        <cfvo type="max"/>
        <color rgb="FFFF0000"/>
        <color rgb="FF00B050"/>
      </colorScale>
    </cfRule>
  </conditionalFormatting>
  <conditionalFormatting sqref="D77:L87">
    <cfRule type="cellIs" dxfId="2" priority="5" operator="equal">
      <formula>$K$45</formula>
    </cfRule>
    <cfRule type="colorScale" priority="6">
      <colorScale>
        <cfvo type="min"/>
        <cfvo type="max"/>
        <color rgb="FFFF0000"/>
        <color rgb="FF00B050"/>
      </colorScale>
    </cfRule>
  </conditionalFormatting>
  <conditionalFormatting sqref="D94:L104">
    <cfRule type="cellIs" dxfId="1" priority="3" operator="equal">
      <formula>$E$47</formula>
    </cfRule>
    <cfRule type="colorScale" priority="4">
      <colorScale>
        <cfvo type="min"/>
        <cfvo type="max"/>
        <color rgb="FFFF0000"/>
        <color rgb="FF00B050"/>
      </colorScale>
    </cfRule>
  </conditionalFormatting>
  <conditionalFormatting sqref="D111:L121">
    <cfRule type="cellIs" dxfId="0" priority="1" operator="equal">
      <formula>$G$47</formula>
    </cfRule>
    <cfRule type="colorScale" priority="2">
      <colorScale>
        <cfvo type="min"/>
        <cfvo type="max"/>
        <color rgb="FFFF0000"/>
        <color rgb="FF00B05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 App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2026-01-22T17:45:39Z</dcterms:modified>
</cp:coreProperties>
</file>