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45538063e7f392/Desktop/Board Packets by Month/QB reports email to board/2026 Reports/May 2026/"/>
    </mc:Choice>
  </mc:AlternateContent>
  <xr:revisionPtr revIDLastSave="1" documentId="8_{BA878C7A-77FE-4D72-B811-DC9DB880333A}" xr6:coauthVersionLast="47" xr6:coauthVersionMax="47" xr10:uidLastSave="{537A6582-AF93-40E3-97E4-2EC3BBAB6CF5}"/>
  <bookViews>
    <workbookView xWindow="-108" yWindow="-108" windowWidth="23256" windowHeight="12456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9" i="1" l="1"/>
  <c r="AS79" i="1"/>
  <c r="AR79" i="1"/>
  <c r="AQ79" i="1"/>
  <c r="AP79" i="1"/>
  <c r="AH79" i="1"/>
  <c r="Z79" i="1"/>
  <c r="R79" i="1"/>
  <c r="J79" i="1"/>
  <c r="B79" i="1"/>
  <c r="AW78" i="1"/>
  <c r="AV78" i="1"/>
  <c r="AU78" i="1"/>
  <c r="AS78" i="1"/>
  <c r="AR78" i="1"/>
  <c r="AQ78" i="1"/>
  <c r="AM78" i="1"/>
  <c r="AO78" i="1" s="1"/>
  <c r="AL78" i="1"/>
  <c r="AK78" i="1"/>
  <c r="AJ78" i="1"/>
  <c r="AI78" i="1"/>
  <c r="AE78" i="1"/>
  <c r="AG78" i="1" s="1"/>
  <c r="AD78" i="1"/>
  <c r="AF78" i="1" s="1"/>
  <c r="AA78" i="1"/>
  <c r="W78" i="1"/>
  <c r="V78" i="1"/>
  <c r="Y78" i="1" s="1"/>
  <c r="U78" i="1"/>
  <c r="T78" i="1"/>
  <c r="S78" i="1"/>
  <c r="Q78" i="1"/>
  <c r="P78" i="1"/>
  <c r="O78" i="1"/>
  <c r="N78" i="1"/>
  <c r="L78" i="1"/>
  <c r="K78" i="1"/>
  <c r="M78" i="1" s="1"/>
  <c r="J78" i="1"/>
  <c r="I78" i="1"/>
  <c r="H78" i="1"/>
  <c r="G78" i="1"/>
  <c r="F78" i="1"/>
  <c r="C78" i="1"/>
  <c r="B78" i="1"/>
  <c r="AX78" i="1" s="1"/>
  <c r="AV77" i="1"/>
  <c r="AU77" i="1"/>
  <c r="AS77" i="1"/>
  <c r="AR77" i="1"/>
  <c r="AQ77" i="1"/>
  <c r="AM77" i="1"/>
  <c r="AL77" i="1"/>
  <c r="AK77" i="1"/>
  <c r="AI77" i="1"/>
  <c r="AH77" i="1"/>
  <c r="AE77" i="1"/>
  <c r="AD77" i="1"/>
  <c r="AA77" i="1"/>
  <c r="Z77" i="1"/>
  <c r="W77" i="1"/>
  <c r="Y77" i="1" s="1"/>
  <c r="V77" i="1"/>
  <c r="S77" i="1"/>
  <c r="R77" i="1"/>
  <c r="O77" i="1"/>
  <c r="N77" i="1"/>
  <c r="M77" i="1"/>
  <c r="K77" i="1"/>
  <c r="J77" i="1"/>
  <c r="G77" i="1"/>
  <c r="F77" i="1"/>
  <c r="E77" i="1"/>
  <c r="C77" i="1"/>
  <c r="B77" i="1"/>
  <c r="AW75" i="1"/>
  <c r="AU75" i="1"/>
  <c r="AT75" i="1"/>
  <c r="AT80" i="1" s="1"/>
  <c r="AP75" i="1"/>
  <c r="AO75" i="1"/>
  <c r="AM75" i="1"/>
  <c r="AL75" i="1"/>
  <c r="AH75" i="1"/>
  <c r="AG75" i="1"/>
  <c r="AE75" i="1"/>
  <c r="AD75" i="1"/>
  <c r="Z75" i="1"/>
  <c r="Y75" i="1"/>
  <c r="W75" i="1"/>
  <c r="V75" i="1"/>
  <c r="R75" i="1"/>
  <c r="Q75" i="1"/>
  <c r="O75" i="1"/>
  <c r="N75" i="1"/>
  <c r="J75" i="1"/>
  <c r="I75" i="1"/>
  <c r="G75" i="1"/>
  <c r="F75" i="1"/>
  <c r="B75" i="1"/>
  <c r="AU74" i="1"/>
  <c r="AW74" i="1" s="1"/>
  <c r="AS74" i="1"/>
  <c r="AR74" i="1"/>
  <c r="AQ74" i="1"/>
  <c r="AQ75" i="1" s="1"/>
  <c r="AO74" i="1"/>
  <c r="AN74" i="1"/>
  <c r="AM74" i="1"/>
  <c r="AL74" i="1"/>
  <c r="AI74" i="1"/>
  <c r="AH74" i="1"/>
  <c r="AG74" i="1"/>
  <c r="AF74" i="1"/>
  <c r="AE74" i="1"/>
  <c r="AD74" i="1"/>
  <c r="AB74" i="1"/>
  <c r="AA74" i="1"/>
  <c r="Z74" i="1"/>
  <c r="Y74" i="1"/>
  <c r="X74" i="1"/>
  <c r="W74" i="1"/>
  <c r="V74" i="1"/>
  <c r="T74" i="1"/>
  <c r="S74" i="1"/>
  <c r="R74" i="1"/>
  <c r="Q74" i="1"/>
  <c r="P74" i="1"/>
  <c r="O74" i="1"/>
  <c r="N74" i="1"/>
  <c r="L74" i="1"/>
  <c r="K74" i="1"/>
  <c r="J74" i="1"/>
  <c r="I74" i="1"/>
  <c r="H74" i="1"/>
  <c r="G74" i="1"/>
  <c r="F74" i="1"/>
  <c r="C74" i="1"/>
  <c r="B74" i="1"/>
  <c r="AX74" i="1" s="1"/>
  <c r="AT70" i="1"/>
  <c r="AM70" i="1"/>
  <c r="AE70" i="1"/>
  <c r="W70" i="1"/>
  <c r="O70" i="1"/>
  <c r="G70" i="1"/>
  <c r="AW69" i="1"/>
  <c r="AV69" i="1"/>
  <c r="AU69" i="1"/>
  <c r="AQ69" i="1"/>
  <c r="AS69" i="1" s="1"/>
  <c r="AP69" i="1"/>
  <c r="AO69" i="1"/>
  <c r="AN69" i="1"/>
  <c r="AM69" i="1"/>
  <c r="AL69" i="1"/>
  <c r="AI69" i="1"/>
  <c r="AK69" i="1" s="1"/>
  <c r="AH69" i="1"/>
  <c r="AG69" i="1"/>
  <c r="AF69" i="1"/>
  <c r="AE69" i="1"/>
  <c r="AD69" i="1"/>
  <c r="AA69" i="1"/>
  <c r="Z69" i="1"/>
  <c r="AB69" i="1" s="1"/>
  <c r="Y69" i="1"/>
  <c r="X69" i="1"/>
  <c r="W69" i="1"/>
  <c r="V69" i="1"/>
  <c r="S69" i="1"/>
  <c r="R69" i="1"/>
  <c r="T69" i="1" s="1"/>
  <c r="Q69" i="1"/>
  <c r="P69" i="1"/>
  <c r="O69" i="1"/>
  <c r="N69" i="1"/>
  <c r="K69" i="1"/>
  <c r="M69" i="1" s="1"/>
  <c r="J69" i="1"/>
  <c r="I69" i="1"/>
  <c r="H69" i="1"/>
  <c r="G69" i="1"/>
  <c r="F69" i="1"/>
  <c r="C69" i="1"/>
  <c r="B69" i="1"/>
  <c r="AU68" i="1"/>
  <c r="AQ68" i="1"/>
  <c r="AP68" i="1"/>
  <c r="AP70" i="1" s="1"/>
  <c r="AM68" i="1"/>
  <c r="AO68" i="1" s="1"/>
  <c r="AL68" i="1"/>
  <c r="AK68" i="1"/>
  <c r="AI68" i="1"/>
  <c r="AH68" i="1"/>
  <c r="AE68" i="1"/>
  <c r="AD68" i="1"/>
  <c r="AA68" i="1"/>
  <c r="Z68" i="1"/>
  <c r="W68" i="1"/>
  <c r="Y68" i="1" s="1"/>
  <c r="V68" i="1"/>
  <c r="U68" i="1"/>
  <c r="S68" i="1"/>
  <c r="R68" i="1"/>
  <c r="R70" i="1" s="1"/>
  <c r="O68" i="1"/>
  <c r="N68" i="1"/>
  <c r="M68" i="1"/>
  <c r="K68" i="1"/>
  <c r="J68" i="1"/>
  <c r="J70" i="1" s="1"/>
  <c r="G68" i="1"/>
  <c r="I68" i="1" s="1"/>
  <c r="F68" i="1"/>
  <c r="E68" i="1"/>
  <c r="C68" i="1"/>
  <c r="B68" i="1"/>
  <c r="AX68" i="1" s="1"/>
  <c r="AY67" i="1"/>
  <c r="BA67" i="1" s="1"/>
  <c r="AX67" i="1"/>
  <c r="AZ67" i="1" s="1"/>
  <c r="AW67" i="1"/>
  <c r="AV67" i="1"/>
  <c r="AS67" i="1"/>
  <c r="AR67" i="1"/>
  <c r="AO67" i="1"/>
  <c r="AN67" i="1"/>
  <c r="AK67" i="1"/>
  <c r="AJ67" i="1"/>
  <c r="AG67" i="1"/>
  <c r="AF67" i="1"/>
  <c r="AC67" i="1"/>
  <c r="AB67" i="1"/>
  <c r="Y67" i="1"/>
  <c r="X67" i="1"/>
  <c r="U67" i="1"/>
  <c r="T67" i="1"/>
  <c r="Q67" i="1"/>
  <c r="P67" i="1"/>
  <c r="M67" i="1"/>
  <c r="L67" i="1"/>
  <c r="I67" i="1"/>
  <c r="H67" i="1"/>
  <c r="E67" i="1"/>
  <c r="D67" i="1"/>
  <c r="AU66" i="1"/>
  <c r="AW66" i="1" s="1"/>
  <c r="AS66" i="1"/>
  <c r="AR66" i="1"/>
  <c r="AQ66" i="1"/>
  <c r="AO66" i="1"/>
  <c r="AM66" i="1"/>
  <c r="AN66" i="1" s="1"/>
  <c r="AL66" i="1"/>
  <c r="AI66" i="1"/>
  <c r="AK66" i="1" s="1"/>
  <c r="AH66" i="1"/>
  <c r="AG66" i="1"/>
  <c r="AE66" i="1"/>
  <c r="AF66" i="1" s="1"/>
  <c r="AD66" i="1"/>
  <c r="AB66" i="1"/>
  <c r="AA66" i="1"/>
  <c r="AC66" i="1" s="1"/>
  <c r="Z66" i="1"/>
  <c r="Y66" i="1"/>
  <c r="W66" i="1"/>
  <c r="X66" i="1" s="1"/>
  <c r="V66" i="1"/>
  <c r="S66" i="1"/>
  <c r="P66" i="1"/>
  <c r="O66" i="1"/>
  <c r="N66" i="1"/>
  <c r="Q66" i="1" s="1"/>
  <c r="K66" i="1"/>
  <c r="J66" i="1"/>
  <c r="L66" i="1" s="1"/>
  <c r="H66" i="1"/>
  <c r="G66" i="1"/>
  <c r="F66" i="1"/>
  <c r="I66" i="1" s="1"/>
  <c r="C66" i="1"/>
  <c r="E66" i="1" s="1"/>
  <c r="B66" i="1"/>
  <c r="AU65" i="1"/>
  <c r="AS65" i="1"/>
  <c r="AQ65" i="1"/>
  <c r="AR65" i="1" s="1"/>
  <c r="AM65" i="1"/>
  <c r="AL65" i="1"/>
  <c r="AO65" i="1" s="1"/>
  <c r="AK65" i="1"/>
  <c r="AJ65" i="1"/>
  <c r="AI65" i="1"/>
  <c r="AH65" i="1"/>
  <c r="AE65" i="1"/>
  <c r="AD65" i="1"/>
  <c r="AG65" i="1" s="1"/>
  <c r="AC65" i="1"/>
  <c r="AB65" i="1"/>
  <c r="AA65" i="1"/>
  <c r="Y65" i="1"/>
  <c r="W65" i="1"/>
  <c r="X65" i="1" s="1"/>
  <c r="V65" i="1"/>
  <c r="T65" i="1"/>
  <c r="S65" i="1"/>
  <c r="U65" i="1" s="1"/>
  <c r="R65" i="1"/>
  <c r="Q65" i="1"/>
  <c r="O65" i="1"/>
  <c r="P65" i="1" s="1"/>
  <c r="N65" i="1"/>
  <c r="K65" i="1"/>
  <c r="M65" i="1" s="1"/>
  <c r="J65" i="1"/>
  <c r="I65" i="1"/>
  <c r="G65" i="1"/>
  <c r="H65" i="1" s="1"/>
  <c r="F65" i="1"/>
  <c r="D65" i="1"/>
  <c r="C65" i="1"/>
  <c r="B65" i="1"/>
  <c r="AX64" i="1"/>
  <c r="AU64" i="1"/>
  <c r="AS64" i="1"/>
  <c r="AR64" i="1"/>
  <c r="AQ64" i="1"/>
  <c r="AM64" i="1"/>
  <c r="AO64" i="1" s="1"/>
  <c r="AK64" i="1"/>
  <c r="AJ64" i="1"/>
  <c r="AI64" i="1"/>
  <c r="AG64" i="1"/>
  <c r="AE64" i="1"/>
  <c r="AF64" i="1" s="1"/>
  <c r="AA64" i="1"/>
  <c r="Y64" i="1"/>
  <c r="W64" i="1"/>
  <c r="X64" i="1" s="1"/>
  <c r="U64" i="1"/>
  <c r="T64" i="1"/>
  <c r="S64" i="1"/>
  <c r="P64" i="1"/>
  <c r="O64" i="1"/>
  <c r="Q64" i="1" s="1"/>
  <c r="M64" i="1"/>
  <c r="L64" i="1"/>
  <c r="K64" i="1"/>
  <c r="G64" i="1"/>
  <c r="E64" i="1"/>
  <c r="D64" i="1"/>
  <c r="C64" i="1"/>
  <c r="AV63" i="1"/>
  <c r="AU63" i="1"/>
  <c r="AW63" i="1" s="1"/>
  <c r="AS63" i="1"/>
  <c r="AR63" i="1"/>
  <c r="AQ63" i="1"/>
  <c r="AM63" i="1"/>
  <c r="AO63" i="1" s="1"/>
  <c r="AK63" i="1"/>
  <c r="AJ63" i="1"/>
  <c r="AI63" i="1"/>
  <c r="AG63" i="1"/>
  <c r="AE63" i="1"/>
  <c r="AF63" i="1" s="1"/>
  <c r="AA63" i="1"/>
  <c r="Y63" i="1"/>
  <c r="W63" i="1"/>
  <c r="X63" i="1" s="1"/>
  <c r="V63" i="1"/>
  <c r="S63" i="1"/>
  <c r="U63" i="1" s="1"/>
  <c r="R63" i="1"/>
  <c r="Q63" i="1"/>
  <c r="O63" i="1"/>
  <c r="P63" i="1" s="1"/>
  <c r="M63" i="1"/>
  <c r="L63" i="1"/>
  <c r="K63" i="1"/>
  <c r="H63" i="1"/>
  <c r="G63" i="1"/>
  <c r="E63" i="1"/>
  <c r="D63" i="1"/>
  <c r="C63" i="1"/>
  <c r="AW62" i="1"/>
  <c r="AU62" i="1"/>
  <c r="AV62" i="1" s="1"/>
  <c r="AS62" i="1"/>
  <c r="AR62" i="1"/>
  <c r="AQ62" i="1"/>
  <c r="AN62" i="1"/>
  <c r="AM62" i="1"/>
  <c r="AO62" i="1" s="1"/>
  <c r="AK62" i="1"/>
  <c r="AJ62" i="1"/>
  <c r="AI62" i="1"/>
  <c r="AE62" i="1"/>
  <c r="AG62" i="1" s="1"/>
  <c r="AD62" i="1"/>
  <c r="AF62" i="1" s="1"/>
  <c r="AC62" i="1"/>
  <c r="AA62" i="1"/>
  <c r="W62" i="1"/>
  <c r="V62" i="1"/>
  <c r="Y62" i="1" s="1"/>
  <c r="U62" i="1"/>
  <c r="S62" i="1"/>
  <c r="R62" i="1"/>
  <c r="T62" i="1" s="1"/>
  <c r="O62" i="1"/>
  <c r="N62" i="1"/>
  <c r="Q62" i="1" s="1"/>
  <c r="L62" i="1"/>
  <c r="K62" i="1"/>
  <c r="J62" i="1"/>
  <c r="M62" i="1" s="1"/>
  <c r="G62" i="1"/>
  <c r="F62" i="1"/>
  <c r="I62" i="1" s="1"/>
  <c r="E62" i="1"/>
  <c r="D62" i="1"/>
  <c r="C62" i="1"/>
  <c r="B62" i="1"/>
  <c r="AX62" i="1" s="1"/>
  <c r="BA61" i="1"/>
  <c r="AY61" i="1"/>
  <c r="AW61" i="1"/>
  <c r="AV61" i="1"/>
  <c r="AS61" i="1"/>
  <c r="AR61" i="1"/>
  <c r="AO61" i="1"/>
  <c r="AN61" i="1"/>
  <c r="AK61" i="1"/>
  <c r="AJ61" i="1"/>
  <c r="AG61" i="1"/>
  <c r="AF61" i="1"/>
  <c r="AC61" i="1"/>
  <c r="AB61" i="1"/>
  <c r="Y61" i="1"/>
  <c r="V61" i="1"/>
  <c r="X61" i="1" s="1"/>
  <c r="U61" i="1"/>
  <c r="R61" i="1"/>
  <c r="T61" i="1" s="1"/>
  <c r="Q61" i="1"/>
  <c r="P61" i="1"/>
  <c r="M61" i="1"/>
  <c r="J61" i="1"/>
  <c r="L61" i="1" s="1"/>
  <c r="I61" i="1"/>
  <c r="H61" i="1"/>
  <c r="F61" i="1"/>
  <c r="E61" i="1"/>
  <c r="D61" i="1"/>
  <c r="B61" i="1"/>
  <c r="AU60" i="1"/>
  <c r="AW60" i="1" s="1"/>
  <c r="AT60" i="1"/>
  <c r="AP60" i="1"/>
  <c r="AP71" i="1" s="1"/>
  <c r="AL60" i="1"/>
  <c r="AH60" i="1"/>
  <c r="AE60" i="1"/>
  <c r="AG60" i="1" s="1"/>
  <c r="AD60" i="1"/>
  <c r="AB60" i="1"/>
  <c r="Z60" i="1"/>
  <c r="R60" i="1"/>
  <c r="N60" i="1"/>
  <c r="J60" i="1"/>
  <c r="B60" i="1"/>
  <c r="AW59" i="1"/>
  <c r="AV59" i="1"/>
  <c r="AU59" i="1"/>
  <c r="AS59" i="1"/>
  <c r="AR59" i="1"/>
  <c r="AQ59" i="1"/>
  <c r="AO59" i="1"/>
  <c r="AN59" i="1"/>
  <c r="AM59" i="1"/>
  <c r="AI59" i="1"/>
  <c r="AH59" i="1"/>
  <c r="AF59" i="1"/>
  <c r="AE59" i="1"/>
  <c r="AG59" i="1" s="1"/>
  <c r="AC59" i="1"/>
  <c r="AB59" i="1"/>
  <c r="AA59" i="1"/>
  <c r="W59" i="1"/>
  <c r="V59" i="1"/>
  <c r="Y59" i="1" s="1"/>
  <c r="U59" i="1"/>
  <c r="T59" i="1"/>
  <c r="S59" i="1"/>
  <c r="O59" i="1"/>
  <c r="K59" i="1"/>
  <c r="J59" i="1"/>
  <c r="I59" i="1"/>
  <c r="H59" i="1"/>
  <c r="G59" i="1"/>
  <c r="C59" i="1"/>
  <c r="AW58" i="1"/>
  <c r="AV58" i="1"/>
  <c r="AU58" i="1"/>
  <c r="AQ58" i="1"/>
  <c r="AO58" i="1"/>
  <c r="AN58" i="1"/>
  <c r="AM58" i="1"/>
  <c r="AM60" i="1" s="1"/>
  <c r="AO60" i="1" s="1"/>
  <c r="AK58" i="1"/>
  <c r="AI58" i="1"/>
  <c r="AG58" i="1"/>
  <c r="AE58" i="1"/>
  <c r="AF58" i="1" s="1"/>
  <c r="AC58" i="1"/>
  <c r="AB58" i="1"/>
  <c r="AA58" i="1"/>
  <c r="AA60" i="1" s="1"/>
  <c r="AC60" i="1" s="1"/>
  <c r="X58" i="1"/>
  <c r="W58" i="1"/>
  <c r="Y58" i="1" s="1"/>
  <c r="S58" i="1"/>
  <c r="Q58" i="1"/>
  <c r="P58" i="1"/>
  <c r="O58" i="1"/>
  <c r="K58" i="1"/>
  <c r="H58" i="1"/>
  <c r="G58" i="1"/>
  <c r="F58" i="1"/>
  <c r="AX58" i="1" s="1"/>
  <c r="D58" i="1"/>
  <c r="C58" i="1"/>
  <c r="E58" i="1" s="1"/>
  <c r="AW57" i="1"/>
  <c r="AU57" i="1"/>
  <c r="AV57" i="1" s="1"/>
  <c r="AS57" i="1"/>
  <c r="AR57" i="1"/>
  <c r="AQ57" i="1"/>
  <c r="AM57" i="1"/>
  <c r="AN57" i="1" s="1"/>
  <c r="AL57" i="1"/>
  <c r="AK57" i="1"/>
  <c r="AJ57" i="1"/>
  <c r="AI57" i="1"/>
  <c r="AE57" i="1"/>
  <c r="AD57" i="1"/>
  <c r="AG57" i="1" s="1"/>
  <c r="AB57" i="1"/>
  <c r="AA57" i="1"/>
  <c r="AC57" i="1" s="1"/>
  <c r="Z57" i="1"/>
  <c r="W57" i="1"/>
  <c r="V57" i="1"/>
  <c r="S57" i="1"/>
  <c r="Q57" i="1"/>
  <c r="P57" i="1"/>
  <c r="O57" i="1"/>
  <c r="N57" i="1"/>
  <c r="M57" i="1"/>
  <c r="K57" i="1"/>
  <c r="J57" i="1"/>
  <c r="L57" i="1" s="1"/>
  <c r="I57" i="1"/>
  <c r="H57" i="1"/>
  <c r="G57" i="1"/>
  <c r="F57" i="1"/>
  <c r="C57" i="1"/>
  <c r="B57" i="1"/>
  <c r="E57" i="1" s="1"/>
  <c r="AW56" i="1"/>
  <c r="AV56" i="1"/>
  <c r="AU56" i="1"/>
  <c r="AS56" i="1"/>
  <c r="AR56" i="1"/>
  <c r="AQ56" i="1"/>
  <c r="AM56" i="1"/>
  <c r="AL56" i="1"/>
  <c r="AJ56" i="1"/>
  <c r="AI56" i="1"/>
  <c r="AK56" i="1" s="1"/>
  <c r="AG56" i="1"/>
  <c r="AF56" i="1"/>
  <c r="AE56" i="1"/>
  <c r="AD56" i="1"/>
  <c r="AA56" i="1"/>
  <c r="AB56" i="1" s="1"/>
  <c r="Y56" i="1"/>
  <c r="X56" i="1"/>
  <c r="W56" i="1"/>
  <c r="V56" i="1"/>
  <c r="U56" i="1"/>
  <c r="T56" i="1"/>
  <c r="S56" i="1"/>
  <c r="Q56" i="1"/>
  <c r="P56" i="1"/>
  <c r="O56" i="1"/>
  <c r="N56" i="1"/>
  <c r="K56" i="1"/>
  <c r="G56" i="1"/>
  <c r="F56" i="1"/>
  <c r="E56" i="1"/>
  <c r="C56" i="1"/>
  <c r="D56" i="1" s="1"/>
  <c r="AW55" i="1"/>
  <c r="AV55" i="1"/>
  <c r="AU55" i="1"/>
  <c r="AS55" i="1"/>
  <c r="AR55" i="1"/>
  <c r="AQ55" i="1"/>
  <c r="AO55" i="1"/>
  <c r="AN55" i="1"/>
  <c r="AM55" i="1"/>
  <c r="AL55" i="1"/>
  <c r="AI55" i="1"/>
  <c r="AE55" i="1"/>
  <c r="AD55" i="1"/>
  <c r="AC55" i="1"/>
  <c r="AA55" i="1"/>
  <c r="AB55" i="1" s="1"/>
  <c r="W55" i="1"/>
  <c r="V55" i="1"/>
  <c r="U55" i="1"/>
  <c r="T55" i="1"/>
  <c r="S55" i="1"/>
  <c r="R55" i="1"/>
  <c r="O55" i="1"/>
  <c r="N55" i="1"/>
  <c r="M55" i="1"/>
  <c r="L55" i="1"/>
  <c r="K55" i="1"/>
  <c r="J55" i="1"/>
  <c r="I55" i="1"/>
  <c r="G55" i="1"/>
  <c r="F55" i="1"/>
  <c r="E55" i="1"/>
  <c r="D55" i="1"/>
  <c r="C55" i="1"/>
  <c r="AX54" i="1"/>
  <c r="AW54" i="1"/>
  <c r="AV54" i="1"/>
  <c r="AU54" i="1"/>
  <c r="AQ54" i="1"/>
  <c r="AM54" i="1"/>
  <c r="AO54" i="1" s="1"/>
  <c r="AK54" i="1"/>
  <c r="AJ54" i="1"/>
  <c r="AI54" i="1"/>
  <c r="AG54" i="1"/>
  <c r="AF54" i="1"/>
  <c r="AE54" i="1"/>
  <c r="AA54" i="1"/>
  <c r="Y54" i="1"/>
  <c r="W54" i="1"/>
  <c r="X54" i="1" s="1"/>
  <c r="U54" i="1"/>
  <c r="S54" i="1"/>
  <c r="T54" i="1" s="1"/>
  <c r="Q54" i="1"/>
  <c r="P54" i="1"/>
  <c r="O54" i="1"/>
  <c r="K54" i="1"/>
  <c r="G54" i="1"/>
  <c r="I54" i="1" s="1"/>
  <c r="E54" i="1"/>
  <c r="D54" i="1"/>
  <c r="C54" i="1"/>
  <c r="AW53" i="1"/>
  <c r="AV53" i="1"/>
  <c r="AU53" i="1"/>
  <c r="AQ53" i="1"/>
  <c r="AM53" i="1"/>
  <c r="AK53" i="1"/>
  <c r="AJ53" i="1"/>
  <c r="AI53" i="1"/>
  <c r="AF53" i="1"/>
  <c r="AE53" i="1"/>
  <c r="AD53" i="1"/>
  <c r="AG53" i="1" s="1"/>
  <c r="AC53" i="1"/>
  <c r="AB53" i="1"/>
  <c r="AA53" i="1"/>
  <c r="W53" i="1"/>
  <c r="T53" i="1"/>
  <c r="S53" i="1"/>
  <c r="R53" i="1"/>
  <c r="O53" i="1"/>
  <c r="N53" i="1"/>
  <c r="L53" i="1"/>
  <c r="K53" i="1"/>
  <c r="J53" i="1"/>
  <c r="G53" i="1"/>
  <c r="F53" i="1"/>
  <c r="D53" i="1"/>
  <c r="C53" i="1"/>
  <c r="B53" i="1"/>
  <c r="AU52" i="1"/>
  <c r="AW52" i="1" s="1"/>
  <c r="AS52" i="1"/>
  <c r="AR52" i="1"/>
  <c r="AQ52" i="1"/>
  <c r="AM52" i="1"/>
  <c r="AL52" i="1"/>
  <c r="AK52" i="1"/>
  <c r="AJ52" i="1"/>
  <c r="AI52" i="1"/>
  <c r="AE52" i="1"/>
  <c r="AB52" i="1"/>
  <c r="AA52" i="1"/>
  <c r="AC52" i="1" s="1"/>
  <c r="Y52" i="1"/>
  <c r="X52" i="1"/>
  <c r="W52" i="1"/>
  <c r="U52" i="1"/>
  <c r="T52" i="1"/>
  <c r="S52" i="1"/>
  <c r="Q52" i="1"/>
  <c r="P52" i="1"/>
  <c r="O52" i="1"/>
  <c r="M52" i="1"/>
  <c r="K52" i="1"/>
  <c r="L52" i="1" s="1"/>
  <c r="G52" i="1"/>
  <c r="E52" i="1"/>
  <c r="D52" i="1"/>
  <c r="C52" i="1"/>
  <c r="AX51" i="1"/>
  <c r="AU51" i="1"/>
  <c r="AS51" i="1"/>
  <c r="AQ51" i="1"/>
  <c r="AR51" i="1" s="1"/>
  <c r="AO51" i="1"/>
  <c r="AM51" i="1"/>
  <c r="AN51" i="1" s="1"/>
  <c r="AK51" i="1"/>
  <c r="AJ51" i="1"/>
  <c r="AI51" i="1"/>
  <c r="AE51" i="1"/>
  <c r="AA51" i="1"/>
  <c r="AC51" i="1" s="1"/>
  <c r="Y51" i="1"/>
  <c r="X51" i="1"/>
  <c r="W51" i="1"/>
  <c r="U51" i="1"/>
  <c r="T51" i="1"/>
  <c r="S51" i="1"/>
  <c r="Q51" i="1"/>
  <c r="P51" i="1"/>
  <c r="O51" i="1"/>
  <c r="M51" i="1"/>
  <c r="K51" i="1"/>
  <c r="L51" i="1" s="1"/>
  <c r="G51" i="1"/>
  <c r="H51" i="1" s="1"/>
  <c r="E51" i="1"/>
  <c r="D51" i="1"/>
  <c r="C51" i="1"/>
  <c r="AY50" i="1"/>
  <c r="BA50" i="1" s="1"/>
  <c r="AW50" i="1"/>
  <c r="AV50" i="1"/>
  <c r="AS50" i="1"/>
  <c r="AR50" i="1"/>
  <c r="AO50" i="1"/>
  <c r="AN50" i="1"/>
  <c r="AK50" i="1"/>
  <c r="AH50" i="1"/>
  <c r="AG50" i="1"/>
  <c r="AF50" i="1"/>
  <c r="AC50" i="1"/>
  <c r="AB50" i="1"/>
  <c r="Y50" i="1"/>
  <c r="X50" i="1"/>
  <c r="U50" i="1"/>
  <c r="T50" i="1"/>
  <c r="Q50" i="1"/>
  <c r="P50" i="1"/>
  <c r="M50" i="1"/>
  <c r="L50" i="1"/>
  <c r="I50" i="1"/>
  <c r="H50" i="1"/>
  <c r="E50" i="1"/>
  <c r="D50" i="1"/>
  <c r="AV49" i="1"/>
  <c r="AU49" i="1"/>
  <c r="AW49" i="1" s="1"/>
  <c r="AS49" i="1"/>
  <c r="AQ49" i="1"/>
  <c r="AR49" i="1" s="1"/>
  <c r="AM49" i="1"/>
  <c r="AL49" i="1"/>
  <c r="AJ49" i="1"/>
  <c r="AI49" i="1"/>
  <c r="AK49" i="1" s="1"/>
  <c r="AG49" i="1"/>
  <c r="AF49" i="1"/>
  <c r="AE49" i="1"/>
  <c r="AD49" i="1"/>
  <c r="AA49" i="1"/>
  <c r="Z49" i="1"/>
  <c r="Y49" i="1"/>
  <c r="X49" i="1"/>
  <c r="W49" i="1"/>
  <c r="V49" i="1"/>
  <c r="U49" i="1"/>
  <c r="S49" i="1"/>
  <c r="T49" i="1" s="1"/>
  <c r="Q49" i="1"/>
  <c r="P49" i="1"/>
  <c r="O49" i="1"/>
  <c r="N49" i="1"/>
  <c r="L49" i="1"/>
  <c r="K49" i="1"/>
  <c r="M49" i="1" s="1"/>
  <c r="I49" i="1"/>
  <c r="H49" i="1"/>
  <c r="G49" i="1"/>
  <c r="F49" i="1"/>
  <c r="AX49" i="1" s="1"/>
  <c r="C49" i="1"/>
  <c r="AY48" i="1"/>
  <c r="BA48" i="1" s="1"/>
  <c r="AX48" i="1"/>
  <c r="AW48" i="1"/>
  <c r="AU48" i="1"/>
  <c r="AV48" i="1" s="1"/>
  <c r="AQ48" i="1"/>
  <c r="AO48" i="1"/>
  <c r="AN48" i="1"/>
  <c r="AM48" i="1"/>
  <c r="AI48" i="1"/>
  <c r="AF48" i="1"/>
  <c r="AE48" i="1"/>
  <c r="AG48" i="1" s="1"/>
  <c r="AC48" i="1"/>
  <c r="AB48" i="1"/>
  <c r="AA48" i="1"/>
  <c r="X48" i="1"/>
  <c r="W48" i="1"/>
  <c r="Y48" i="1" s="1"/>
  <c r="U48" i="1"/>
  <c r="T48" i="1"/>
  <c r="S48" i="1"/>
  <c r="Q48" i="1"/>
  <c r="O48" i="1"/>
  <c r="P48" i="1" s="1"/>
  <c r="K48" i="1"/>
  <c r="L48" i="1" s="1"/>
  <c r="I48" i="1"/>
  <c r="H48" i="1"/>
  <c r="G48" i="1"/>
  <c r="C48" i="1"/>
  <c r="AW47" i="1"/>
  <c r="AU47" i="1"/>
  <c r="AV47" i="1" s="1"/>
  <c r="AQ47" i="1"/>
  <c r="AO47" i="1"/>
  <c r="AN47" i="1"/>
  <c r="AM47" i="1"/>
  <c r="AL47" i="1"/>
  <c r="AI47" i="1"/>
  <c r="AK47" i="1" s="1"/>
  <c r="AH47" i="1"/>
  <c r="AJ47" i="1" s="1"/>
  <c r="AG47" i="1"/>
  <c r="AF47" i="1"/>
  <c r="AE47" i="1"/>
  <c r="AD47" i="1"/>
  <c r="AB47" i="1"/>
  <c r="AA47" i="1"/>
  <c r="AC47" i="1" s="1"/>
  <c r="W47" i="1"/>
  <c r="X47" i="1" s="1"/>
  <c r="V47" i="1"/>
  <c r="S47" i="1"/>
  <c r="P47" i="1"/>
  <c r="O47" i="1"/>
  <c r="N47" i="1"/>
  <c r="K47" i="1"/>
  <c r="J47" i="1"/>
  <c r="H47" i="1"/>
  <c r="G47" i="1"/>
  <c r="I47" i="1" s="1"/>
  <c r="F47" i="1"/>
  <c r="C47" i="1"/>
  <c r="B47" i="1"/>
  <c r="AX46" i="1"/>
  <c r="AW46" i="1"/>
  <c r="AU46" i="1"/>
  <c r="AQ46" i="1"/>
  <c r="AO46" i="1"/>
  <c r="AN46" i="1"/>
  <c r="AM46" i="1"/>
  <c r="AL46" i="1"/>
  <c r="AJ46" i="1"/>
  <c r="AI46" i="1"/>
  <c r="AH46" i="1"/>
  <c r="AG46" i="1"/>
  <c r="AE46" i="1"/>
  <c r="AD46" i="1"/>
  <c r="AB46" i="1"/>
  <c r="AA46" i="1"/>
  <c r="Z46" i="1"/>
  <c r="X46" i="1"/>
  <c r="W46" i="1"/>
  <c r="V46" i="1"/>
  <c r="U46" i="1"/>
  <c r="T46" i="1"/>
  <c r="S46" i="1"/>
  <c r="O46" i="1"/>
  <c r="N46" i="1"/>
  <c r="K46" i="1"/>
  <c r="J46" i="1"/>
  <c r="I46" i="1"/>
  <c r="H46" i="1"/>
  <c r="G46" i="1"/>
  <c r="F46" i="1"/>
  <c r="C46" i="1"/>
  <c r="B46" i="1"/>
  <c r="AY42" i="1"/>
  <c r="BA42" i="1" s="1"/>
  <c r="AW42" i="1"/>
  <c r="AV42" i="1"/>
  <c r="AS42" i="1"/>
  <c r="AR42" i="1"/>
  <c r="AO42" i="1"/>
  <c r="AN42" i="1"/>
  <c r="AK42" i="1"/>
  <c r="AJ42" i="1"/>
  <c r="AG42" i="1"/>
  <c r="AF42" i="1"/>
  <c r="AC42" i="1"/>
  <c r="AB42" i="1"/>
  <c r="Y42" i="1"/>
  <c r="X42" i="1"/>
  <c r="U42" i="1"/>
  <c r="T42" i="1"/>
  <c r="Q42" i="1"/>
  <c r="P42" i="1"/>
  <c r="M42" i="1"/>
  <c r="L42" i="1"/>
  <c r="J42" i="1"/>
  <c r="AX42" i="1" s="1"/>
  <c r="I42" i="1"/>
  <c r="H42" i="1"/>
  <c r="E42" i="1"/>
  <c r="D42" i="1"/>
  <c r="AY41" i="1"/>
  <c r="BA41" i="1" s="1"/>
  <c r="AW41" i="1"/>
  <c r="AV41" i="1"/>
  <c r="AS41" i="1"/>
  <c r="AR41" i="1"/>
  <c r="AO41" i="1"/>
  <c r="AN41" i="1"/>
  <c r="AL41" i="1"/>
  <c r="AK41" i="1"/>
  <c r="AH41" i="1"/>
  <c r="AJ41" i="1" s="1"/>
  <c r="AG41" i="1"/>
  <c r="AD41" i="1"/>
  <c r="AF41" i="1" s="1"/>
  <c r="AC41" i="1"/>
  <c r="AB41" i="1"/>
  <c r="Z41" i="1"/>
  <c r="Y41" i="1"/>
  <c r="X41" i="1"/>
  <c r="V41" i="1"/>
  <c r="U41" i="1"/>
  <c r="T41" i="1"/>
  <c r="R41" i="1"/>
  <c r="Q41" i="1"/>
  <c r="P41" i="1"/>
  <c r="N41" i="1"/>
  <c r="M41" i="1"/>
  <c r="L41" i="1"/>
  <c r="I41" i="1"/>
  <c r="H41" i="1"/>
  <c r="E41" i="1"/>
  <c r="D41" i="1"/>
  <c r="AY40" i="1"/>
  <c r="BA40" i="1" s="1"/>
  <c r="AW40" i="1"/>
  <c r="AV40" i="1"/>
  <c r="AS40" i="1"/>
  <c r="AR40" i="1"/>
  <c r="AO40" i="1"/>
  <c r="AN40" i="1"/>
  <c r="AK40" i="1"/>
  <c r="AJ40" i="1"/>
  <c r="AG40" i="1"/>
  <c r="AF40" i="1"/>
  <c r="AD40" i="1"/>
  <c r="AC40" i="1"/>
  <c r="AB40" i="1"/>
  <c r="Y40" i="1"/>
  <c r="X40" i="1"/>
  <c r="U40" i="1"/>
  <c r="R40" i="1"/>
  <c r="T40" i="1" s="1"/>
  <c r="Q40" i="1"/>
  <c r="P40" i="1"/>
  <c r="M40" i="1"/>
  <c r="J40" i="1"/>
  <c r="L40" i="1" s="1"/>
  <c r="I40" i="1"/>
  <c r="F40" i="1"/>
  <c r="E40" i="1"/>
  <c r="D40" i="1"/>
  <c r="AY39" i="1"/>
  <c r="AU39" i="1"/>
  <c r="AW39" i="1" s="1"/>
  <c r="AS39" i="1"/>
  <c r="AR39" i="1"/>
  <c r="AQ39" i="1"/>
  <c r="AM39" i="1"/>
  <c r="AL39" i="1"/>
  <c r="AN39" i="1" s="1"/>
  <c r="AK39" i="1"/>
  <c r="AJ39" i="1"/>
  <c r="AI39" i="1"/>
  <c r="AH39" i="1"/>
  <c r="AG39" i="1"/>
  <c r="AE39" i="1"/>
  <c r="AD39" i="1"/>
  <c r="AF39" i="1" s="1"/>
  <c r="AC39" i="1"/>
  <c r="AB39" i="1"/>
  <c r="AA39" i="1"/>
  <c r="Z39" i="1"/>
  <c r="Y39" i="1"/>
  <c r="W39" i="1"/>
  <c r="V39" i="1"/>
  <c r="X39" i="1" s="1"/>
  <c r="U39" i="1"/>
  <c r="T39" i="1"/>
  <c r="S39" i="1"/>
  <c r="R39" i="1"/>
  <c r="Q39" i="1"/>
  <c r="O39" i="1"/>
  <c r="N39" i="1"/>
  <c r="P39" i="1" s="1"/>
  <c r="M39" i="1"/>
  <c r="L39" i="1"/>
  <c r="K39" i="1"/>
  <c r="J39" i="1"/>
  <c r="G39" i="1"/>
  <c r="F39" i="1"/>
  <c r="E39" i="1"/>
  <c r="D39" i="1"/>
  <c r="C39" i="1"/>
  <c r="B39" i="1"/>
  <c r="AT38" i="1"/>
  <c r="AP38" i="1"/>
  <c r="AH38" i="1"/>
  <c r="R38" i="1"/>
  <c r="T38" i="1" s="1"/>
  <c r="AW37" i="1"/>
  <c r="AU37" i="1"/>
  <c r="AV37" i="1" s="1"/>
  <c r="AS37" i="1"/>
  <c r="AQ37" i="1"/>
  <c r="AR37" i="1" s="1"/>
  <c r="AM37" i="1"/>
  <c r="AO37" i="1" s="1"/>
  <c r="AL37" i="1"/>
  <c r="AJ37" i="1"/>
  <c r="AI37" i="1"/>
  <c r="AK37" i="1" s="1"/>
  <c r="AH37" i="1"/>
  <c r="AE37" i="1"/>
  <c r="AG37" i="1" s="1"/>
  <c r="AD37" i="1"/>
  <c r="AA37" i="1"/>
  <c r="AC37" i="1" s="1"/>
  <c r="Z37" i="1"/>
  <c r="Z38" i="1" s="1"/>
  <c r="W37" i="1"/>
  <c r="Y37" i="1" s="1"/>
  <c r="V37" i="1"/>
  <c r="S37" i="1"/>
  <c r="U37" i="1" s="1"/>
  <c r="R37" i="1"/>
  <c r="T37" i="1" s="1"/>
  <c r="O37" i="1"/>
  <c r="Q37" i="1" s="1"/>
  <c r="N37" i="1"/>
  <c r="P37" i="1" s="1"/>
  <c r="L37" i="1"/>
  <c r="K37" i="1"/>
  <c r="M37" i="1" s="1"/>
  <c r="J37" i="1"/>
  <c r="J38" i="1" s="1"/>
  <c r="L38" i="1" s="1"/>
  <c r="G37" i="1"/>
  <c r="I37" i="1" s="1"/>
  <c r="F37" i="1"/>
  <c r="H37" i="1" s="1"/>
  <c r="C37" i="1"/>
  <c r="B37" i="1"/>
  <c r="AY36" i="1"/>
  <c r="AV36" i="1"/>
  <c r="AU36" i="1"/>
  <c r="AS36" i="1"/>
  <c r="AR36" i="1"/>
  <c r="AQ36" i="1"/>
  <c r="AM36" i="1"/>
  <c r="AL36" i="1"/>
  <c r="AK36" i="1"/>
  <c r="AJ36" i="1"/>
  <c r="AI36" i="1"/>
  <c r="AH36" i="1"/>
  <c r="AE36" i="1"/>
  <c r="AD36" i="1"/>
  <c r="AC36" i="1"/>
  <c r="AB36" i="1"/>
  <c r="AA36" i="1"/>
  <c r="Z36" i="1"/>
  <c r="Y36" i="1"/>
  <c r="W36" i="1"/>
  <c r="V36" i="1"/>
  <c r="U36" i="1"/>
  <c r="T36" i="1"/>
  <c r="S36" i="1"/>
  <c r="S38" i="1" s="1"/>
  <c r="U38" i="1" s="1"/>
  <c r="R36" i="1"/>
  <c r="O36" i="1"/>
  <c r="O38" i="1" s="1"/>
  <c r="N36" i="1"/>
  <c r="M36" i="1"/>
  <c r="L36" i="1"/>
  <c r="K36" i="1"/>
  <c r="K38" i="1" s="1"/>
  <c r="J36" i="1"/>
  <c r="G36" i="1"/>
  <c r="G38" i="1" s="1"/>
  <c r="F36" i="1"/>
  <c r="E36" i="1"/>
  <c r="D36" i="1"/>
  <c r="C36" i="1"/>
  <c r="C38" i="1" s="1"/>
  <c r="B36" i="1"/>
  <c r="AT35" i="1"/>
  <c r="AP35" i="1"/>
  <c r="AR35" i="1" s="1"/>
  <c r="Z35" i="1"/>
  <c r="J35" i="1"/>
  <c r="AW34" i="1"/>
  <c r="AU34" i="1"/>
  <c r="AU35" i="1" s="1"/>
  <c r="AS34" i="1"/>
  <c r="AR34" i="1"/>
  <c r="AQ34" i="1"/>
  <c r="AQ35" i="1" s="1"/>
  <c r="AS35" i="1" s="1"/>
  <c r="AM34" i="1"/>
  <c r="AL34" i="1"/>
  <c r="AI34" i="1"/>
  <c r="AH34" i="1"/>
  <c r="AJ34" i="1" s="1"/>
  <c r="AE34" i="1"/>
  <c r="AD34" i="1"/>
  <c r="AA34" i="1"/>
  <c r="Z34" i="1"/>
  <c r="AB34" i="1" s="1"/>
  <c r="W34" i="1"/>
  <c r="V34" i="1"/>
  <c r="T34" i="1"/>
  <c r="S34" i="1"/>
  <c r="R34" i="1"/>
  <c r="R35" i="1" s="1"/>
  <c r="O34" i="1"/>
  <c r="N34" i="1"/>
  <c r="L34" i="1"/>
  <c r="K34" i="1"/>
  <c r="J34" i="1"/>
  <c r="G34" i="1"/>
  <c r="F34" i="1"/>
  <c r="D34" i="1"/>
  <c r="C34" i="1"/>
  <c r="B34" i="1"/>
  <c r="AY33" i="1"/>
  <c r="BA33" i="1" s="1"/>
  <c r="AW33" i="1"/>
  <c r="AV33" i="1"/>
  <c r="AS33" i="1"/>
  <c r="AR33" i="1"/>
  <c r="AO33" i="1"/>
  <c r="AL33" i="1"/>
  <c r="AK33" i="1"/>
  <c r="AH33" i="1"/>
  <c r="AJ33" i="1" s="1"/>
  <c r="AG33" i="1"/>
  <c r="AF33" i="1"/>
  <c r="AD33" i="1"/>
  <c r="AD35" i="1" s="1"/>
  <c r="AC33" i="1"/>
  <c r="AB33" i="1"/>
  <c r="Z33" i="1"/>
  <c r="Y33" i="1"/>
  <c r="X33" i="1"/>
  <c r="V33" i="1"/>
  <c r="V35" i="1" s="1"/>
  <c r="U33" i="1"/>
  <c r="R33" i="1"/>
  <c r="T33" i="1" s="1"/>
  <c r="Q33" i="1"/>
  <c r="N33" i="1"/>
  <c r="N35" i="1" s="1"/>
  <c r="M33" i="1"/>
  <c r="J33" i="1"/>
  <c r="L33" i="1" s="1"/>
  <c r="I33" i="1"/>
  <c r="F33" i="1"/>
  <c r="E33" i="1"/>
  <c r="B33" i="1"/>
  <c r="BA32" i="1"/>
  <c r="AZ32" i="1"/>
  <c r="AY32" i="1"/>
  <c r="AX32" i="1"/>
  <c r="AW32" i="1"/>
  <c r="AV32" i="1"/>
  <c r="AS32" i="1"/>
  <c r="AR32" i="1"/>
  <c r="AO32" i="1"/>
  <c r="AN32" i="1"/>
  <c r="AK32" i="1"/>
  <c r="AJ32" i="1"/>
  <c r="AG32" i="1"/>
  <c r="AF32" i="1"/>
  <c r="AC32" i="1"/>
  <c r="AB32" i="1"/>
  <c r="Y32" i="1"/>
  <c r="X32" i="1"/>
  <c r="U32" i="1"/>
  <c r="T32" i="1"/>
  <c r="Q32" i="1"/>
  <c r="P32" i="1"/>
  <c r="M32" i="1"/>
  <c r="L32" i="1"/>
  <c r="I32" i="1"/>
  <c r="H32" i="1"/>
  <c r="E32" i="1"/>
  <c r="D32" i="1"/>
  <c r="AT31" i="1"/>
  <c r="AP31" i="1"/>
  <c r="AW30" i="1"/>
  <c r="AU30" i="1"/>
  <c r="AV30" i="1" s="1"/>
  <c r="AS30" i="1"/>
  <c r="AQ30" i="1"/>
  <c r="AR30" i="1" s="1"/>
  <c r="AM30" i="1"/>
  <c r="AL30" i="1"/>
  <c r="AJ30" i="1"/>
  <c r="AI30" i="1"/>
  <c r="AK30" i="1" s="1"/>
  <c r="AH30" i="1"/>
  <c r="AE30" i="1"/>
  <c r="AD30" i="1"/>
  <c r="AA30" i="1"/>
  <c r="Z30" i="1"/>
  <c r="AB30" i="1" s="1"/>
  <c r="W30" i="1"/>
  <c r="V30" i="1"/>
  <c r="S30" i="1"/>
  <c r="U30" i="1" s="1"/>
  <c r="R30" i="1"/>
  <c r="T30" i="1" s="1"/>
  <c r="O30" i="1"/>
  <c r="N30" i="1"/>
  <c r="L30" i="1"/>
  <c r="K30" i="1"/>
  <c r="M30" i="1" s="1"/>
  <c r="J30" i="1"/>
  <c r="G30" i="1"/>
  <c r="F30" i="1"/>
  <c r="C30" i="1"/>
  <c r="B30" i="1"/>
  <c r="AY29" i="1"/>
  <c r="AV29" i="1"/>
  <c r="AU29" i="1"/>
  <c r="AW29" i="1" s="1"/>
  <c r="AS29" i="1"/>
  <c r="AQ29" i="1"/>
  <c r="AR29" i="1" s="1"/>
  <c r="AM29" i="1"/>
  <c r="AL29" i="1"/>
  <c r="AK29" i="1"/>
  <c r="AJ29" i="1"/>
  <c r="AI29" i="1"/>
  <c r="AH29" i="1"/>
  <c r="AG29" i="1"/>
  <c r="AE29" i="1"/>
  <c r="AD29" i="1"/>
  <c r="AF29" i="1" s="1"/>
  <c r="AC29" i="1"/>
  <c r="AB29" i="1"/>
  <c r="AA29" i="1"/>
  <c r="Z29" i="1"/>
  <c r="W29" i="1"/>
  <c r="V29" i="1"/>
  <c r="X29" i="1" s="1"/>
  <c r="U29" i="1"/>
  <c r="T29" i="1"/>
  <c r="S29" i="1"/>
  <c r="R29" i="1"/>
  <c r="O29" i="1"/>
  <c r="N29" i="1"/>
  <c r="P29" i="1" s="1"/>
  <c r="M29" i="1"/>
  <c r="L29" i="1"/>
  <c r="K29" i="1"/>
  <c r="J29" i="1"/>
  <c r="I29" i="1"/>
  <c r="G29" i="1"/>
  <c r="F29" i="1"/>
  <c r="H29" i="1" s="1"/>
  <c r="E29" i="1"/>
  <c r="D29" i="1"/>
  <c r="C29" i="1"/>
  <c r="B29" i="1"/>
  <c r="AW28" i="1"/>
  <c r="AV28" i="1"/>
  <c r="AU28" i="1"/>
  <c r="AS28" i="1"/>
  <c r="AR28" i="1"/>
  <c r="AQ28" i="1"/>
  <c r="AN28" i="1"/>
  <c r="AM28" i="1"/>
  <c r="AO28" i="1" s="1"/>
  <c r="AL28" i="1"/>
  <c r="AI28" i="1"/>
  <c r="AH28" i="1"/>
  <c r="AE28" i="1"/>
  <c r="AD28" i="1"/>
  <c r="AF28" i="1" s="1"/>
  <c r="AA28" i="1"/>
  <c r="Z28" i="1"/>
  <c r="W28" i="1"/>
  <c r="V28" i="1"/>
  <c r="X28" i="1" s="1"/>
  <c r="S28" i="1"/>
  <c r="R28" i="1"/>
  <c r="O28" i="1"/>
  <c r="Q28" i="1" s="1"/>
  <c r="N28" i="1"/>
  <c r="L28" i="1"/>
  <c r="K28" i="1"/>
  <c r="M28" i="1" s="1"/>
  <c r="J28" i="1"/>
  <c r="G28" i="1"/>
  <c r="F28" i="1"/>
  <c r="D28" i="1"/>
  <c r="C28" i="1"/>
  <c r="B28" i="1"/>
  <c r="AU27" i="1"/>
  <c r="AW27" i="1" s="1"/>
  <c r="AR27" i="1"/>
  <c r="AQ27" i="1"/>
  <c r="AS27" i="1" s="1"/>
  <c r="AN27" i="1"/>
  <c r="AM27" i="1"/>
  <c r="AL27" i="1"/>
  <c r="AO27" i="1" s="1"/>
  <c r="AK27" i="1"/>
  <c r="AI27" i="1"/>
  <c r="AH27" i="1"/>
  <c r="AG27" i="1"/>
  <c r="AF27" i="1"/>
  <c r="AE27" i="1"/>
  <c r="AD27" i="1"/>
  <c r="AA27" i="1"/>
  <c r="Z27" i="1"/>
  <c r="AB27" i="1" s="1"/>
  <c r="Y27" i="1"/>
  <c r="W27" i="1"/>
  <c r="V27" i="1"/>
  <c r="X27" i="1" s="1"/>
  <c r="S27" i="1"/>
  <c r="U27" i="1" s="1"/>
  <c r="R27" i="1"/>
  <c r="T27" i="1" s="1"/>
  <c r="Q27" i="1"/>
  <c r="P27" i="1"/>
  <c r="O27" i="1"/>
  <c r="N27" i="1"/>
  <c r="M27" i="1"/>
  <c r="K27" i="1"/>
  <c r="J27" i="1"/>
  <c r="L27" i="1" s="1"/>
  <c r="I27" i="1"/>
  <c r="H27" i="1"/>
  <c r="G27" i="1"/>
  <c r="F27" i="1"/>
  <c r="AX27" i="1" s="1"/>
  <c r="C27" i="1"/>
  <c r="E27" i="1" s="1"/>
  <c r="B27" i="1"/>
  <c r="AX26" i="1"/>
  <c r="AW26" i="1"/>
  <c r="AU26" i="1"/>
  <c r="AV26" i="1" s="1"/>
  <c r="AS26" i="1"/>
  <c r="AQ26" i="1"/>
  <c r="AR26" i="1" s="1"/>
  <c r="AO26" i="1"/>
  <c r="AM26" i="1"/>
  <c r="AN26" i="1" s="1"/>
  <c r="AL26" i="1"/>
  <c r="AJ26" i="1"/>
  <c r="AI26" i="1"/>
  <c r="AH26" i="1"/>
  <c r="AK26" i="1" s="1"/>
  <c r="AF26" i="1"/>
  <c r="AE26" i="1"/>
  <c r="AG26" i="1" s="1"/>
  <c r="AD26" i="1"/>
  <c r="AB26" i="1"/>
  <c r="AA26" i="1"/>
  <c r="Z26" i="1"/>
  <c r="AC26" i="1" s="1"/>
  <c r="W26" i="1"/>
  <c r="Y26" i="1" s="1"/>
  <c r="V26" i="1"/>
  <c r="T26" i="1"/>
  <c r="S26" i="1"/>
  <c r="R26" i="1"/>
  <c r="U26" i="1" s="1"/>
  <c r="P26" i="1"/>
  <c r="O26" i="1"/>
  <c r="Q26" i="1" s="1"/>
  <c r="N26" i="1"/>
  <c r="L26" i="1"/>
  <c r="K26" i="1"/>
  <c r="J26" i="1"/>
  <c r="M26" i="1" s="1"/>
  <c r="G26" i="1"/>
  <c r="I26" i="1" s="1"/>
  <c r="F26" i="1"/>
  <c r="D26" i="1"/>
  <c r="C26" i="1"/>
  <c r="B26" i="1"/>
  <c r="E26" i="1" s="1"/>
  <c r="AW25" i="1"/>
  <c r="AV25" i="1"/>
  <c r="AU25" i="1"/>
  <c r="AQ25" i="1"/>
  <c r="AS25" i="1" s="1"/>
  <c r="AO25" i="1"/>
  <c r="AM25" i="1"/>
  <c r="AL25" i="1"/>
  <c r="AN25" i="1" s="1"/>
  <c r="AI25" i="1"/>
  <c r="AK25" i="1" s="1"/>
  <c r="AH25" i="1"/>
  <c r="AG25" i="1"/>
  <c r="AE25" i="1"/>
  <c r="AD25" i="1"/>
  <c r="AF25" i="1" s="1"/>
  <c r="AA25" i="1"/>
  <c r="AC25" i="1" s="1"/>
  <c r="Z25" i="1"/>
  <c r="Y25" i="1"/>
  <c r="W25" i="1"/>
  <c r="V25" i="1"/>
  <c r="X25" i="1" s="1"/>
  <c r="S25" i="1"/>
  <c r="U25" i="1" s="1"/>
  <c r="R25" i="1"/>
  <c r="Q25" i="1"/>
  <c r="O25" i="1"/>
  <c r="N25" i="1"/>
  <c r="P25" i="1" s="1"/>
  <c r="K25" i="1"/>
  <c r="J25" i="1"/>
  <c r="L25" i="1" s="1"/>
  <c r="I25" i="1"/>
  <c r="G25" i="1"/>
  <c r="F25" i="1"/>
  <c r="H25" i="1" s="1"/>
  <c r="C25" i="1"/>
  <c r="E25" i="1" s="1"/>
  <c r="B25" i="1"/>
  <c r="B31" i="1" s="1"/>
  <c r="AX24" i="1"/>
  <c r="AU24" i="1"/>
  <c r="AS24" i="1"/>
  <c r="AR24" i="1"/>
  <c r="AQ24" i="1"/>
  <c r="AN24" i="1"/>
  <c r="AM24" i="1"/>
  <c r="AL24" i="1"/>
  <c r="AO24" i="1" s="1"/>
  <c r="AJ24" i="1"/>
  <c r="AI24" i="1"/>
  <c r="AK24" i="1" s="1"/>
  <c r="AH24" i="1"/>
  <c r="AF24" i="1"/>
  <c r="AE24" i="1"/>
  <c r="AD24" i="1"/>
  <c r="AG24" i="1" s="1"/>
  <c r="AA24" i="1"/>
  <c r="AC24" i="1" s="1"/>
  <c r="Z24" i="1"/>
  <c r="X24" i="1"/>
  <c r="W24" i="1"/>
  <c r="V24" i="1"/>
  <c r="Y24" i="1" s="1"/>
  <c r="S24" i="1"/>
  <c r="U24" i="1" s="1"/>
  <c r="R24" i="1"/>
  <c r="P24" i="1"/>
  <c r="O24" i="1"/>
  <c r="N24" i="1"/>
  <c r="Q24" i="1" s="1"/>
  <c r="M24" i="1"/>
  <c r="K24" i="1"/>
  <c r="L24" i="1" s="1"/>
  <c r="J24" i="1"/>
  <c r="H24" i="1"/>
  <c r="G24" i="1"/>
  <c r="F24" i="1"/>
  <c r="I24" i="1" s="1"/>
  <c r="E24" i="1"/>
  <c r="D24" i="1"/>
  <c r="C24" i="1"/>
  <c r="B24" i="1"/>
  <c r="AV23" i="1"/>
  <c r="AU23" i="1"/>
  <c r="AQ23" i="1"/>
  <c r="AM23" i="1"/>
  <c r="AL23" i="1"/>
  <c r="AK23" i="1"/>
  <c r="AI23" i="1"/>
  <c r="AH23" i="1"/>
  <c r="AJ23" i="1" s="1"/>
  <c r="AE23" i="1"/>
  <c r="AD23" i="1"/>
  <c r="AC23" i="1"/>
  <c r="AA23" i="1"/>
  <c r="Z23" i="1"/>
  <c r="AB23" i="1" s="1"/>
  <c r="W23" i="1"/>
  <c r="V23" i="1"/>
  <c r="U23" i="1"/>
  <c r="S23" i="1"/>
  <c r="R23" i="1"/>
  <c r="T23" i="1" s="1"/>
  <c r="O23" i="1"/>
  <c r="N23" i="1"/>
  <c r="M23" i="1"/>
  <c r="K23" i="1"/>
  <c r="J23" i="1"/>
  <c r="L23" i="1" s="1"/>
  <c r="G23" i="1"/>
  <c r="F23" i="1"/>
  <c r="E23" i="1"/>
  <c r="C23" i="1"/>
  <c r="AY23" i="1" s="1"/>
  <c r="B23" i="1"/>
  <c r="D23" i="1" s="1"/>
  <c r="AY22" i="1"/>
  <c r="BA22" i="1" s="1"/>
  <c r="AX22" i="1"/>
  <c r="AW22" i="1"/>
  <c r="AV22" i="1"/>
  <c r="AS22" i="1"/>
  <c r="AR22" i="1"/>
  <c r="AO22" i="1"/>
  <c r="AN22" i="1"/>
  <c r="AK22" i="1"/>
  <c r="AJ22" i="1"/>
  <c r="AG22" i="1"/>
  <c r="AF22" i="1"/>
  <c r="AC22" i="1"/>
  <c r="AB22" i="1"/>
  <c r="Y22" i="1"/>
  <c r="X22" i="1"/>
  <c r="U22" i="1"/>
  <c r="T22" i="1"/>
  <c r="Q22" i="1"/>
  <c r="P22" i="1"/>
  <c r="M22" i="1"/>
  <c r="L22" i="1"/>
  <c r="I22" i="1"/>
  <c r="H22" i="1"/>
  <c r="E22" i="1"/>
  <c r="D22" i="1"/>
  <c r="AX21" i="1"/>
  <c r="AU21" i="1"/>
  <c r="AS21" i="1"/>
  <c r="AR21" i="1"/>
  <c r="AQ21" i="1"/>
  <c r="AN21" i="1"/>
  <c r="AM21" i="1"/>
  <c r="AL21" i="1"/>
  <c r="AO21" i="1" s="1"/>
  <c r="AJ21" i="1"/>
  <c r="AI21" i="1"/>
  <c r="AK21" i="1" s="1"/>
  <c r="AH21" i="1"/>
  <c r="AF21" i="1"/>
  <c r="AE21" i="1"/>
  <c r="AD21" i="1"/>
  <c r="AG21" i="1" s="1"/>
  <c r="AA21" i="1"/>
  <c r="AC21" i="1" s="1"/>
  <c r="Z21" i="1"/>
  <c r="X21" i="1"/>
  <c r="W21" i="1"/>
  <c r="V21" i="1"/>
  <c r="Y21" i="1" s="1"/>
  <c r="U21" i="1"/>
  <c r="T21" i="1"/>
  <c r="S21" i="1"/>
  <c r="R21" i="1"/>
  <c r="P21" i="1"/>
  <c r="O21" i="1"/>
  <c r="N21" i="1"/>
  <c r="Q21" i="1" s="1"/>
  <c r="M21" i="1"/>
  <c r="K21" i="1"/>
  <c r="L21" i="1" s="1"/>
  <c r="J21" i="1"/>
  <c r="H21" i="1"/>
  <c r="G21" i="1"/>
  <c r="F21" i="1"/>
  <c r="I21" i="1" s="1"/>
  <c r="E21" i="1"/>
  <c r="D21" i="1"/>
  <c r="C21" i="1"/>
  <c r="B21" i="1"/>
  <c r="AT20" i="1"/>
  <c r="AT43" i="1" s="1"/>
  <c r="AP20" i="1"/>
  <c r="G20" i="1"/>
  <c r="I20" i="1" s="1"/>
  <c r="AW19" i="1"/>
  <c r="AV19" i="1"/>
  <c r="AU19" i="1"/>
  <c r="AQ19" i="1"/>
  <c r="AS19" i="1" s="1"/>
  <c r="AO19" i="1"/>
  <c r="AM19" i="1"/>
  <c r="AL19" i="1"/>
  <c r="AN19" i="1" s="1"/>
  <c r="AI19" i="1"/>
  <c r="AK19" i="1" s="1"/>
  <c r="AH19" i="1"/>
  <c r="AG19" i="1"/>
  <c r="AE19" i="1"/>
  <c r="AD19" i="1"/>
  <c r="AF19" i="1" s="1"/>
  <c r="AA19" i="1"/>
  <c r="Z19" i="1"/>
  <c r="AB19" i="1" s="1"/>
  <c r="Y19" i="1"/>
  <c r="W19" i="1"/>
  <c r="V19" i="1"/>
  <c r="X19" i="1" s="1"/>
  <c r="S19" i="1"/>
  <c r="U19" i="1" s="1"/>
  <c r="R19" i="1"/>
  <c r="Q19" i="1"/>
  <c r="O19" i="1"/>
  <c r="N19" i="1"/>
  <c r="P19" i="1" s="1"/>
  <c r="K19" i="1"/>
  <c r="M19" i="1" s="1"/>
  <c r="J19" i="1"/>
  <c r="L19" i="1" s="1"/>
  <c r="I19" i="1"/>
  <c r="G19" i="1"/>
  <c r="F19" i="1"/>
  <c r="H19" i="1" s="1"/>
  <c r="C19" i="1"/>
  <c r="E19" i="1" s="1"/>
  <c r="B19" i="1"/>
  <c r="AX18" i="1"/>
  <c r="AU18" i="1"/>
  <c r="AS18" i="1"/>
  <c r="AR18" i="1"/>
  <c r="AQ18" i="1"/>
  <c r="AN18" i="1"/>
  <c r="AM18" i="1"/>
  <c r="AL18" i="1"/>
  <c r="AO18" i="1" s="1"/>
  <c r="AK18" i="1"/>
  <c r="AJ18" i="1"/>
  <c r="AI18" i="1"/>
  <c r="AH18" i="1"/>
  <c r="AF18" i="1"/>
  <c r="AE18" i="1"/>
  <c r="AD18" i="1"/>
  <c r="AG18" i="1" s="1"/>
  <c r="AC18" i="1"/>
  <c r="AA18" i="1"/>
  <c r="AB18" i="1" s="1"/>
  <c r="Z18" i="1"/>
  <c r="X18" i="1"/>
  <c r="W18" i="1"/>
  <c r="V18" i="1"/>
  <c r="Y18" i="1" s="1"/>
  <c r="U18" i="1"/>
  <c r="T18" i="1"/>
  <c r="S18" i="1"/>
  <c r="R18" i="1"/>
  <c r="P18" i="1"/>
  <c r="O18" i="1"/>
  <c r="Q18" i="1" s="1"/>
  <c r="N18" i="1"/>
  <c r="M18" i="1"/>
  <c r="K18" i="1"/>
  <c r="L18" i="1" s="1"/>
  <c r="J18" i="1"/>
  <c r="H18" i="1"/>
  <c r="G18" i="1"/>
  <c r="I18" i="1" s="1"/>
  <c r="F18" i="1"/>
  <c r="D18" i="1"/>
  <c r="C18" i="1"/>
  <c r="B18" i="1"/>
  <c r="AW17" i="1"/>
  <c r="AV17" i="1"/>
  <c r="AU17" i="1"/>
  <c r="AQ17" i="1"/>
  <c r="AS17" i="1" s="1"/>
  <c r="AM17" i="1"/>
  <c r="AL17" i="1"/>
  <c r="AN17" i="1" s="1"/>
  <c r="AK17" i="1"/>
  <c r="AI17" i="1"/>
  <c r="AH17" i="1"/>
  <c r="AJ17" i="1" s="1"/>
  <c r="AE17" i="1"/>
  <c r="AG17" i="1" s="1"/>
  <c r="AD17" i="1"/>
  <c r="AC17" i="1"/>
  <c r="AA17" i="1"/>
  <c r="Z17" i="1"/>
  <c r="AB17" i="1" s="1"/>
  <c r="W17" i="1"/>
  <c r="V17" i="1"/>
  <c r="X17" i="1" s="1"/>
  <c r="U17" i="1"/>
  <c r="S17" i="1"/>
  <c r="R17" i="1"/>
  <c r="T17" i="1" s="1"/>
  <c r="O17" i="1"/>
  <c r="Q17" i="1" s="1"/>
  <c r="N17" i="1"/>
  <c r="M17" i="1"/>
  <c r="K17" i="1"/>
  <c r="J17" i="1"/>
  <c r="L17" i="1" s="1"/>
  <c r="G17" i="1"/>
  <c r="F17" i="1"/>
  <c r="E17" i="1"/>
  <c r="C17" i="1"/>
  <c r="B17" i="1"/>
  <c r="D17" i="1" s="1"/>
  <c r="AY16" i="1"/>
  <c r="BA16" i="1" s="1"/>
  <c r="AX16" i="1"/>
  <c r="AW16" i="1"/>
  <c r="AV16" i="1"/>
  <c r="AU16" i="1"/>
  <c r="AS16" i="1"/>
  <c r="AQ16" i="1"/>
  <c r="AR16" i="1" s="1"/>
  <c r="AN16" i="1"/>
  <c r="AM16" i="1"/>
  <c r="AO16" i="1" s="1"/>
  <c r="AL16" i="1"/>
  <c r="AJ16" i="1"/>
  <c r="AI16" i="1"/>
  <c r="AK16" i="1" s="1"/>
  <c r="AH16" i="1"/>
  <c r="AE16" i="1"/>
  <c r="AG16" i="1" s="1"/>
  <c r="AD16" i="1"/>
  <c r="AB16" i="1"/>
  <c r="AA16" i="1"/>
  <c r="AC16" i="1" s="1"/>
  <c r="Z16" i="1"/>
  <c r="X16" i="1"/>
  <c r="W16" i="1"/>
  <c r="Y16" i="1" s="1"/>
  <c r="V16" i="1"/>
  <c r="T16" i="1"/>
  <c r="S16" i="1"/>
  <c r="U16" i="1" s="1"/>
  <c r="R16" i="1"/>
  <c r="O16" i="1"/>
  <c r="Q16" i="1" s="1"/>
  <c r="N16" i="1"/>
  <c r="L16" i="1"/>
  <c r="K16" i="1"/>
  <c r="M16" i="1" s="1"/>
  <c r="J16" i="1"/>
  <c r="I16" i="1"/>
  <c r="H16" i="1"/>
  <c r="G16" i="1"/>
  <c r="F16" i="1"/>
  <c r="D16" i="1"/>
  <c r="C16" i="1"/>
  <c r="E16" i="1" s="1"/>
  <c r="B16" i="1"/>
  <c r="AV15" i="1"/>
  <c r="AU15" i="1"/>
  <c r="AW15" i="1" s="1"/>
  <c r="AQ15" i="1"/>
  <c r="AS15" i="1" s="1"/>
  <c r="AO15" i="1"/>
  <c r="AM15" i="1"/>
  <c r="AL15" i="1"/>
  <c r="AN15" i="1" s="1"/>
  <c r="AI15" i="1"/>
  <c r="AK15" i="1" s="1"/>
  <c r="AH15" i="1"/>
  <c r="AE15" i="1"/>
  <c r="AD15" i="1"/>
  <c r="AF15" i="1" s="1"/>
  <c r="AA15" i="1"/>
  <c r="Z15" i="1"/>
  <c r="AB15" i="1" s="1"/>
  <c r="Y15" i="1"/>
  <c r="W15" i="1"/>
  <c r="V15" i="1"/>
  <c r="X15" i="1" s="1"/>
  <c r="S15" i="1"/>
  <c r="U15" i="1" s="1"/>
  <c r="R15" i="1"/>
  <c r="Q15" i="1"/>
  <c r="O15" i="1"/>
  <c r="N15" i="1"/>
  <c r="P15" i="1" s="1"/>
  <c r="K15" i="1"/>
  <c r="M15" i="1" s="1"/>
  <c r="J15" i="1"/>
  <c r="G15" i="1"/>
  <c r="F15" i="1"/>
  <c r="H15" i="1" s="1"/>
  <c r="C15" i="1"/>
  <c r="E15" i="1" s="1"/>
  <c r="B15" i="1"/>
  <c r="AX14" i="1"/>
  <c r="AU14" i="1"/>
  <c r="AS14" i="1"/>
  <c r="AR14" i="1"/>
  <c r="AQ14" i="1"/>
  <c r="AN14" i="1"/>
  <c r="AM14" i="1"/>
  <c r="AO14" i="1" s="1"/>
  <c r="AL14" i="1"/>
  <c r="AK14" i="1"/>
  <c r="AJ14" i="1"/>
  <c r="AI14" i="1"/>
  <c r="AH14" i="1"/>
  <c r="AF14" i="1"/>
  <c r="AE14" i="1"/>
  <c r="AG14" i="1" s="1"/>
  <c r="AD14" i="1"/>
  <c r="AC14" i="1"/>
  <c r="AB14" i="1"/>
  <c r="AA14" i="1"/>
  <c r="Z14" i="1"/>
  <c r="X14" i="1"/>
  <c r="W14" i="1"/>
  <c r="Y14" i="1" s="1"/>
  <c r="V14" i="1"/>
  <c r="U14" i="1"/>
  <c r="T14" i="1"/>
  <c r="S14" i="1"/>
  <c r="R14" i="1"/>
  <c r="P14" i="1"/>
  <c r="O14" i="1"/>
  <c r="Q14" i="1" s="1"/>
  <c r="N14" i="1"/>
  <c r="M14" i="1"/>
  <c r="K14" i="1"/>
  <c r="L14" i="1" s="1"/>
  <c r="J14" i="1"/>
  <c r="H14" i="1"/>
  <c r="G14" i="1"/>
  <c r="I14" i="1" s="1"/>
  <c r="F14" i="1"/>
  <c r="D14" i="1"/>
  <c r="C14" i="1"/>
  <c r="B14" i="1"/>
  <c r="AU13" i="1"/>
  <c r="AW13" i="1" s="1"/>
  <c r="AQ13" i="1"/>
  <c r="AM13" i="1"/>
  <c r="AO13" i="1" s="1"/>
  <c r="AL13" i="1"/>
  <c r="AK13" i="1"/>
  <c r="AI13" i="1"/>
  <c r="AH13" i="1"/>
  <c r="AJ13" i="1" s="1"/>
  <c r="AE13" i="1"/>
  <c r="AD13" i="1"/>
  <c r="AF13" i="1" s="1"/>
  <c r="AA13" i="1"/>
  <c r="Z13" i="1"/>
  <c r="AB13" i="1" s="1"/>
  <c r="W13" i="1"/>
  <c r="Y13" i="1" s="1"/>
  <c r="V13" i="1"/>
  <c r="S13" i="1"/>
  <c r="R13" i="1"/>
  <c r="T13" i="1" s="1"/>
  <c r="O13" i="1"/>
  <c r="N13" i="1"/>
  <c r="P13" i="1" s="1"/>
  <c r="M13" i="1"/>
  <c r="K13" i="1"/>
  <c r="J13" i="1"/>
  <c r="L13" i="1" s="1"/>
  <c r="G13" i="1"/>
  <c r="I13" i="1" s="1"/>
  <c r="F13" i="1"/>
  <c r="C13" i="1"/>
  <c r="B13" i="1"/>
  <c r="E13" i="1" s="1"/>
  <c r="AX12" i="1"/>
  <c r="AW12" i="1"/>
  <c r="AV12" i="1"/>
  <c r="AU12" i="1"/>
  <c r="AS12" i="1"/>
  <c r="AQ12" i="1"/>
  <c r="AR12" i="1" s="1"/>
  <c r="AO12" i="1"/>
  <c r="AM12" i="1"/>
  <c r="AM20" i="1" s="1"/>
  <c r="AL12" i="1"/>
  <c r="AJ12" i="1"/>
  <c r="AI12" i="1"/>
  <c r="AK12" i="1" s="1"/>
  <c r="AH12" i="1"/>
  <c r="AF12" i="1"/>
  <c r="AE12" i="1"/>
  <c r="AE20" i="1" s="1"/>
  <c r="AD12" i="1"/>
  <c r="AB12" i="1"/>
  <c r="AA12" i="1"/>
  <c r="AC12" i="1" s="1"/>
  <c r="Z12" i="1"/>
  <c r="W12" i="1"/>
  <c r="Y12" i="1" s="1"/>
  <c r="V12" i="1"/>
  <c r="T12" i="1"/>
  <c r="S12" i="1"/>
  <c r="U12" i="1" s="1"/>
  <c r="R12" i="1"/>
  <c r="P12" i="1"/>
  <c r="O12" i="1"/>
  <c r="O20" i="1" s="1"/>
  <c r="N12" i="1"/>
  <c r="L12" i="1"/>
  <c r="K12" i="1"/>
  <c r="M12" i="1" s="1"/>
  <c r="J12" i="1"/>
  <c r="G12" i="1"/>
  <c r="I12" i="1" s="1"/>
  <c r="F12" i="1"/>
  <c r="D12" i="1"/>
  <c r="C12" i="1"/>
  <c r="E12" i="1" s="1"/>
  <c r="B12" i="1"/>
  <c r="AV11" i="1"/>
  <c r="AU11" i="1"/>
  <c r="AW11" i="1" s="1"/>
  <c r="AR11" i="1"/>
  <c r="AQ11" i="1"/>
  <c r="AO11" i="1"/>
  <c r="AM11" i="1"/>
  <c r="AL11" i="1"/>
  <c r="AI11" i="1"/>
  <c r="AH11" i="1"/>
  <c r="AE11" i="1"/>
  <c r="AD11" i="1"/>
  <c r="AA11" i="1"/>
  <c r="Z11" i="1"/>
  <c r="W11" i="1"/>
  <c r="V11" i="1"/>
  <c r="V20" i="1" s="1"/>
  <c r="S11" i="1"/>
  <c r="R11" i="1"/>
  <c r="Q11" i="1"/>
  <c r="P11" i="1"/>
  <c r="O11" i="1"/>
  <c r="N11" i="1"/>
  <c r="K11" i="1"/>
  <c r="J11" i="1"/>
  <c r="I11" i="1"/>
  <c r="H11" i="1"/>
  <c r="G11" i="1"/>
  <c r="F11" i="1"/>
  <c r="F20" i="1" s="1"/>
  <c r="H20" i="1" s="1"/>
  <c r="C11" i="1"/>
  <c r="B11" i="1"/>
  <c r="BA10" i="1"/>
  <c r="AZ10" i="1"/>
  <c r="AY10" i="1"/>
  <c r="AX10" i="1"/>
  <c r="AW10" i="1"/>
  <c r="AV10" i="1"/>
  <c r="AS10" i="1"/>
  <c r="AR10" i="1"/>
  <c r="AO10" i="1"/>
  <c r="AN10" i="1"/>
  <c r="AK10" i="1"/>
  <c r="AJ10" i="1"/>
  <c r="AG10" i="1"/>
  <c r="AF10" i="1"/>
  <c r="AC10" i="1"/>
  <c r="AB10" i="1"/>
  <c r="Y10" i="1"/>
  <c r="X10" i="1"/>
  <c r="U10" i="1"/>
  <c r="T10" i="1"/>
  <c r="Q10" i="1"/>
  <c r="P10" i="1"/>
  <c r="M10" i="1"/>
  <c r="L10" i="1"/>
  <c r="I10" i="1"/>
  <c r="H10" i="1"/>
  <c r="E10" i="1"/>
  <c r="D10" i="1"/>
  <c r="AW9" i="1"/>
  <c r="AV9" i="1"/>
  <c r="AU9" i="1"/>
  <c r="AQ9" i="1"/>
  <c r="AO9" i="1"/>
  <c r="AN9" i="1"/>
  <c r="AM9" i="1"/>
  <c r="AI9" i="1"/>
  <c r="AK9" i="1" s="1"/>
  <c r="AF9" i="1"/>
  <c r="AE9" i="1"/>
  <c r="AC9" i="1"/>
  <c r="AB9" i="1"/>
  <c r="AA9" i="1"/>
  <c r="W9" i="1"/>
  <c r="V9" i="1"/>
  <c r="Y9" i="1" s="1"/>
  <c r="U9" i="1"/>
  <c r="S9" i="1"/>
  <c r="Q9" i="1"/>
  <c r="O9" i="1"/>
  <c r="N9" i="1"/>
  <c r="K9" i="1"/>
  <c r="M9" i="1" s="1"/>
  <c r="I9" i="1"/>
  <c r="H9" i="1"/>
  <c r="G9" i="1"/>
  <c r="C9" i="1"/>
  <c r="B9" i="1"/>
  <c r="D9" i="1" s="1"/>
  <c r="BA8" i="1"/>
  <c r="AY8" i="1"/>
  <c r="AW8" i="1"/>
  <c r="AV8" i="1"/>
  <c r="AS8" i="1"/>
  <c r="AR8" i="1"/>
  <c r="AO8" i="1"/>
  <c r="AN8" i="1"/>
  <c r="AK8" i="1"/>
  <c r="AJ8" i="1"/>
  <c r="AG8" i="1"/>
  <c r="AF8" i="1"/>
  <c r="AC8" i="1"/>
  <c r="Z8" i="1"/>
  <c r="AB8" i="1" s="1"/>
  <c r="Y8" i="1"/>
  <c r="X8" i="1"/>
  <c r="V8" i="1"/>
  <c r="U8" i="1"/>
  <c r="R8" i="1"/>
  <c r="Q8" i="1"/>
  <c r="P8" i="1"/>
  <c r="M8" i="1"/>
  <c r="J8" i="1"/>
  <c r="I8" i="1"/>
  <c r="H8" i="1"/>
  <c r="E8" i="1"/>
  <c r="D8" i="1"/>
  <c r="B8" i="1"/>
  <c r="X20" i="1" l="1"/>
  <c r="AO20" i="1"/>
  <c r="AR9" i="1"/>
  <c r="W20" i="1"/>
  <c r="Y20" i="1" s="1"/>
  <c r="AL31" i="1"/>
  <c r="AN31" i="1" s="1"/>
  <c r="AN23" i="1"/>
  <c r="AY26" i="1"/>
  <c r="AX30" i="1"/>
  <c r="AZ30" i="1" s="1"/>
  <c r="D30" i="1"/>
  <c r="AX33" i="1"/>
  <c r="AZ33" i="1" s="1"/>
  <c r="D33" i="1"/>
  <c r="B35" i="1"/>
  <c r="G35" i="1"/>
  <c r="I34" i="1"/>
  <c r="H34" i="1"/>
  <c r="AB49" i="1"/>
  <c r="AC49" i="1"/>
  <c r="AA20" i="1"/>
  <c r="AC20" i="1" s="1"/>
  <c r="AC11" i="1"/>
  <c r="T9" i="1"/>
  <c r="AG9" i="1"/>
  <c r="AS9" i="1"/>
  <c r="R20" i="1"/>
  <c r="T11" i="1"/>
  <c r="AD20" i="1"/>
  <c r="AF11" i="1"/>
  <c r="AQ20" i="1"/>
  <c r="AS11" i="1"/>
  <c r="AN12" i="1"/>
  <c r="AY12" i="1"/>
  <c r="BA12" i="1" s="1"/>
  <c r="AN13" i="1"/>
  <c r="AY14" i="1"/>
  <c r="BA14" i="1" s="1"/>
  <c r="AX15" i="1"/>
  <c r="D15" i="1"/>
  <c r="AC15" i="1"/>
  <c r="AZ16" i="1"/>
  <c r="Y17" i="1"/>
  <c r="AY18" i="1"/>
  <c r="BA18" i="1" s="1"/>
  <c r="AX19" i="1"/>
  <c r="D19" i="1"/>
  <c r="AC19" i="1"/>
  <c r="N31" i="1"/>
  <c r="P31" i="1" s="1"/>
  <c r="P23" i="1"/>
  <c r="AM31" i="1"/>
  <c r="AO23" i="1"/>
  <c r="T25" i="1"/>
  <c r="AR25" i="1"/>
  <c r="AN29" i="1"/>
  <c r="AO29" i="1"/>
  <c r="L35" i="1"/>
  <c r="L9" i="1"/>
  <c r="J20" i="1"/>
  <c r="L11" i="1"/>
  <c r="AG11" i="1"/>
  <c r="X12" i="1"/>
  <c r="AG12" i="1"/>
  <c r="AY13" i="1"/>
  <c r="Q13" i="1"/>
  <c r="AC13" i="1"/>
  <c r="AS13" i="1"/>
  <c r="AR13" i="1"/>
  <c r="E14" i="1"/>
  <c r="T15" i="1"/>
  <c r="AR15" i="1"/>
  <c r="AF16" i="1"/>
  <c r="P17" i="1"/>
  <c r="AO17" i="1"/>
  <c r="E18" i="1"/>
  <c r="T19" i="1"/>
  <c r="AR19" i="1"/>
  <c r="AU20" i="1"/>
  <c r="AU43" i="1" s="1"/>
  <c r="AD31" i="1"/>
  <c r="AF23" i="1"/>
  <c r="AU31" i="1"/>
  <c r="AJ25" i="1"/>
  <c r="X26" i="1"/>
  <c r="AV27" i="1"/>
  <c r="AX29" i="1"/>
  <c r="AZ29" i="1" s="1"/>
  <c r="L8" i="1"/>
  <c r="AX11" i="1"/>
  <c r="B20" i="1"/>
  <c r="K20" i="1"/>
  <c r="M20" i="1" s="1"/>
  <c r="M11" i="1"/>
  <c r="AH20" i="1"/>
  <c r="AJ11" i="1"/>
  <c r="AG15" i="1"/>
  <c r="AW21" i="1"/>
  <c r="AV21" i="1"/>
  <c r="F31" i="1"/>
  <c r="H23" i="1"/>
  <c r="AE31" i="1"/>
  <c r="AG31" i="1" s="1"/>
  <c r="AG23" i="1"/>
  <c r="AW24" i="1"/>
  <c r="AV24" i="1"/>
  <c r="AC28" i="1"/>
  <c r="AB28" i="1"/>
  <c r="AL38" i="1"/>
  <c r="AN36" i="1"/>
  <c r="AO36" i="1"/>
  <c r="AX37" i="1"/>
  <c r="AZ37" i="1" s="1"/>
  <c r="D37" i="1"/>
  <c r="AX8" i="1"/>
  <c r="AZ8" i="1" s="1"/>
  <c r="X9" i="1"/>
  <c r="AX9" i="1"/>
  <c r="AZ9" i="1" s="1"/>
  <c r="C20" i="1"/>
  <c r="C43" i="1" s="1"/>
  <c r="E11" i="1"/>
  <c r="N20" i="1"/>
  <c r="P20" i="1" s="1"/>
  <c r="X11" i="1"/>
  <c r="AI20" i="1"/>
  <c r="AK11" i="1"/>
  <c r="AY11" i="1"/>
  <c r="BA11" i="1" s="1"/>
  <c r="H12" i="1"/>
  <c r="Q12" i="1"/>
  <c r="H13" i="1"/>
  <c r="AG13" i="1"/>
  <c r="AV13" i="1"/>
  <c r="I15" i="1"/>
  <c r="AJ15" i="1"/>
  <c r="P16" i="1"/>
  <c r="AF17" i="1"/>
  <c r="AJ19" i="1"/>
  <c r="AB21" i="1"/>
  <c r="G31" i="1"/>
  <c r="I31" i="1" s="1"/>
  <c r="I23" i="1"/>
  <c r="AW23" i="1"/>
  <c r="AB24" i="1"/>
  <c r="AZ24" i="1"/>
  <c r="M25" i="1"/>
  <c r="AY25" i="1"/>
  <c r="H26" i="1"/>
  <c r="AC27" i="1"/>
  <c r="AO30" i="1"/>
  <c r="AN30" i="1"/>
  <c r="R31" i="1"/>
  <c r="AM38" i="1"/>
  <c r="AO38" i="1" s="1"/>
  <c r="AY56" i="1"/>
  <c r="BA56" i="1" s="1"/>
  <c r="I56" i="1"/>
  <c r="H56" i="1"/>
  <c r="D13" i="1"/>
  <c r="AX13" i="1"/>
  <c r="AZ13" i="1" s="1"/>
  <c r="AT44" i="1"/>
  <c r="AJ9" i="1"/>
  <c r="E9" i="1"/>
  <c r="P9" i="1"/>
  <c r="AY9" i="1"/>
  <c r="D11" i="1"/>
  <c r="Y11" i="1"/>
  <c r="AL20" i="1"/>
  <c r="AN11" i="1"/>
  <c r="U13" i="1"/>
  <c r="AW14" i="1"/>
  <c r="AV14" i="1"/>
  <c r="L15" i="1"/>
  <c r="AY15" i="1"/>
  <c r="BA15" i="1" s="1"/>
  <c r="H17" i="1"/>
  <c r="AW18" i="1"/>
  <c r="AV18" i="1"/>
  <c r="V31" i="1"/>
  <c r="X23" i="1"/>
  <c r="T24" i="1"/>
  <c r="AB25" i="1"/>
  <c r="P28" i="1"/>
  <c r="AC30" i="1"/>
  <c r="AE35" i="1"/>
  <c r="AG35" i="1" s="1"/>
  <c r="AG34" i="1"/>
  <c r="AF34" i="1"/>
  <c r="AW35" i="1"/>
  <c r="AV35" i="1"/>
  <c r="M38" i="1"/>
  <c r="AD38" i="1"/>
  <c r="AF36" i="1"/>
  <c r="AG36" i="1"/>
  <c r="B38" i="1"/>
  <c r="S20" i="1"/>
  <c r="U20" i="1" s="1"/>
  <c r="U11" i="1"/>
  <c r="O31" i="1"/>
  <c r="Q23" i="1"/>
  <c r="T8" i="1"/>
  <c r="G43" i="1"/>
  <c r="Z20" i="1"/>
  <c r="AB11" i="1"/>
  <c r="X13" i="1"/>
  <c r="AZ14" i="1"/>
  <c r="AY17" i="1"/>
  <c r="I17" i="1"/>
  <c r="AZ18" i="1"/>
  <c r="AY19" i="1"/>
  <c r="BA19" i="1" s="1"/>
  <c r="AY21" i="1"/>
  <c r="BA21" i="1" s="1"/>
  <c r="AZ22" i="1"/>
  <c r="W31" i="1"/>
  <c r="Y31" i="1" s="1"/>
  <c r="Y23" i="1"/>
  <c r="AY24" i="1"/>
  <c r="BA24" i="1" s="1"/>
  <c r="AX25" i="1"/>
  <c r="AZ25" i="1" s="1"/>
  <c r="D25" i="1"/>
  <c r="H28" i="1"/>
  <c r="AX28" i="1"/>
  <c r="AZ28" i="1" s="1"/>
  <c r="AH31" i="1"/>
  <c r="AJ31" i="1" s="1"/>
  <c r="S35" i="1"/>
  <c r="U35" i="1" s="1"/>
  <c r="U34" i="1"/>
  <c r="AX36" i="1"/>
  <c r="AZ36" i="1" s="1"/>
  <c r="AG51" i="1"/>
  <c r="AF51" i="1"/>
  <c r="AW51" i="1"/>
  <c r="AV51" i="1"/>
  <c r="AJ27" i="1"/>
  <c r="E28" i="1"/>
  <c r="AY28" i="1"/>
  <c r="Y30" i="1"/>
  <c r="X30" i="1"/>
  <c r="AX40" i="1"/>
  <c r="AZ40" i="1" s="1"/>
  <c r="H40" i="1"/>
  <c r="E46" i="1"/>
  <c r="D46" i="1"/>
  <c r="Q46" i="1"/>
  <c r="AY46" i="1"/>
  <c r="BA46" i="1" s="1"/>
  <c r="M54" i="1"/>
  <c r="L54" i="1"/>
  <c r="AC54" i="1"/>
  <c r="AB54" i="1"/>
  <c r="AS54" i="1"/>
  <c r="AR54" i="1"/>
  <c r="P55" i="1"/>
  <c r="AX55" i="1"/>
  <c r="Q55" i="1"/>
  <c r="AN37" i="1"/>
  <c r="AX39" i="1"/>
  <c r="AZ39" i="1" s="1"/>
  <c r="H39" i="1"/>
  <c r="AX41" i="1"/>
  <c r="AZ41" i="1" s="1"/>
  <c r="AO52" i="1"/>
  <c r="AN52" i="1"/>
  <c r="AK59" i="1"/>
  <c r="AJ59" i="1"/>
  <c r="U66" i="1"/>
  <c r="T66" i="1"/>
  <c r="AX17" i="1"/>
  <c r="AZ17" i="1" s="1"/>
  <c r="AP43" i="1"/>
  <c r="AX23" i="1"/>
  <c r="AZ23" i="1" s="1"/>
  <c r="I28" i="1"/>
  <c r="AG28" i="1"/>
  <c r="AY30" i="1"/>
  <c r="E30" i="1"/>
  <c r="Q30" i="1"/>
  <c r="P30" i="1"/>
  <c r="F35" i="1"/>
  <c r="H35" i="1" s="1"/>
  <c r="H33" i="1"/>
  <c r="AI35" i="1"/>
  <c r="AK34" i="1"/>
  <c r="V38" i="1"/>
  <c r="X38" i="1" s="1"/>
  <c r="X36" i="1"/>
  <c r="AE38" i="1"/>
  <c r="AG38" i="1" s="1"/>
  <c r="AY37" i="1"/>
  <c r="E37" i="1"/>
  <c r="AB37" i="1"/>
  <c r="I39" i="1"/>
  <c r="AR47" i="1"/>
  <c r="AS47" i="1"/>
  <c r="AA71" i="1"/>
  <c r="AG55" i="1"/>
  <c r="AF55" i="1"/>
  <c r="U57" i="1"/>
  <c r="T57" i="1"/>
  <c r="D27" i="1"/>
  <c r="AY27" i="1"/>
  <c r="BA27" i="1" s="1"/>
  <c r="U28" i="1"/>
  <c r="T28" i="1"/>
  <c r="K35" i="1"/>
  <c r="M35" i="1" s="1"/>
  <c r="M34" i="1"/>
  <c r="W35" i="1"/>
  <c r="Y34" i="1"/>
  <c r="X34" i="1"/>
  <c r="N38" i="1"/>
  <c r="P36" i="1"/>
  <c r="W38" i="1"/>
  <c r="AQ38" i="1"/>
  <c r="AS38" i="1" s="1"/>
  <c r="AF37" i="1"/>
  <c r="AV39" i="1"/>
  <c r="AZ42" i="1"/>
  <c r="AR46" i="1"/>
  <c r="AS46" i="1"/>
  <c r="AR48" i="1"/>
  <c r="AS48" i="1"/>
  <c r="AY54" i="1"/>
  <c r="AQ31" i="1"/>
  <c r="AS31" i="1" s="1"/>
  <c r="AG30" i="1"/>
  <c r="AF30" i="1"/>
  <c r="F38" i="1"/>
  <c r="H36" i="1"/>
  <c r="Y57" i="1"/>
  <c r="X57" i="1"/>
  <c r="V43" i="1"/>
  <c r="AR17" i="1"/>
  <c r="C31" i="1"/>
  <c r="K31" i="1"/>
  <c r="S31" i="1"/>
  <c r="U31" i="1" s="1"/>
  <c r="AA31" i="1"/>
  <c r="AI31" i="1"/>
  <c r="AR23" i="1"/>
  <c r="Y28" i="1"/>
  <c r="AK28" i="1"/>
  <c r="AJ28" i="1"/>
  <c r="Y29" i="1"/>
  <c r="I30" i="1"/>
  <c r="H30" i="1"/>
  <c r="J31" i="1"/>
  <c r="L31" i="1" s="1"/>
  <c r="Z31" i="1"/>
  <c r="AB31" i="1" s="1"/>
  <c r="AR31" i="1"/>
  <c r="AX34" i="1"/>
  <c r="AZ34" i="1" s="1"/>
  <c r="AA35" i="1"/>
  <c r="AC35" i="1" s="1"/>
  <c r="AC34" i="1"/>
  <c r="AM35" i="1"/>
  <c r="AM43" i="1" s="1"/>
  <c r="AO34" i="1"/>
  <c r="AN34" i="1"/>
  <c r="AH35" i="1"/>
  <c r="AJ35" i="1" s="1"/>
  <c r="Q36" i="1"/>
  <c r="AI38" i="1"/>
  <c r="AK38" i="1" s="1"/>
  <c r="AR38" i="1"/>
  <c r="Y47" i="1"/>
  <c r="AY47" i="1"/>
  <c r="S60" i="1"/>
  <c r="T58" i="1"/>
  <c r="AY58" i="1"/>
  <c r="BA58" i="1" s="1"/>
  <c r="U58" i="1"/>
  <c r="Y70" i="1"/>
  <c r="AS23" i="1"/>
  <c r="Q29" i="1"/>
  <c r="AL35" i="1"/>
  <c r="AN35" i="1" s="1"/>
  <c r="AN33" i="1"/>
  <c r="AY34" i="1"/>
  <c r="C35" i="1"/>
  <c r="E34" i="1"/>
  <c r="O35" i="1"/>
  <c r="Q35" i="1" s="1"/>
  <c r="Q34" i="1"/>
  <c r="P34" i="1"/>
  <c r="I36" i="1"/>
  <c r="AA38" i="1"/>
  <c r="AC38" i="1" s="1"/>
  <c r="AU38" i="1"/>
  <c r="AW36" i="1"/>
  <c r="X37" i="1"/>
  <c r="AO39" i="1"/>
  <c r="AZ46" i="1"/>
  <c r="AZ48" i="1"/>
  <c r="H52" i="1"/>
  <c r="I52" i="1"/>
  <c r="AX52" i="1"/>
  <c r="AO53" i="1"/>
  <c r="AN53" i="1"/>
  <c r="Y55" i="1"/>
  <c r="AY55" i="1"/>
  <c r="BA55" i="1" s="1"/>
  <c r="AY57" i="1"/>
  <c r="AY59" i="1"/>
  <c r="BA59" i="1" s="1"/>
  <c r="R71" i="1"/>
  <c r="AQ60" i="1"/>
  <c r="AS60" i="1" s="1"/>
  <c r="AR58" i="1"/>
  <c r="N70" i="1"/>
  <c r="P70" i="1" s="1"/>
  <c r="P68" i="1"/>
  <c r="AB68" i="1"/>
  <c r="AA70" i="1"/>
  <c r="AC68" i="1"/>
  <c r="Q70" i="1"/>
  <c r="C75" i="1"/>
  <c r="E74" i="1"/>
  <c r="AY74" i="1"/>
  <c r="BA74" i="1" s="1"/>
  <c r="M47" i="1"/>
  <c r="L47" i="1"/>
  <c r="AK48" i="1"/>
  <c r="AJ48" i="1"/>
  <c r="AB51" i="1"/>
  <c r="AG52" i="1"/>
  <c r="AF52" i="1"/>
  <c r="I53" i="1"/>
  <c r="H53" i="1"/>
  <c r="U53" i="1"/>
  <c r="H54" i="1"/>
  <c r="AO57" i="1"/>
  <c r="AS58" i="1"/>
  <c r="AF60" i="1"/>
  <c r="AD70" i="1"/>
  <c r="AF70" i="1" s="1"/>
  <c r="AF68" i="1"/>
  <c r="AR68" i="1"/>
  <c r="AQ70" i="1"/>
  <c r="AS70" i="1" s="1"/>
  <c r="AS68" i="1"/>
  <c r="D74" i="1"/>
  <c r="M46" i="1"/>
  <c r="L46" i="1"/>
  <c r="AE71" i="1"/>
  <c r="Y53" i="1"/>
  <c r="X53" i="1"/>
  <c r="AX53" i="1"/>
  <c r="AO56" i="1"/>
  <c r="AN56" i="1"/>
  <c r="AF57" i="1"/>
  <c r="AX59" i="1"/>
  <c r="L59" i="1"/>
  <c r="X59" i="1"/>
  <c r="AN77" i="1"/>
  <c r="AL79" i="1"/>
  <c r="AY78" i="1"/>
  <c r="BA78" i="1" s="1"/>
  <c r="E78" i="1"/>
  <c r="D78" i="1"/>
  <c r="P33" i="1"/>
  <c r="AV34" i="1"/>
  <c r="N71" i="1"/>
  <c r="AF46" i="1"/>
  <c r="E47" i="1"/>
  <c r="D47" i="1"/>
  <c r="Q47" i="1"/>
  <c r="AX47" i="1"/>
  <c r="AZ47" i="1" s="1"/>
  <c r="M48" i="1"/>
  <c r="AY49" i="1"/>
  <c r="BA49" i="1" s="1"/>
  <c r="E49" i="1"/>
  <c r="D49" i="1"/>
  <c r="I51" i="1"/>
  <c r="AV52" i="1"/>
  <c r="M53" i="1"/>
  <c r="AN54" i="1"/>
  <c r="X55" i="1"/>
  <c r="AK55" i="1"/>
  <c r="AJ55" i="1"/>
  <c r="AX56" i="1"/>
  <c r="AC56" i="1"/>
  <c r="G60" i="1"/>
  <c r="I60" i="1" s="1"/>
  <c r="I58" i="1"/>
  <c r="M59" i="1"/>
  <c r="E69" i="1"/>
  <c r="AY69" i="1"/>
  <c r="AO77" i="1"/>
  <c r="AB78" i="1"/>
  <c r="AC78" i="1"/>
  <c r="O60" i="1"/>
  <c r="Q60" i="1" s="1"/>
  <c r="Q59" i="1"/>
  <c r="P59" i="1"/>
  <c r="D75" i="1"/>
  <c r="B80" i="1"/>
  <c r="T75" i="1"/>
  <c r="R80" i="1"/>
  <c r="AH80" i="1"/>
  <c r="AX75" i="1"/>
  <c r="AA79" i="1"/>
  <c r="AC79" i="1" s="1"/>
  <c r="AB77" i="1"/>
  <c r="AC77" i="1"/>
  <c r="P46" i="1"/>
  <c r="Y46" i="1"/>
  <c r="AK46" i="1"/>
  <c r="U47" i="1"/>
  <c r="T47" i="1"/>
  <c r="AO49" i="1"/>
  <c r="AN49" i="1"/>
  <c r="AY51" i="1"/>
  <c r="Q53" i="1"/>
  <c r="P53" i="1"/>
  <c r="H55" i="1"/>
  <c r="D57" i="1"/>
  <c r="M58" i="1"/>
  <c r="L58" i="1"/>
  <c r="K60" i="1"/>
  <c r="V60" i="1"/>
  <c r="AY63" i="1"/>
  <c r="I63" i="1"/>
  <c r="AL70" i="1"/>
  <c r="AN70" i="1" s="1"/>
  <c r="AN68" i="1"/>
  <c r="V80" i="1"/>
  <c r="AL80" i="1"/>
  <c r="AX77" i="1"/>
  <c r="P77" i="1"/>
  <c r="N79" i="1"/>
  <c r="AF77" i="1"/>
  <c r="AD79" i="1"/>
  <c r="Z71" i="1"/>
  <c r="AB71" i="1" s="1"/>
  <c r="AC46" i="1"/>
  <c r="E48" i="1"/>
  <c r="D48" i="1"/>
  <c r="AX50" i="1"/>
  <c r="AZ50" i="1" s="1"/>
  <c r="AJ50" i="1"/>
  <c r="AY52" i="1"/>
  <c r="BA52" i="1" s="1"/>
  <c r="AY53" i="1"/>
  <c r="BA53" i="1" s="1"/>
  <c r="E53" i="1"/>
  <c r="AS53" i="1"/>
  <c r="AR53" i="1"/>
  <c r="M56" i="1"/>
  <c r="L56" i="1"/>
  <c r="AX57" i="1"/>
  <c r="AZ57" i="1" s="1"/>
  <c r="D59" i="1"/>
  <c r="E59" i="1"/>
  <c r="C60" i="1"/>
  <c r="AW64" i="1"/>
  <c r="AV64" i="1"/>
  <c r="Z70" i="1"/>
  <c r="AB70" i="1" s="1"/>
  <c r="AB79" i="1"/>
  <c r="B71" i="1"/>
  <c r="J71" i="1"/>
  <c r="AV60" i="1"/>
  <c r="AT71" i="1"/>
  <c r="AV71" i="1" s="1"/>
  <c r="D68" i="1"/>
  <c r="AY68" i="1"/>
  <c r="BA68" i="1" s="1"/>
  <c r="C70" i="1"/>
  <c r="Q68" i="1"/>
  <c r="AR70" i="1"/>
  <c r="AC69" i="1"/>
  <c r="AS75" i="1"/>
  <c r="AQ80" i="1"/>
  <c r="AS80" i="1" s="1"/>
  <c r="H75" i="1"/>
  <c r="X75" i="1"/>
  <c r="AN75" i="1"/>
  <c r="C79" i="1"/>
  <c r="D77" i="1"/>
  <c r="AY77" i="1"/>
  <c r="BA77" i="1" s="1"/>
  <c r="Q77" i="1"/>
  <c r="AN78" i="1"/>
  <c r="AU71" i="1"/>
  <c r="AJ58" i="1"/>
  <c r="AI60" i="1"/>
  <c r="AK60" i="1" s="1"/>
  <c r="W60" i="1"/>
  <c r="Y60" i="1" s="1"/>
  <c r="AC63" i="1"/>
  <c r="AB63" i="1"/>
  <c r="AY64" i="1"/>
  <c r="AW65" i="1"/>
  <c r="AV65" i="1"/>
  <c r="M66" i="1"/>
  <c r="F70" i="1"/>
  <c r="H70" i="1" s="1"/>
  <c r="H68" i="1"/>
  <c r="T68" i="1"/>
  <c r="S70" i="1"/>
  <c r="U70" i="1" s="1"/>
  <c r="AG68" i="1"/>
  <c r="U69" i="1"/>
  <c r="AI75" i="1"/>
  <c r="AK74" i="1"/>
  <c r="L75" i="1"/>
  <c r="J80" i="1"/>
  <c r="Z80" i="1"/>
  <c r="AR75" i="1"/>
  <c r="AP80" i="1"/>
  <c r="H77" i="1"/>
  <c r="F79" i="1"/>
  <c r="H79" i="1" s="1"/>
  <c r="S79" i="1"/>
  <c r="U79" i="1" s="1"/>
  <c r="T77" i="1"/>
  <c r="AG77" i="1"/>
  <c r="AD71" i="1"/>
  <c r="AF71" i="1" s="1"/>
  <c r="AL71" i="1"/>
  <c r="AV46" i="1"/>
  <c r="AN60" i="1"/>
  <c r="L65" i="1"/>
  <c r="AJ66" i="1"/>
  <c r="AY66" i="1"/>
  <c r="AH70" i="1"/>
  <c r="AW68" i="1"/>
  <c r="AV68" i="1"/>
  <c r="L69" i="1"/>
  <c r="AR69" i="1"/>
  <c r="I70" i="1"/>
  <c r="AU70" i="1"/>
  <c r="AA75" i="1"/>
  <c r="AC74" i="1"/>
  <c r="AJ74" i="1"/>
  <c r="N80" i="1"/>
  <c r="AD80" i="1"/>
  <c r="I77" i="1"/>
  <c r="U77" i="1"/>
  <c r="AU79" i="1"/>
  <c r="AW79" i="1" s="1"/>
  <c r="AW77" i="1"/>
  <c r="AV79" i="1"/>
  <c r="AM71" i="1"/>
  <c r="AO71" i="1" s="1"/>
  <c r="F60" i="1"/>
  <c r="AB62" i="1"/>
  <c r="AY62" i="1"/>
  <c r="BA62" i="1" s="1"/>
  <c r="AY65" i="1"/>
  <c r="BA65" i="1" s="1"/>
  <c r="E65" i="1"/>
  <c r="AX66" i="1"/>
  <c r="AZ66" i="1" s="1"/>
  <c r="D66" i="1"/>
  <c r="V70" i="1"/>
  <c r="X70" i="1" s="1"/>
  <c r="X68" i="1"/>
  <c r="AJ68" i="1"/>
  <c r="AI70" i="1"/>
  <c r="AK70" i="1" s="1"/>
  <c r="AG70" i="1"/>
  <c r="S75" i="1"/>
  <c r="U74" i="1"/>
  <c r="P75" i="1"/>
  <c r="AF75" i="1"/>
  <c r="AU80" i="1"/>
  <c r="AW80" i="1" s="1"/>
  <c r="AV75" i="1"/>
  <c r="X77" i="1"/>
  <c r="V79" i="1"/>
  <c r="AI79" i="1"/>
  <c r="AJ77" i="1"/>
  <c r="AX61" i="1"/>
  <c r="AZ61" i="1" s="1"/>
  <c r="AX63" i="1"/>
  <c r="AZ63" i="1" s="1"/>
  <c r="T63" i="1"/>
  <c r="AC64" i="1"/>
  <c r="AB64" i="1"/>
  <c r="L68" i="1"/>
  <c r="K70" i="1"/>
  <c r="M70" i="1" s="1"/>
  <c r="AX69" i="1"/>
  <c r="AZ69" i="1" s="1"/>
  <c r="D69" i="1"/>
  <c r="AJ69" i="1"/>
  <c r="AZ74" i="1"/>
  <c r="K75" i="1"/>
  <c r="M74" i="1"/>
  <c r="K79" i="1"/>
  <c r="L77" i="1"/>
  <c r="AN63" i="1"/>
  <c r="H64" i="1"/>
  <c r="AN64" i="1"/>
  <c r="AV66" i="1"/>
  <c r="B70" i="1"/>
  <c r="AV74" i="1"/>
  <c r="G79" i="1"/>
  <c r="O79" i="1"/>
  <c r="Q79" i="1" s="1"/>
  <c r="W79" i="1"/>
  <c r="Y79" i="1" s="1"/>
  <c r="AE79" i="1"/>
  <c r="AG79" i="1" s="1"/>
  <c r="AM79" i="1"/>
  <c r="AO79" i="1" s="1"/>
  <c r="H62" i="1"/>
  <c r="P62" i="1"/>
  <c r="X62" i="1"/>
  <c r="I64" i="1"/>
  <c r="AF65" i="1"/>
  <c r="AN65" i="1"/>
  <c r="AX65" i="1"/>
  <c r="X78" i="1"/>
  <c r="AU44" i="1" l="1"/>
  <c r="AW43" i="1"/>
  <c r="AV43" i="1"/>
  <c r="AM44" i="1"/>
  <c r="C44" i="1"/>
  <c r="BA51" i="1"/>
  <c r="AZ51" i="1"/>
  <c r="AH43" i="1"/>
  <c r="AJ20" i="1"/>
  <c r="AF80" i="1"/>
  <c r="P60" i="1"/>
  <c r="G71" i="1"/>
  <c r="F80" i="1"/>
  <c r="AX80" i="1"/>
  <c r="AZ56" i="1"/>
  <c r="AN79" i="1"/>
  <c r="AC70" i="1"/>
  <c r="T79" i="1"/>
  <c r="AZ52" i="1"/>
  <c r="AV38" i="1"/>
  <c r="AW38" i="1"/>
  <c r="BA34" i="1"/>
  <c r="AQ71" i="1"/>
  <c r="BA30" i="1"/>
  <c r="BA29" i="1"/>
  <c r="BA9" i="1"/>
  <c r="T31" i="1"/>
  <c r="I35" i="1"/>
  <c r="Q20" i="1"/>
  <c r="X60" i="1"/>
  <c r="AC71" i="1"/>
  <c r="AZ15" i="1"/>
  <c r="AZ65" i="1"/>
  <c r="H60" i="1"/>
  <c r="AX60" i="1"/>
  <c r="AW71" i="1"/>
  <c r="AM80" i="1"/>
  <c r="AO80" i="1" s="1"/>
  <c r="D71" i="1"/>
  <c r="AF79" i="1"/>
  <c r="W71" i="1"/>
  <c r="AZ53" i="1"/>
  <c r="V44" i="1"/>
  <c r="W43" i="1"/>
  <c r="T70" i="1"/>
  <c r="AB20" i="1"/>
  <c r="AA43" i="1"/>
  <c r="AT72" i="1"/>
  <c r="AV44" i="1"/>
  <c r="AN38" i="1"/>
  <c r="L20" i="1"/>
  <c r="AZ19" i="1"/>
  <c r="T20" i="1"/>
  <c r="AF35" i="1"/>
  <c r="AY60" i="1"/>
  <c r="BA60" i="1" s="1"/>
  <c r="E60" i="1"/>
  <c r="D60" i="1"/>
  <c r="AY31" i="1"/>
  <c r="E31" i="1"/>
  <c r="M60" i="1"/>
  <c r="L60" i="1"/>
  <c r="K71" i="1"/>
  <c r="M71" i="1" s="1"/>
  <c r="Q31" i="1"/>
  <c r="AK75" i="1"/>
  <c r="AI80" i="1"/>
  <c r="AK80" i="1" s="1"/>
  <c r="AN71" i="1"/>
  <c r="AR80" i="1"/>
  <c r="AX79" i="1"/>
  <c r="AZ79" i="1" s="1"/>
  <c r="AO70" i="1"/>
  <c r="BA69" i="1"/>
  <c r="AJ60" i="1"/>
  <c r="AZ58" i="1"/>
  <c r="AK31" i="1"/>
  <c r="AZ78" i="1"/>
  <c r="X35" i="1"/>
  <c r="Y35" i="1"/>
  <c r="N43" i="1"/>
  <c r="AK35" i="1"/>
  <c r="F43" i="1"/>
  <c r="D38" i="1"/>
  <c r="AX38" i="1"/>
  <c r="AK20" i="1"/>
  <c r="H31" i="1"/>
  <c r="D20" i="1"/>
  <c r="AX20" i="1"/>
  <c r="AZ49" i="1"/>
  <c r="D35" i="1"/>
  <c r="AX35" i="1"/>
  <c r="B43" i="1"/>
  <c r="E43" i="1" s="1"/>
  <c r="AN80" i="1"/>
  <c r="E20" i="1"/>
  <c r="AY20" i="1"/>
  <c r="BA20" i="1" s="1"/>
  <c r="AI43" i="1"/>
  <c r="AD43" i="1"/>
  <c r="AF20" i="1"/>
  <c r="I79" i="1"/>
  <c r="X79" i="1"/>
  <c r="AJ70" i="1"/>
  <c r="AZ64" i="1"/>
  <c r="BA64" i="1"/>
  <c r="W80" i="1"/>
  <c r="Y80" i="1" s="1"/>
  <c r="AY70" i="1"/>
  <c r="E70" i="1"/>
  <c r="P79" i="1"/>
  <c r="AZ62" i="1"/>
  <c r="BA57" i="1"/>
  <c r="U60" i="1"/>
  <c r="T60" i="1"/>
  <c r="AC31" i="1"/>
  <c r="BA54" i="1"/>
  <c r="AZ54" i="1"/>
  <c r="AZ55" i="1"/>
  <c r="I43" i="1"/>
  <c r="G44" i="1"/>
  <c r="X31" i="1"/>
  <c r="O43" i="1"/>
  <c r="AZ11" i="1"/>
  <c r="AV31" i="1"/>
  <c r="AW31" i="1"/>
  <c r="BA23" i="1"/>
  <c r="AJ38" i="1"/>
  <c r="AZ12" i="1"/>
  <c r="AX31" i="1"/>
  <c r="AZ31" i="1" s="1"/>
  <c r="T80" i="1"/>
  <c r="AW20" i="1"/>
  <c r="AV20" i="1"/>
  <c r="S43" i="1"/>
  <c r="AY79" i="1"/>
  <c r="E79" i="1"/>
  <c r="D79" i="1"/>
  <c r="F71" i="1"/>
  <c r="H71" i="1" s="1"/>
  <c r="I38" i="1"/>
  <c r="H38" i="1"/>
  <c r="AE80" i="1"/>
  <c r="AG80" i="1" s="1"/>
  <c r="AJ79" i="1"/>
  <c r="AK79" i="1"/>
  <c r="L70" i="1"/>
  <c r="M79" i="1"/>
  <c r="L79" i="1"/>
  <c r="U75" i="1"/>
  <c r="S80" i="1"/>
  <c r="U80" i="1" s="1"/>
  <c r="AC75" i="1"/>
  <c r="AA80" i="1"/>
  <c r="AC80" i="1" s="1"/>
  <c r="V71" i="1"/>
  <c r="X71" i="1" s="1"/>
  <c r="BA63" i="1"/>
  <c r="AH71" i="1"/>
  <c r="AJ71" i="1" s="1"/>
  <c r="AJ80" i="1"/>
  <c r="AG71" i="1"/>
  <c r="AZ68" i="1"/>
  <c r="BA47" i="1"/>
  <c r="AO35" i="1"/>
  <c r="AR43" i="1"/>
  <c r="AP44" i="1"/>
  <c r="S71" i="1"/>
  <c r="U71" i="1" s="1"/>
  <c r="R43" i="1"/>
  <c r="T35" i="1"/>
  <c r="AZ21" i="1"/>
  <c r="K43" i="1"/>
  <c r="AY43" i="1" s="1"/>
  <c r="AZ27" i="1"/>
  <c r="BA13" i="1"/>
  <c r="J43" i="1"/>
  <c r="AO31" i="1"/>
  <c r="AE43" i="1"/>
  <c r="E38" i="1"/>
  <c r="D31" i="1"/>
  <c r="C71" i="1"/>
  <c r="AB35" i="1"/>
  <c r="AY35" i="1"/>
  <c r="BA35" i="1" s="1"/>
  <c r="E35" i="1"/>
  <c r="Q38" i="1"/>
  <c r="P38" i="1"/>
  <c r="BA26" i="1"/>
  <c r="AZ26" i="1"/>
  <c r="O80" i="1"/>
  <c r="Q80" i="1" s="1"/>
  <c r="BA66" i="1"/>
  <c r="AB80" i="1"/>
  <c r="D70" i="1"/>
  <c r="AX70" i="1"/>
  <c r="AZ70" i="1" s="1"/>
  <c r="M75" i="1"/>
  <c r="K80" i="1"/>
  <c r="M80" i="1" s="1"/>
  <c r="AW70" i="1"/>
  <c r="AV70" i="1"/>
  <c r="AB75" i="1"/>
  <c r="G80" i="1"/>
  <c r="I80" i="1" s="1"/>
  <c r="AI71" i="1"/>
  <c r="AZ77" i="1"/>
  <c r="AR60" i="1"/>
  <c r="AJ75" i="1"/>
  <c r="AZ59" i="1"/>
  <c r="E75" i="1"/>
  <c r="C80" i="1"/>
  <c r="D80" i="1" s="1"/>
  <c r="AY75" i="1"/>
  <c r="BA75" i="1" s="1"/>
  <c r="AV80" i="1"/>
  <c r="M31" i="1"/>
  <c r="BA39" i="1"/>
  <c r="Y38" i="1"/>
  <c r="BA37" i="1"/>
  <c r="O71" i="1"/>
  <c r="Q71" i="1" s="1"/>
  <c r="BA28" i="1"/>
  <c r="BA17" i="1"/>
  <c r="AF38" i="1"/>
  <c r="P35" i="1"/>
  <c r="AL43" i="1"/>
  <c r="AO43" i="1" s="1"/>
  <c r="AN20" i="1"/>
  <c r="Z43" i="1"/>
  <c r="BA25" i="1"/>
  <c r="BA36" i="1"/>
  <c r="AF31" i="1"/>
  <c r="AB38" i="1"/>
  <c r="AS20" i="1"/>
  <c r="AR20" i="1"/>
  <c r="AY38" i="1"/>
  <c r="BA38" i="1" s="1"/>
  <c r="AQ43" i="1"/>
  <c r="AG20" i="1"/>
  <c r="Q43" i="1" l="1"/>
  <c r="O44" i="1"/>
  <c r="AK43" i="1"/>
  <c r="AI44" i="1"/>
  <c r="AZ20" i="1"/>
  <c r="N44" i="1"/>
  <c r="P43" i="1"/>
  <c r="AT81" i="1"/>
  <c r="Y71" i="1"/>
  <c r="L71" i="1"/>
  <c r="L80" i="1"/>
  <c r="AC43" i="1"/>
  <c r="AA44" i="1"/>
  <c r="AG43" i="1"/>
  <c r="AE44" i="1"/>
  <c r="G72" i="1"/>
  <c r="J44" i="1"/>
  <c r="L43" i="1"/>
  <c r="AX71" i="1"/>
  <c r="X80" i="1"/>
  <c r="AS71" i="1"/>
  <c r="AR71" i="1"/>
  <c r="AM72" i="1"/>
  <c r="BA79" i="1"/>
  <c r="AZ75" i="1"/>
  <c r="AX43" i="1"/>
  <c r="AZ43" i="1" s="1"/>
  <c r="D43" i="1"/>
  <c r="B44" i="1"/>
  <c r="E44" i="1" s="1"/>
  <c r="AZ38" i="1"/>
  <c r="Y43" i="1"/>
  <c r="W44" i="1"/>
  <c r="AZ80" i="1"/>
  <c r="AJ43" i="1"/>
  <c r="AH44" i="1"/>
  <c r="R44" i="1"/>
  <c r="T43" i="1"/>
  <c r="AK71" i="1"/>
  <c r="AZ35" i="1"/>
  <c r="BA31" i="1"/>
  <c r="X43" i="1"/>
  <c r="T71" i="1"/>
  <c r="AL44" i="1"/>
  <c r="AN43" i="1"/>
  <c r="C72" i="1"/>
  <c r="AP72" i="1"/>
  <c r="U43" i="1"/>
  <c r="S44" i="1"/>
  <c r="E71" i="1"/>
  <c r="AY71" i="1"/>
  <c r="BA71" i="1" s="1"/>
  <c r="M43" i="1"/>
  <c r="K44" i="1"/>
  <c r="F44" i="1"/>
  <c r="I44" i="1" s="1"/>
  <c r="H43" i="1"/>
  <c r="V72" i="1"/>
  <c r="X44" i="1"/>
  <c r="AZ60" i="1"/>
  <c r="H80" i="1"/>
  <c r="E80" i="1"/>
  <c r="AY80" i="1"/>
  <c r="BA80" i="1" s="1"/>
  <c r="AS43" i="1"/>
  <c r="AQ44" i="1"/>
  <c r="AR44" i="1" s="1"/>
  <c r="Z44" i="1"/>
  <c r="AB43" i="1"/>
  <c r="BA70" i="1"/>
  <c r="AD44" i="1"/>
  <c r="AF43" i="1"/>
  <c r="P71" i="1"/>
  <c r="P80" i="1"/>
  <c r="I71" i="1"/>
  <c r="AW44" i="1"/>
  <c r="AU72" i="1"/>
  <c r="C81" i="1" l="1"/>
  <c r="AD72" i="1"/>
  <c r="AF44" i="1"/>
  <c r="AU81" i="1"/>
  <c r="AW81" i="1" s="1"/>
  <c r="AW72" i="1"/>
  <c r="S72" i="1"/>
  <c r="U44" i="1"/>
  <c r="AI72" i="1"/>
  <c r="AK44" i="1"/>
  <c r="R72" i="1"/>
  <c r="T44" i="1"/>
  <c r="N72" i="1"/>
  <c r="P44" i="1"/>
  <c r="AH72" i="1"/>
  <c r="AJ44" i="1"/>
  <c r="J72" i="1"/>
  <c r="L44" i="1"/>
  <c r="Q44" i="1"/>
  <c r="O72" i="1"/>
  <c r="AA72" i="1"/>
  <c r="AC44" i="1"/>
  <c r="AL72" i="1"/>
  <c r="AN44" i="1"/>
  <c r="Z72" i="1"/>
  <c r="AB44" i="1"/>
  <c r="AP81" i="1"/>
  <c r="AR72" i="1"/>
  <c r="Y44" i="1"/>
  <c r="W72" i="1"/>
  <c r="AO44" i="1"/>
  <c r="G81" i="1"/>
  <c r="AV72" i="1"/>
  <c r="B72" i="1"/>
  <c r="E72" i="1" s="1"/>
  <c r="D44" i="1"/>
  <c r="AX44" i="1"/>
  <c r="AZ44" i="1" s="1"/>
  <c r="AZ71" i="1"/>
  <c r="V81" i="1"/>
  <c r="AQ72" i="1"/>
  <c r="AS44" i="1"/>
  <c r="F72" i="1"/>
  <c r="H44" i="1"/>
  <c r="AM81" i="1"/>
  <c r="K72" i="1"/>
  <c r="M44" i="1"/>
  <c r="AY44" i="1"/>
  <c r="AE72" i="1"/>
  <c r="AG44" i="1"/>
  <c r="BA43" i="1"/>
  <c r="AH81" i="1" l="1"/>
  <c r="AJ72" i="1"/>
  <c r="W81" i="1"/>
  <c r="Y81" i="1" s="1"/>
  <c r="Y72" i="1"/>
  <c r="AA81" i="1"/>
  <c r="AC81" i="1" s="1"/>
  <c r="AC72" i="1"/>
  <c r="AL81" i="1"/>
  <c r="AN81" i="1" s="1"/>
  <c r="AN72" i="1"/>
  <c r="AO72" i="1"/>
  <c r="N81" i="1"/>
  <c r="P81" i="1" s="1"/>
  <c r="P72" i="1"/>
  <c r="S81" i="1"/>
  <c r="U72" i="1"/>
  <c r="AV81" i="1"/>
  <c r="O81" i="1"/>
  <c r="Q72" i="1"/>
  <c r="F81" i="1"/>
  <c r="H81" i="1" s="1"/>
  <c r="H72" i="1"/>
  <c r="B81" i="1"/>
  <c r="D72" i="1"/>
  <c r="AX72" i="1"/>
  <c r="AZ72" i="1" s="1"/>
  <c r="R81" i="1"/>
  <c r="T81" i="1" s="1"/>
  <c r="T72" i="1"/>
  <c r="AE81" i="1"/>
  <c r="AG81" i="1" s="1"/>
  <c r="AG72" i="1"/>
  <c r="Z81" i="1"/>
  <c r="AB72" i="1"/>
  <c r="K81" i="1"/>
  <c r="M72" i="1"/>
  <c r="AR81" i="1"/>
  <c r="AD81" i="1"/>
  <c r="AF72" i="1"/>
  <c r="BA44" i="1"/>
  <c r="AQ81" i="1"/>
  <c r="AS81" i="1" s="1"/>
  <c r="AS72" i="1"/>
  <c r="I72" i="1"/>
  <c r="J81" i="1"/>
  <c r="L81" i="1" s="1"/>
  <c r="L72" i="1"/>
  <c r="AI81" i="1"/>
  <c r="AK81" i="1" s="1"/>
  <c r="AK72" i="1"/>
  <c r="AY72" i="1"/>
  <c r="X72" i="1"/>
  <c r="I81" i="1"/>
  <c r="AY81" i="1"/>
  <c r="E81" i="1"/>
  <c r="AX81" i="1" l="1"/>
  <c r="AZ81" i="1" s="1"/>
  <c r="D81" i="1"/>
  <c r="M81" i="1"/>
  <c r="BA72" i="1"/>
  <c r="X81" i="1"/>
  <c r="U81" i="1"/>
  <c r="AB81" i="1"/>
  <c r="AF81" i="1"/>
  <c r="Q81" i="1"/>
  <c r="AO81" i="1"/>
  <c r="AJ81" i="1"/>
  <c r="BA81" i="1" l="1"/>
</calcChain>
</file>

<file path=xl/sharedStrings.xml><?xml version="1.0" encoding="utf-8"?>
<sst xmlns="http://schemas.openxmlformats.org/spreadsheetml/2006/main" count="144" uniqueCount="96">
  <si>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</si>
  <si>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</si>
  <si>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</si>
  <si>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</si>
  <si>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</si>
  <si>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</si>
  <si>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</si>
  <si>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</si>
  <si>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</si>
  <si>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</si>
  <si>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</si>
  <si>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</si>
  <si>
    <t>Total</t>
  </si>
  <si>
    <t>Actual</t>
  </si>
  <si>
    <t>Budget</t>
  </si>
  <si>
    <t>over Budget</t>
  </si>
  <si>
    <t>% of Budget</t>
  </si>
  <si>
    <t>Income</t>
  </si>
  <si>
    <t xml:space="preserve">   111.05 Grant Revenue NF Project</t>
  </si>
  <si>
    <t xml:space="preserve">   319.00 Account Set-Up</t>
  </si>
  <si>
    <t xml:space="preserve">   501.00 Residential 3/4"</t>
  </si>
  <si>
    <t xml:space="preserve">      501.05 Azalea</t>
  </si>
  <si>
    <t xml:space="preserve">      501.10 Forks Placer Mine Road</t>
  </si>
  <si>
    <t xml:space="preserve">      501.15 Gasquet Flat Road</t>
  </si>
  <si>
    <t xml:space="preserve">      501.20 Hwy 199</t>
  </si>
  <si>
    <t xml:space="preserve">      501.25 Middle Fork Road</t>
  </si>
  <si>
    <t xml:space="preserve">      501.30 North Fork Road</t>
  </si>
  <si>
    <t xml:space="preserve">      501.35 Res 1" All Areas</t>
  </si>
  <si>
    <t xml:space="preserve">      501.40 Sierra Woods, Valley View</t>
  </si>
  <si>
    <t xml:space="preserve">      501.45 Toad, Stagecoach, Humbd, Fireho</t>
  </si>
  <si>
    <t xml:space="preserve">   Total 501.00 Residential 3/4"</t>
  </si>
  <si>
    <t xml:space="preserve">   501.50 NF Loop/Stony Creek</t>
  </si>
  <si>
    <t xml:space="preserve">   502.00 Multiple Family</t>
  </si>
  <si>
    <t xml:space="preserve">      502.05 Riverwood Mobile Home Park</t>
  </si>
  <si>
    <t xml:space="preserve">      502.10 Village of Gasquet Mobile Home</t>
  </si>
  <si>
    <t xml:space="preserve">      502.15 Golden Horse</t>
  </si>
  <si>
    <t xml:space="preserve">      502.20 Gasquet Mobile Home Park</t>
  </si>
  <si>
    <t xml:space="preserve">      502.25 Gasquet Mobile Home Park II</t>
  </si>
  <si>
    <t xml:space="preserve">      502.30 MF Forest Dept</t>
  </si>
  <si>
    <t xml:space="preserve">      502.35 Valhalla Apartments</t>
  </si>
  <si>
    <t xml:space="preserve">      502.45 Shady Bend Mobile Home Park</t>
  </si>
  <si>
    <t xml:space="preserve">   Total 502.00 Multiple Family</t>
  </si>
  <si>
    <t xml:space="preserve">   503.00 Commercial</t>
  </si>
  <si>
    <t xml:space="preserve">      503.10 3/4" All Areas</t>
  </si>
  <si>
    <t xml:space="preserve">      503.16 2"  All Areas</t>
  </si>
  <si>
    <t xml:space="preserve">   Total 503.00 Commercial</t>
  </si>
  <si>
    <t xml:space="preserve">   504.00 Service Charge - Residential</t>
  </si>
  <si>
    <t xml:space="preserve">      504.10 Late Charges</t>
  </si>
  <si>
    <t xml:space="preserve">   Total 504.00 Service Charge - Residential</t>
  </si>
  <si>
    <t xml:space="preserve">   506.00 Commercial - Service Charge</t>
  </si>
  <si>
    <t xml:space="preserve">   514.00 Connection Installation</t>
  </si>
  <si>
    <t xml:space="preserve">   517.00 Misc Income</t>
  </si>
  <si>
    <t xml:space="preserve">   Chargeback Item Fee</t>
  </si>
  <si>
    <t>Total Income</t>
  </si>
  <si>
    <t>Gross Profit</t>
  </si>
  <si>
    <t>Expenses</t>
  </si>
  <si>
    <t xml:space="preserve">   704.00 Director Fees</t>
  </si>
  <si>
    <t xml:space="preserve">   744.00 Professional Fees</t>
  </si>
  <si>
    <t xml:space="preserve">   756.00 Bank Service Charges</t>
  </si>
  <si>
    <t xml:space="preserve">   772.00 Membership Dues &amp; Subscriptions</t>
  </si>
  <si>
    <t xml:space="preserve">   773 Monthly Technology Reimbursement</t>
  </si>
  <si>
    <t xml:space="preserve">   780.00 Education-seminar,courses,manua</t>
  </si>
  <si>
    <t xml:space="preserve">   806.00 Insurance</t>
  </si>
  <si>
    <t xml:space="preserve">   807.00 Workman's Compensation</t>
  </si>
  <si>
    <t xml:space="preserve">   840.00 Contract services</t>
  </si>
  <si>
    <t xml:space="preserve">   845.00 Office Supplies</t>
  </si>
  <si>
    <t xml:space="preserve">   846.00 Postage</t>
  </si>
  <si>
    <t xml:space="preserve">   847.00 Computer Software &amp; Supplies</t>
  </si>
  <si>
    <t xml:space="preserve">   850.00 Scheduled Maintenance</t>
  </si>
  <si>
    <t xml:space="preserve">      850.95 Security</t>
  </si>
  <si>
    <t xml:space="preserve">   Total 850.00 Scheduled Maintenance</t>
  </si>
  <si>
    <t xml:space="preserve">   852.00 Construction Costs</t>
  </si>
  <si>
    <t xml:space="preserve">   864.00 Supplies-Plant</t>
  </si>
  <si>
    <t xml:space="preserve">   870.00 Tax &amp; Licenses</t>
  </si>
  <si>
    <t xml:space="preserve">   873.00 Travel</t>
  </si>
  <si>
    <t xml:space="preserve">   874.00 Telephone</t>
  </si>
  <si>
    <t xml:space="preserve">   880.00 Utilities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</si>
  <si>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</si>
  <si>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</si>
  <si>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</si>
  <si>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</si>
  <si>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>Total Expenses</t>
  </si>
  <si>
    <t>Net Operating Income</t>
  </si>
  <si>
    <t>Other Income</t>
  </si>
  <si>
    <t xml:space="preserve">   960.00 Interest Earned</t>
  </si>
  <si>
    <t>Total Other Income</t>
  </si>
  <si>
    <t>Other Expenses</t>
  </si>
  <si>
    <t xml:space="preserve">   773.00 Depreciation</t>
  </si>
  <si>
    <t xml:space="preserve">   Interest</t>
  </si>
  <si>
    <t>Total Other Expenses</t>
  </si>
  <si>
    <t>Net Other Income</t>
  </si>
  <si>
    <t>Net Income</t>
  </si>
  <si>
    <t>Monday, May 04, 2026 04:36:13 PM GMT-7 - Accrual Basis</t>
  </si>
  <si>
    <t>GASQUET COMMUNITY SERVICES DISTRICT</t>
  </si>
  <si>
    <t xml:space="preserve">Budget vs. Actuals: Budget_FY26_P&amp;L - FY26 P&amp;L </t>
  </si>
  <si>
    <t>July 2025 -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</si>
</sst>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5"/>
  <sheetViews>
    <sheetView tabSelected="1" workbookViewId="0">
      <selection sqref="A1:BA1"/>
    </sheetView>
  </sheetViews>
  <sheetFormatPr defaultRowHeight="14.4" x14ac:dyDescent="0.3"/>
  <cols>
    <col min="1" max="1" width="38.6640625" customWidth="1"/>
    <col min="2" max="5" width="10.33203125" customWidth="1"/>
    <col min="6" max="6" width="12" customWidth="1"/>
    <col min="7" max="7" width="10.33203125" customWidth="1"/>
    <col min="8" max="8" width="12" customWidth="1"/>
    <col min="9" max="9" width="9.44140625" customWidth="1"/>
    <col min="10" max="12" width="10.33203125" customWidth="1"/>
    <col min="13" max="13" width="9.44140625" customWidth="1"/>
    <col min="14" max="16" width="10.33203125" customWidth="1"/>
    <col min="17" max="17" width="9.44140625" customWidth="1"/>
    <col min="18" max="21" width="10.33203125" customWidth="1"/>
    <col min="22" max="22" width="11.21875" customWidth="1"/>
    <col min="23" max="23" width="10.33203125" customWidth="1"/>
    <col min="24" max="24" width="11.21875" customWidth="1"/>
    <col min="25" max="25" width="8.5546875" customWidth="1"/>
    <col min="26" max="32" width="10.33203125" customWidth="1"/>
    <col min="33" max="33" width="7.77734375" customWidth="1"/>
    <col min="34" max="35" width="10.33203125" customWidth="1"/>
    <col min="36" max="36" width="11.21875" customWidth="1"/>
    <col min="37" max="37" width="7.77734375" customWidth="1"/>
    <col min="38" max="38" width="11.21875" customWidth="1"/>
    <col min="39" max="39" width="10.33203125" customWidth="1"/>
    <col min="40" max="40" width="11.21875" customWidth="1"/>
    <col min="41" max="41" width="7.77734375" customWidth="1"/>
    <col min="42" max="43" width="10.33203125" customWidth="1"/>
    <col min="44" max="44" width="11.21875" customWidth="1"/>
    <col min="45" max="46" width="7.77734375" customWidth="1"/>
    <col min="47" max="47" width="10.33203125" customWidth="1"/>
    <col min="48" max="48" width="11.21875" customWidth="1"/>
    <col min="49" max="49" width="7.77734375" customWidth="1"/>
    <col min="50" max="52" width="12" customWidth="1"/>
    <col min="53" max="53" width="8.5546875" customWidth="1"/>
  </cols>
  <sheetData>
    <row r="1" spans="1:53" ht="17.399999999999999" x14ac:dyDescent="0.3">
      <c r="A1" s="15" t="s">
        <v>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</row>
    <row r="2" spans="1:53" ht="17.399999999999999" x14ac:dyDescent="0.3">
      <c r="A2" s="15" t="s">
        <v>94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x14ac:dyDescent="0.3">
      <c r="A3" s="16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</row>
    <row r="5" spans="1:53" x14ac:dyDescent="0.3">
      <c r="A5" s="1"/>
      <c r="B5" s="11" t="s">
        <v>0</v>
      </c>
      <c r="C5" s="12"/>
      <c r="D5" s="12"/>
      <c r="E5" s="12"/>
      <c r="F5" s="11" t="s">
        <v>1</v>
      </c>
      <c r="G5" s="12"/>
      <c r="H5" s="12"/>
      <c r="I5" s="12"/>
      <c r="J5" s="11" t="s">
        <v>2</v>
      </c>
      <c r="K5" s="12"/>
      <c r="L5" s="12"/>
      <c r="M5" s="12"/>
      <c r="N5" s="11" t="s">
        <v>3</v>
      </c>
      <c r="O5" s="12"/>
      <c r="P5" s="12"/>
      <c r="Q5" s="12"/>
      <c r="R5" s="11" t="s">
        <v>4</v>
      </c>
      <c r="S5" s="12"/>
      <c r="T5" s="12"/>
      <c r="U5" s="12"/>
      <c r="V5" s="11" t="s">
        <v>5</v>
      </c>
      <c r="W5" s="12"/>
      <c r="X5" s="12"/>
      <c r="Y5" s="12"/>
      <c r="Z5" s="11" t="s">
        <v>6</v>
      </c>
      <c r="AA5" s="12"/>
      <c r="AB5" s="12"/>
      <c r="AC5" s="12"/>
      <c r="AD5" s="11" t="s">
        <v>7</v>
      </c>
      <c r="AE5" s="12"/>
      <c r="AF5" s="12"/>
      <c r="AG5" s="12"/>
      <c r="AH5" s="11" t="s">
        <v>8</v>
      </c>
      <c r="AI5" s="12"/>
      <c r="AJ5" s="12"/>
      <c r="AK5" s="12"/>
      <c r="AL5" s="11" t="s">
        <v>9</v>
      </c>
      <c r="AM5" s="12"/>
      <c r="AN5" s="12"/>
      <c r="AO5" s="12"/>
      <c r="AP5" s="11" t="s">
        <v>10</v>
      </c>
      <c r="AQ5" s="12"/>
      <c r="AR5" s="12"/>
      <c r="AS5" s="12"/>
      <c r="AT5" s="11" t="s">
        <v>11</v>
      </c>
      <c r="AU5" s="12"/>
      <c r="AV5" s="12"/>
      <c r="AW5" s="12"/>
      <c r="AX5" s="11" t="s">
        <v>12</v>
      </c>
      <c r="AY5" s="12"/>
      <c r="AZ5" s="12"/>
      <c r="BA5" s="12"/>
    </row>
    <row r="6" spans="1:53" ht="24.6" x14ac:dyDescent="0.3">
      <c r="A6" s="1"/>
      <c r="B6" s="2" t="s">
        <v>13</v>
      </c>
      <c r="C6" s="2" t="s">
        <v>14</v>
      </c>
      <c r="D6" s="2" t="s">
        <v>15</v>
      </c>
      <c r="E6" s="2" t="s">
        <v>16</v>
      </c>
      <c r="F6" s="2" t="s">
        <v>13</v>
      </c>
      <c r="G6" s="2" t="s">
        <v>14</v>
      </c>
      <c r="H6" s="2" t="s">
        <v>15</v>
      </c>
      <c r="I6" s="2" t="s">
        <v>16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13</v>
      </c>
      <c r="S6" s="2" t="s">
        <v>14</v>
      </c>
      <c r="T6" s="2" t="s">
        <v>15</v>
      </c>
      <c r="U6" s="2" t="s">
        <v>16</v>
      </c>
      <c r="V6" s="2" t="s">
        <v>13</v>
      </c>
      <c r="W6" s="2" t="s">
        <v>14</v>
      </c>
      <c r="X6" s="2" t="s">
        <v>15</v>
      </c>
      <c r="Y6" s="2" t="s">
        <v>16</v>
      </c>
      <c r="Z6" s="2" t="s">
        <v>13</v>
      </c>
      <c r="AA6" s="2" t="s">
        <v>14</v>
      </c>
      <c r="AB6" s="2" t="s">
        <v>15</v>
      </c>
      <c r="AC6" s="2" t="s">
        <v>16</v>
      </c>
      <c r="AD6" s="2" t="s">
        <v>13</v>
      </c>
      <c r="AE6" s="2" t="s">
        <v>14</v>
      </c>
      <c r="AF6" s="2" t="s">
        <v>15</v>
      </c>
      <c r="AG6" s="2" t="s">
        <v>16</v>
      </c>
      <c r="AH6" s="2" t="s">
        <v>13</v>
      </c>
      <c r="AI6" s="2" t="s">
        <v>14</v>
      </c>
      <c r="AJ6" s="2" t="s">
        <v>15</v>
      </c>
      <c r="AK6" s="2" t="s">
        <v>16</v>
      </c>
      <c r="AL6" s="2" t="s">
        <v>13</v>
      </c>
      <c r="AM6" s="2" t="s">
        <v>14</v>
      </c>
      <c r="AN6" s="2" t="s">
        <v>15</v>
      </c>
      <c r="AO6" s="2" t="s">
        <v>16</v>
      </c>
      <c r="AP6" s="2" t="s">
        <v>13</v>
      </c>
      <c r="AQ6" s="2" t="s">
        <v>14</v>
      </c>
      <c r="AR6" s="2" t="s">
        <v>15</v>
      </c>
      <c r="AS6" s="2" t="s">
        <v>16</v>
      </c>
      <c r="AT6" s="2" t="s">
        <v>13</v>
      </c>
      <c r="AU6" s="2" t="s">
        <v>14</v>
      </c>
      <c r="AV6" s="2" t="s">
        <v>15</v>
      </c>
      <c r="AW6" s="2" t="s">
        <v>16</v>
      </c>
      <c r="AX6" s="2" t="s">
        <v>13</v>
      </c>
      <c r="AY6" s="2" t="s">
        <v>14</v>
      </c>
      <c r="AZ6" s="2" t="s">
        <v>15</v>
      </c>
      <c r="BA6" s="2" t="s">
        <v>16</v>
      </c>
    </row>
    <row r="7" spans="1:53" x14ac:dyDescent="0.3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x14ac:dyDescent="0.3">
      <c r="A8" s="3" t="s">
        <v>18</v>
      </c>
      <c r="B8" s="5">
        <f>263306</f>
        <v>263306</v>
      </c>
      <c r="C8" s="4"/>
      <c r="D8" s="5">
        <f t="shared" ref="D8:D44" si="0">(B8)-(C8)</f>
        <v>263306</v>
      </c>
      <c r="E8" s="6" t="str">
        <f t="shared" ref="E8:E44" si="1">IF(C8=0,"",(B8)/(C8))</f>
        <v/>
      </c>
      <c r="F8" s="4"/>
      <c r="G8" s="4"/>
      <c r="H8" s="5">
        <f t="shared" ref="H8:H44" si="2">(F8)-(G8)</f>
        <v>0</v>
      </c>
      <c r="I8" s="6" t="str">
        <f t="shared" ref="I8:I44" si="3">IF(G8=0,"",(F8)/(G8))</f>
        <v/>
      </c>
      <c r="J8" s="5">
        <f>853777.8</f>
        <v>853777.8</v>
      </c>
      <c r="K8" s="4"/>
      <c r="L8" s="5">
        <f t="shared" ref="L8:L44" si="4">(J8)-(K8)</f>
        <v>853777.8</v>
      </c>
      <c r="M8" s="6" t="str">
        <f t="shared" ref="M8:M44" si="5">IF(K8=0,"",(J8)/(K8))</f>
        <v/>
      </c>
      <c r="N8" s="4"/>
      <c r="O8" s="4"/>
      <c r="P8" s="5">
        <f t="shared" ref="P8:P44" si="6">(N8)-(O8)</f>
        <v>0</v>
      </c>
      <c r="Q8" s="6" t="str">
        <f t="shared" ref="Q8:Q44" si="7">IF(O8=0,"",(N8)/(O8))</f>
        <v/>
      </c>
      <c r="R8" s="5">
        <f>350174.49</f>
        <v>350174.49</v>
      </c>
      <c r="S8" s="4"/>
      <c r="T8" s="5">
        <f t="shared" ref="T8:T44" si="8">(R8)-(S8)</f>
        <v>350174.49</v>
      </c>
      <c r="U8" s="6" t="str">
        <f t="shared" ref="U8:U44" si="9">IF(S8=0,"",(R8)/(S8))</f>
        <v/>
      </c>
      <c r="V8" s="5">
        <f>31237.81</f>
        <v>31237.81</v>
      </c>
      <c r="W8" s="4"/>
      <c r="X8" s="5">
        <f t="shared" ref="X8:X44" si="10">(V8)-(W8)</f>
        <v>31237.81</v>
      </c>
      <c r="Y8" s="6" t="str">
        <f t="shared" ref="Y8:Y44" si="11">IF(W8=0,"",(V8)/(W8))</f>
        <v/>
      </c>
      <c r="Z8" s="5">
        <f>89893.34</f>
        <v>89893.34</v>
      </c>
      <c r="AA8" s="4"/>
      <c r="AB8" s="5">
        <f t="shared" ref="AB8:AB44" si="12">(Z8)-(AA8)</f>
        <v>89893.34</v>
      </c>
      <c r="AC8" s="6" t="str">
        <f t="shared" ref="AC8:AC44" si="13">IF(AA8=0,"",(Z8)/(AA8))</f>
        <v/>
      </c>
      <c r="AD8" s="4"/>
      <c r="AE8" s="4"/>
      <c r="AF8" s="5">
        <f t="shared" ref="AF8:AF44" si="14">(AD8)-(AE8)</f>
        <v>0</v>
      </c>
      <c r="AG8" s="6" t="str">
        <f t="shared" ref="AG8:AG44" si="15">IF(AE8=0,"",(AD8)/(AE8))</f>
        <v/>
      </c>
      <c r="AH8" s="4"/>
      <c r="AI8" s="4"/>
      <c r="AJ8" s="5">
        <f t="shared" ref="AJ8:AJ44" si="16">(AH8)-(AI8)</f>
        <v>0</v>
      </c>
      <c r="AK8" s="6" t="str">
        <f t="shared" ref="AK8:AK44" si="17">IF(AI8=0,"",(AH8)/(AI8))</f>
        <v/>
      </c>
      <c r="AL8" s="4"/>
      <c r="AM8" s="4"/>
      <c r="AN8" s="5">
        <f t="shared" ref="AN8:AN44" si="18">(AL8)-(AM8)</f>
        <v>0</v>
      </c>
      <c r="AO8" s="6" t="str">
        <f t="shared" ref="AO8:AO44" si="19">IF(AM8=0,"",(AL8)/(AM8))</f>
        <v/>
      </c>
      <c r="AP8" s="4"/>
      <c r="AQ8" s="4"/>
      <c r="AR8" s="5">
        <f t="shared" ref="AR8:AR44" si="20">(AP8)-(AQ8)</f>
        <v>0</v>
      </c>
      <c r="AS8" s="6" t="str">
        <f t="shared" ref="AS8:AS44" si="21">IF(AQ8=0,"",(AP8)/(AQ8))</f>
        <v/>
      </c>
      <c r="AT8" s="4"/>
      <c r="AU8" s="4"/>
      <c r="AV8" s="5">
        <f t="shared" ref="AV8:AV44" si="22">(AT8)-(AU8)</f>
        <v>0</v>
      </c>
      <c r="AW8" s="6" t="str">
        <f t="shared" ref="AW8:AW44" si="23">IF(AU8=0,"",(AT8)/(AU8))</f>
        <v/>
      </c>
      <c r="AX8" s="5">
        <f t="shared" ref="AX8:AX44" si="24">(((((((((((B8)+(F8))+(J8))+(N8))+(R8))+(V8))+(Z8))+(AD8))+(AH8))+(AL8))+(AP8))+(AT8)</f>
        <v>1588389.4400000002</v>
      </c>
      <c r="AY8" s="5">
        <f t="shared" ref="AY8:AY44" si="25">(((((((((((C8)+(G8))+(K8))+(O8))+(S8))+(W8))+(AA8))+(AE8))+(AI8))+(AM8))+(AQ8))+(AU8)</f>
        <v>0</v>
      </c>
      <c r="AZ8" s="5">
        <f t="shared" ref="AZ8:AZ44" si="26">(AX8)-(AY8)</f>
        <v>1588389.4400000002</v>
      </c>
      <c r="BA8" s="6" t="str">
        <f t="shared" ref="BA8:BA44" si="27">IF(AY8=0,"",(AX8)/(AY8))</f>
        <v/>
      </c>
    </row>
    <row r="9" spans="1:53" x14ac:dyDescent="0.3">
      <c r="A9" s="3" t="s">
        <v>19</v>
      </c>
      <c r="B9" s="5">
        <f>225</f>
        <v>225</v>
      </c>
      <c r="C9" s="5">
        <f>25</f>
        <v>25</v>
      </c>
      <c r="D9" s="5">
        <f t="shared" si="0"/>
        <v>200</v>
      </c>
      <c r="E9" s="6">
        <f t="shared" si="1"/>
        <v>9</v>
      </c>
      <c r="F9" s="5"/>
      <c r="G9" s="5">
        <f>25</f>
        <v>25</v>
      </c>
      <c r="H9" s="5">
        <f t="shared" si="2"/>
        <v>-25</v>
      </c>
      <c r="I9" s="6">
        <f t="shared" si="3"/>
        <v>0</v>
      </c>
      <c r="J9" s="5"/>
      <c r="K9" s="5">
        <f>25</f>
        <v>25</v>
      </c>
      <c r="L9" s="5">
        <f t="shared" si="4"/>
        <v>-25</v>
      </c>
      <c r="M9" s="6">
        <f t="shared" si="5"/>
        <v>0</v>
      </c>
      <c r="N9" s="5">
        <f>75</f>
        <v>75</v>
      </c>
      <c r="O9" s="5">
        <f>25</f>
        <v>25</v>
      </c>
      <c r="P9" s="5">
        <f t="shared" si="6"/>
        <v>50</v>
      </c>
      <c r="Q9" s="6">
        <f t="shared" si="7"/>
        <v>3</v>
      </c>
      <c r="R9" s="5"/>
      <c r="S9" s="5">
        <f>25</f>
        <v>25</v>
      </c>
      <c r="T9" s="5">
        <f t="shared" si="8"/>
        <v>-25</v>
      </c>
      <c r="U9" s="6">
        <f t="shared" si="9"/>
        <v>0</v>
      </c>
      <c r="V9" s="5">
        <f>-150</f>
        <v>-150</v>
      </c>
      <c r="W9" s="5">
        <f>25</f>
        <v>25</v>
      </c>
      <c r="X9" s="5">
        <f t="shared" si="10"/>
        <v>-175</v>
      </c>
      <c r="Y9" s="6">
        <f t="shared" si="11"/>
        <v>-6</v>
      </c>
      <c r="Z9" s="5"/>
      <c r="AA9" s="5">
        <f>25</f>
        <v>25</v>
      </c>
      <c r="AB9" s="5">
        <f t="shared" si="12"/>
        <v>-25</v>
      </c>
      <c r="AC9" s="6">
        <f t="shared" si="13"/>
        <v>0</v>
      </c>
      <c r="AD9" s="5"/>
      <c r="AE9" s="5">
        <f>25</f>
        <v>25</v>
      </c>
      <c r="AF9" s="5">
        <f t="shared" si="14"/>
        <v>-25</v>
      </c>
      <c r="AG9" s="6">
        <f t="shared" si="15"/>
        <v>0</v>
      </c>
      <c r="AH9" s="5"/>
      <c r="AI9" s="5">
        <f>25</f>
        <v>25</v>
      </c>
      <c r="AJ9" s="5">
        <f t="shared" si="16"/>
        <v>-25</v>
      </c>
      <c r="AK9" s="6">
        <f t="shared" si="17"/>
        <v>0</v>
      </c>
      <c r="AL9" s="5"/>
      <c r="AM9" s="5">
        <f>25</f>
        <v>25</v>
      </c>
      <c r="AN9" s="5">
        <f t="shared" si="18"/>
        <v>-25</v>
      </c>
      <c r="AO9" s="6">
        <f t="shared" si="19"/>
        <v>0</v>
      </c>
      <c r="AP9" s="4"/>
      <c r="AQ9" s="5">
        <f>25</f>
        <v>25</v>
      </c>
      <c r="AR9" s="5">
        <f t="shared" si="20"/>
        <v>-25</v>
      </c>
      <c r="AS9" s="6">
        <f t="shared" si="21"/>
        <v>0</v>
      </c>
      <c r="AT9" s="4"/>
      <c r="AU9" s="5">
        <f>25</f>
        <v>25</v>
      </c>
      <c r="AV9" s="5">
        <f t="shared" si="22"/>
        <v>-25</v>
      </c>
      <c r="AW9" s="6">
        <f t="shared" si="23"/>
        <v>0</v>
      </c>
      <c r="AX9" s="5">
        <f t="shared" si="24"/>
        <v>150</v>
      </c>
      <c r="AY9" s="5">
        <f t="shared" si="25"/>
        <v>300</v>
      </c>
      <c r="AZ9" s="5">
        <f t="shared" si="26"/>
        <v>-150</v>
      </c>
      <c r="BA9" s="6">
        <f t="shared" si="27"/>
        <v>0.5</v>
      </c>
    </row>
    <row r="10" spans="1:53" x14ac:dyDescent="0.3">
      <c r="A10" s="3" t="s">
        <v>20</v>
      </c>
      <c r="B10" s="4"/>
      <c r="C10" s="4"/>
      <c r="D10" s="5">
        <f t="shared" si="0"/>
        <v>0</v>
      </c>
      <c r="E10" s="6" t="str">
        <f t="shared" si="1"/>
        <v/>
      </c>
      <c r="F10" s="4"/>
      <c r="G10" s="4"/>
      <c r="H10" s="5">
        <f t="shared" si="2"/>
        <v>0</v>
      </c>
      <c r="I10" s="6" t="str">
        <f t="shared" si="3"/>
        <v/>
      </c>
      <c r="J10" s="4"/>
      <c r="K10" s="4"/>
      <c r="L10" s="5">
        <f t="shared" si="4"/>
        <v>0</v>
      </c>
      <c r="M10" s="6" t="str">
        <f t="shared" si="5"/>
        <v/>
      </c>
      <c r="N10" s="4"/>
      <c r="O10" s="4"/>
      <c r="P10" s="5">
        <f t="shared" si="6"/>
        <v>0</v>
      </c>
      <c r="Q10" s="6" t="str">
        <f t="shared" si="7"/>
        <v/>
      </c>
      <c r="R10" s="4"/>
      <c r="S10" s="4"/>
      <c r="T10" s="5">
        <f t="shared" si="8"/>
        <v>0</v>
      </c>
      <c r="U10" s="6" t="str">
        <f t="shared" si="9"/>
        <v/>
      </c>
      <c r="V10" s="4"/>
      <c r="W10" s="4"/>
      <c r="X10" s="5">
        <f t="shared" si="10"/>
        <v>0</v>
      </c>
      <c r="Y10" s="6" t="str">
        <f t="shared" si="11"/>
        <v/>
      </c>
      <c r="Z10" s="4"/>
      <c r="AA10" s="4"/>
      <c r="AB10" s="5">
        <f t="shared" si="12"/>
        <v>0</v>
      </c>
      <c r="AC10" s="6" t="str">
        <f t="shared" si="13"/>
        <v/>
      </c>
      <c r="AD10" s="4"/>
      <c r="AE10" s="4"/>
      <c r="AF10" s="5">
        <f t="shared" si="14"/>
        <v>0</v>
      </c>
      <c r="AG10" s="6" t="str">
        <f t="shared" si="15"/>
        <v/>
      </c>
      <c r="AH10" s="4"/>
      <c r="AI10" s="4"/>
      <c r="AJ10" s="5">
        <f t="shared" si="16"/>
        <v>0</v>
      </c>
      <c r="AK10" s="6" t="str">
        <f t="shared" si="17"/>
        <v/>
      </c>
      <c r="AL10" s="4"/>
      <c r="AM10" s="4"/>
      <c r="AN10" s="5">
        <f t="shared" si="18"/>
        <v>0</v>
      </c>
      <c r="AO10" s="6" t="str">
        <f t="shared" si="19"/>
        <v/>
      </c>
      <c r="AP10" s="4"/>
      <c r="AQ10" s="4"/>
      <c r="AR10" s="5">
        <f t="shared" si="20"/>
        <v>0</v>
      </c>
      <c r="AS10" s="6" t="str">
        <f t="shared" si="21"/>
        <v/>
      </c>
      <c r="AT10" s="4"/>
      <c r="AU10" s="4"/>
      <c r="AV10" s="5">
        <f t="shared" si="22"/>
        <v>0</v>
      </c>
      <c r="AW10" s="6" t="str">
        <f t="shared" si="23"/>
        <v/>
      </c>
      <c r="AX10" s="5">
        <f t="shared" si="24"/>
        <v>0</v>
      </c>
      <c r="AY10" s="5">
        <f t="shared" si="25"/>
        <v>0</v>
      </c>
      <c r="AZ10" s="5">
        <f t="shared" si="26"/>
        <v>0</v>
      </c>
      <c r="BA10" s="6" t="str">
        <f t="shared" si="27"/>
        <v/>
      </c>
    </row>
    <row r="11" spans="1:53" x14ac:dyDescent="0.3">
      <c r="A11" s="3" t="s">
        <v>21</v>
      </c>
      <c r="B11" s="5">
        <f>2049.08</f>
        <v>2049.08</v>
      </c>
      <c r="C11" s="5">
        <f>1274</f>
        <v>1274</v>
      </c>
      <c r="D11" s="5">
        <f t="shared" si="0"/>
        <v>775.07999999999993</v>
      </c>
      <c r="E11" s="6">
        <f t="shared" si="1"/>
        <v>1.6083830455259027</v>
      </c>
      <c r="F11" s="5">
        <f>2154.2</f>
        <v>2154.1999999999998</v>
      </c>
      <c r="G11" s="5">
        <f>1274</f>
        <v>1274</v>
      </c>
      <c r="H11" s="5">
        <f t="shared" si="2"/>
        <v>880.19999999999982</v>
      </c>
      <c r="I11" s="6">
        <f t="shared" si="3"/>
        <v>1.6908948194662479</v>
      </c>
      <c r="J11" s="5">
        <f>1753.49</f>
        <v>1753.49</v>
      </c>
      <c r="K11" s="5">
        <f>1274</f>
        <v>1274</v>
      </c>
      <c r="L11" s="5">
        <f t="shared" si="4"/>
        <v>479.49</v>
      </c>
      <c r="M11" s="6">
        <f t="shared" si="5"/>
        <v>1.3763657770800628</v>
      </c>
      <c r="N11" s="5">
        <f>1505.96</f>
        <v>1505.96</v>
      </c>
      <c r="O11" s="5">
        <f>1274</f>
        <v>1274</v>
      </c>
      <c r="P11" s="5">
        <f t="shared" si="6"/>
        <v>231.96000000000004</v>
      </c>
      <c r="Q11" s="6">
        <f t="shared" si="7"/>
        <v>1.1820722135007851</v>
      </c>
      <c r="R11" s="5">
        <f>1274.84</f>
        <v>1274.8399999999999</v>
      </c>
      <c r="S11" s="5">
        <f>1274</f>
        <v>1274</v>
      </c>
      <c r="T11" s="5">
        <f t="shared" si="8"/>
        <v>0.83999999999991815</v>
      </c>
      <c r="U11" s="6">
        <f t="shared" si="9"/>
        <v>1.0006593406593407</v>
      </c>
      <c r="V11" s="5">
        <f>1088.4</f>
        <v>1088.4000000000001</v>
      </c>
      <c r="W11" s="5">
        <f>1274</f>
        <v>1274</v>
      </c>
      <c r="X11" s="5">
        <f t="shared" si="10"/>
        <v>-185.59999999999991</v>
      </c>
      <c r="Y11" s="6">
        <f t="shared" si="11"/>
        <v>0.85431711145996869</v>
      </c>
      <c r="Z11" s="5">
        <f>1126.47</f>
        <v>1126.47</v>
      </c>
      <c r="AA11" s="5">
        <f>1274</f>
        <v>1274</v>
      </c>
      <c r="AB11" s="5">
        <f t="shared" si="12"/>
        <v>-147.52999999999997</v>
      </c>
      <c r="AC11" s="6">
        <f t="shared" si="13"/>
        <v>0.88419937205651489</v>
      </c>
      <c r="AD11" s="5">
        <f>1097.58</f>
        <v>1097.58</v>
      </c>
      <c r="AE11" s="5">
        <f>1274</f>
        <v>1274</v>
      </c>
      <c r="AF11" s="5">
        <f t="shared" si="14"/>
        <v>-176.42000000000007</v>
      </c>
      <c r="AG11" s="6">
        <f t="shared" si="15"/>
        <v>0.86152276295133434</v>
      </c>
      <c r="AH11" s="5">
        <f>1216.35</f>
        <v>1216.3499999999999</v>
      </c>
      <c r="AI11" s="5">
        <f>1274</f>
        <v>1274</v>
      </c>
      <c r="AJ11" s="5">
        <f t="shared" si="16"/>
        <v>-57.650000000000091</v>
      </c>
      <c r="AK11" s="6">
        <f t="shared" si="17"/>
        <v>0.95474882260596539</v>
      </c>
      <c r="AL11" s="5">
        <f>1184.25</f>
        <v>1184.25</v>
      </c>
      <c r="AM11" s="5">
        <f>1274</f>
        <v>1274</v>
      </c>
      <c r="AN11" s="5">
        <f t="shared" si="18"/>
        <v>-89.75</v>
      </c>
      <c r="AO11" s="6">
        <f t="shared" si="19"/>
        <v>0.92955259026687598</v>
      </c>
      <c r="AP11" s="4"/>
      <c r="AQ11" s="5">
        <f>1274</f>
        <v>1274</v>
      </c>
      <c r="AR11" s="5">
        <f t="shared" si="20"/>
        <v>-1274</v>
      </c>
      <c r="AS11" s="6">
        <f t="shared" si="21"/>
        <v>0</v>
      </c>
      <c r="AT11" s="4"/>
      <c r="AU11" s="5">
        <f>1274</f>
        <v>1274</v>
      </c>
      <c r="AV11" s="5">
        <f t="shared" si="22"/>
        <v>-1274</v>
      </c>
      <c r="AW11" s="6">
        <f t="shared" si="23"/>
        <v>0</v>
      </c>
      <c r="AX11" s="5">
        <f t="shared" si="24"/>
        <v>14450.619999999999</v>
      </c>
      <c r="AY11" s="5">
        <f t="shared" si="25"/>
        <v>15288</v>
      </c>
      <c r="AZ11" s="5">
        <f t="shared" si="26"/>
        <v>-837.38000000000102</v>
      </c>
      <c r="BA11" s="6">
        <f t="shared" si="27"/>
        <v>0.94522632129774975</v>
      </c>
    </row>
    <row r="12" spans="1:53" x14ac:dyDescent="0.3">
      <c r="A12" s="3" t="s">
        <v>22</v>
      </c>
      <c r="B12" s="5">
        <f>1874.68</f>
        <v>1874.68</v>
      </c>
      <c r="C12" s="5">
        <f>1294</f>
        <v>1294</v>
      </c>
      <c r="D12" s="5">
        <f t="shared" si="0"/>
        <v>580.68000000000006</v>
      </c>
      <c r="E12" s="6">
        <f t="shared" si="1"/>
        <v>1.4487480680061824</v>
      </c>
      <c r="F12" s="5">
        <f>2125.8</f>
        <v>2125.8000000000002</v>
      </c>
      <c r="G12" s="5">
        <f>1294</f>
        <v>1294</v>
      </c>
      <c r="H12" s="5">
        <f t="shared" si="2"/>
        <v>831.80000000000018</v>
      </c>
      <c r="I12" s="6">
        <f t="shared" si="3"/>
        <v>1.6428129829984546</v>
      </c>
      <c r="J12" s="5">
        <f>1559.32</f>
        <v>1559.32</v>
      </c>
      <c r="K12" s="5">
        <f>1294</f>
        <v>1294</v>
      </c>
      <c r="L12" s="5">
        <f t="shared" si="4"/>
        <v>265.31999999999994</v>
      </c>
      <c r="M12" s="6">
        <f t="shared" si="5"/>
        <v>1.2050386398763524</v>
      </c>
      <c r="N12" s="5">
        <f>1243.96</f>
        <v>1243.96</v>
      </c>
      <c r="O12" s="5">
        <f>1294</f>
        <v>1294</v>
      </c>
      <c r="P12" s="5">
        <f t="shared" si="6"/>
        <v>-50.039999999999964</v>
      </c>
      <c r="Q12" s="6">
        <f t="shared" si="7"/>
        <v>0.96132921174652242</v>
      </c>
      <c r="R12" s="5">
        <f>861.44</f>
        <v>861.44</v>
      </c>
      <c r="S12" s="5">
        <f>1294</f>
        <v>1294</v>
      </c>
      <c r="T12" s="5">
        <f t="shared" si="8"/>
        <v>-432.55999999999995</v>
      </c>
      <c r="U12" s="6">
        <f t="shared" si="9"/>
        <v>0.66571870170015457</v>
      </c>
      <c r="V12" s="5">
        <f>841</f>
        <v>841</v>
      </c>
      <c r="W12" s="5">
        <f>1294</f>
        <v>1294</v>
      </c>
      <c r="X12" s="5">
        <f t="shared" si="10"/>
        <v>-453</v>
      </c>
      <c r="Y12" s="6">
        <f t="shared" si="11"/>
        <v>0.64992272024729525</v>
      </c>
      <c r="Z12" s="5">
        <f>908.94</f>
        <v>908.94</v>
      </c>
      <c r="AA12" s="5">
        <f>1294</f>
        <v>1294</v>
      </c>
      <c r="AB12" s="5">
        <f t="shared" si="12"/>
        <v>-385.05999999999995</v>
      </c>
      <c r="AC12" s="6">
        <f t="shared" si="13"/>
        <v>0.70242658423493054</v>
      </c>
      <c r="AD12" s="5">
        <f>912.15</f>
        <v>912.15</v>
      </c>
      <c r="AE12" s="5">
        <f>1294</f>
        <v>1294</v>
      </c>
      <c r="AF12" s="5">
        <f t="shared" si="14"/>
        <v>-381.85</v>
      </c>
      <c r="AG12" s="6">
        <f t="shared" si="15"/>
        <v>0.70490726429675421</v>
      </c>
      <c r="AH12" s="5">
        <f>1005.24</f>
        <v>1005.24</v>
      </c>
      <c r="AI12" s="5">
        <f>1294</f>
        <v>1294</v>
      </c>
      <c r="AJ12" s="5">
        <f t="shared" si="16"/>
        <v>-288.76</v>
      </c>
      <c r="AK12" s="6">
        <f t="shared" si="17"/>
        <v>0.77684698608964453</v>
      </c>
      <c r="AL12" s="5">
        <f>1172.16</f>
        <v>1172.1600000000001</v>
      </c>
      <c r="AM12" s="5">
        <f>1294</f>
        <v>1294</v>
      </c>
      <c r="AN12" s="5">
        <f t="shared" si="18"/>
        <v>-121.83999999999992</v>
      </c>
      <c r="AO12" s="6">
        <f t="shared" si="19"/>
        <v>0.90584234930448226</v>
      </c>
      <c r="AP12" s="4"/>
      <c r="AQ12" s="5">
        <f>1294</f>
        <v>1294</v>
      </c>
      <c r="AR12" s="5">
        <f t="shared" si="20"/>
        <v>-1294</v>
      </c>
      <c r="AS12" s="6">
        <f t="shared" si="21"/>
        <v>0</v>
      </c>
      <c r="AT12" s="4"/>
      <c r="AU12" s="5">
        <f>1294</f>
        <v>1294</v>
      </c>
      <c r="AV12" s="5">
        <f t="shared" si="22"/>
        <v>-1294</v>
      </c>
      <c r="AW12" s="6">
        <f t="shared" si="23"/>
        <v>0</v>
      </c>
      <c r="AX12" s="5">
        <f t="shared" si="24"/>
        <v>12504.69</v>
      </c>
      <c r="AY12" s="5">
        <f t="shared" si="25"/>
        <v>15528</v>
      </c>
      <c r="AZ12" s="5">
        <f t="shared" si="26"/>
        <v>-3023.3099999999995</v>
      </c>
      <c r="BA12" s="6">
        <f t="shared" si="27"/>
        <v>0.80529945904173106</v>
      </c>
    </row>
    <row r="13" spans="1:53" x14ac:dyDescent="0.3">
      <c r="A13" s="3" t="s">
        <v>23</v>
      </c>
      <c r="B13" s="5">
        <f>5236.52</f>
        <v>5236.5200000000004</v>
      </c>
      <c r="C13" s="5">
        <f>3681</f>
        <v>3681</v>
      </c>
      <c r="D13" s="5">
        <f t="shared" si="0"/>
        <v>1555.5200000000004</v>
      </c>
      <c r="E13" s="6">
        <f t="shared" si="1"/>
        <v>1.4225808204292314</v>
      </c>
      <c r="F13" s="5">
        <f>5531.44</f>
        <v>5531.44</v>
      </c>
      <c r="G13" s="5">
        <f>3681</f>
        <v>3681</v>
      </c>
      <c r="H13" s="5">
        <f t="shared" si="2"/>
        <v>1850.4399999999996</v>
      </c>
      <c r="I13" s="6">
        <f t="shared" si="3"/>
        <v>1.5027003531649008</v>
      </c>
      <c r="J13" s="5">
        <f>4897.8</f>
        <v>4897.8</v>
      </c>
      <c r="K13" s="5">
        <f>3681</f>
        <v>3681</v>
      </c>
      <c r="L13" s="5">
        <f t="shared" si="4"/>
        <v>1216.8000000000002</v>
      </c>
      <c r="M13" s="6">
        <f t="shared" si="5"/>
        <v>1.3305623471882642</v>
      </c>
      <c r="N13" s="5">
        <f>3548.76</f>
        <v>3548.76</v>
      </c>
      <c r="O13" s="5">
        <f>3681</f>
        <v>3681</v>
      </c>
      <c r="P13" s="5">
        <f t="shared" si="6"/>
        <v>-132.23999999999978</v>
      </c>
      <c r="Q13" s="6">
        <f t="shared" si="7"/>
        <v>0.96407497962510191</v>
      </c>
      <c r="R13" s="5">
        <f>3175</f>
        <v>3175</v>
      </c>
      <c r="S13" s="5">
        <f>3681</f>
        <v>3681</v>
      </c>
      <c r="T13" s="5">
        <f t="shared" si="8"/>
        <v>-506</v>
      </c>
      <c r="U13" s="6">
        <f t="shared" si="9"/>
        <v>0.86253735397989673</v>
      </c>
      <c r="V13" s="5">
        <f>3125.36</f>
        <v>3125.36</v>
      </c>
      <c r="W13" s="5">
        <f>3681</f>
        <v>3681</v>
      </c>
      <c r="X13" s="5">
        <f t="shared" si="10"/>
        <v>-555.63999999999987</v>
      </c>
      <c r="Y13" s="6">
        <f t="shared" si="11"/>
        <v>0.84905188807389298</v>
      </c>
      <c r="Z13" s="5">
        <f>3113.28</f>
        <v>3113.28</v>
      </c>
      <c r="AA13" s="5">
        <f>3681</f>
        <v>3681</v>
      </c>
      <c r="AB13" s="5">
        <f t="shared" si="12"/>
        <v>-567.7199999999998</v>
      </c>
      <c r="AC13" s="6">
        <f t="shared" si="13"/>
        <v>0.84577017114914432</v>
      </c>
      <c r="AD13" s="5">
        <f>3058.61</f>
        <v>3058.61</v>
      </c>
      <c r="AE13" s="5">
        <f>3681</f>
        <v>3681</v>
      </c>
      <c r="AF13" s="5">
        <f t="shared" si="14"/>
        <v>-622.38999999999987</v>
      </c>
      <c r="AG13" s="6">
        <f t="shared" si="15"/>
        <v>0.83091822874218968</v>
      </c>
      <c r="AH13" s="5">
        <f>3228.84</f>
        <v>3228.84</v>
      </c>
      <c r="AI13" s="5">
        <f>3681</f>
        <v>3681</v>
      </c>
      <c r="AJ13" s="5">
        <f t="shared" si="16"/>
        <v>-452.15999999999985</v>
      </c>
      <c r="AK13" s="6">
        <f t="shared" si="17"/>
        <v>0.87716381418092915</v>
      </c>
      <c r="AL13" s="5">
        <f>3323.31</f>
        <v>3323.31</v>
      </c>
      <c r="AM13" s="5">
        <f>3681</f>
        <v>3681</v>
      </c>
      <c r="AN13" s="5">
        <f t="shared" si="18"/>
        <v>-357.69000000000005</v>
      </c>
      <c r="AO13" s="6">
        <f t="shared" si="19"/>
        <v>0.90282803585982063</v>
      </c>
      <c r="AP13" s="4"/>
      <c r="AQ13" s="5">
        <f>3681</f>
        <v>3681</v>
      </c>
      <c r="AR13" s="5">
        <f t="shared" si="20"/>
        <v>-3681</v>
      </c>
      <c r="AS13" s="6">
        <f t="shared" si="21"/>
        <v>0</v>
      </c>
      <c r="AT13" s="4"/>
      <c r="AU13" s="5">
        <f>3681</f>
        <v>3681</v>
      </c>
      <c r="AV13" s="5">
        <f t="shared" si="22"/>
        <v>-3681</v>
      </c>
      <c r="AW13" s="6">
        <f t="shared" si="23"/>
        <v>0</v>
      </c>
      <c r="AX13" s="5">
        <f t="shared" si="24"/>
        <v>38238.92</v>
      </c>
      <c r="AY13" s="5">
        <f t="shared" si="25"/>
        <v>44172</v>
      </c>
      <c r="AZ13" s="5">
        <f t="shared" si="26"/>
        <v>-5933.0800000000017</v>
      </c>
      <c r="BA13" s="6">
        <f t="shared" si="27"/>
        <v>0.86568233269944761</v>
      </c>
    </row>
    <row r="14" spans="1:53" x14ac:dyDescent="0.3">
      <c r="A14" s="3" t="s">
        <v>24</v>
      </c>
      <c r="B14" s="5">
        <f>1383.64</f>
        <v>1383.64</v>
      </c>
      <c r="C14" s="5">
        <f>1305</f>
        <v>1305</v>
      </c>
      <c r="D14" s="5">
        <f t="shared" si="0"/>
        <v>78.6400000000001</v>
      </c>
      <c r="E14" s="6">
        <f t="shared" si="1"/>
        <v>1.0602605363984674</v>
      </c>
      <c r="F14" s="5">
        <f>1596.8</f>
        <v>1596.8</v>
      </c>
      <c r="G14" s="5">
        <f>1305</f>
        <v>1305</v>
      </c>
      <c r="H14" s="5">
        <f t="shared" si="2"/>
        <v>291.79999999999995</v>
      </c>
      <c r="I14" s="6">
        <f t="shared" si="3"/>
        <v>1.2236015325670497</v>
      </c>
      <c r="J14" s="5">
        <f>1208.44</f>
        <v>1208.44</v>
      </c>
      <c r="K14" s="5">
        <f>1305</f>
        <v>1305</v>
      </c>
      <c r="L14" s="5">
        <f t="shared" si="4"/>
        <v>-96.559999999999945</v>
      </c>
      <c r="M14" s="6">
        <f t="shared" si="5"/>
        <v>0.92600766283524905</v>
      </c>
      <c r="N14" s="5">
        <f>1138.36</f>
        <v>1138.3599999999999</v>
      </c>
      <c r="O14" s="5">
        <f>1305</f>
        <v>1305</v>
      </c>
      <c r="P14" s="5">
        <f t="shared" si="6"/>
        <v>-166.6400000000001</v>
      </c>
      <c r="Q14" s="6">
        <f t="shared" si="7"/>
        <v>0.87230651340996157</v>
      </c>
      <c r="R14" s="5">
        <f>980.68</f>
        <v>980.68</v>
      </c>
      <c r="S14" s="5">
        <f>1305</f>
        <v>1305</v>
      </c>
      <c r="T14" s="5">
        <f t="shared" si="8"/>
        <v>-324.32000000000005</v>
      </c>
      <c r="U14" s="6">
        <f t="shared" si="9"/>
        <v>0.75147892720306508</v>
      </c>
      <c r="V14" s="5">
        <f>1006.96</f>
        <v>1006.96</v>
      </c>
      <c r="W14" s="5">
        <f>1305</f>
        <v>1305</v>
      </c>
      <c r="X14" s="5">
        <f t="shared" si="10"/>
        <v>-298.03999999999996</v>
      </c>
      <c r="Y14" s="6">
        <f t="shared" si="11"/>
        <v>0.77161685823754789</v>
      </c>
      <c r="Z14" s="5">
        <f>1174.92</f>
        <v>1174.92</v>
      </c>
      <c r="AA14" s="5">
        <f>1305</f>
        <v>1305</v>
      </c>
      <c r="AB14" s="5">
        <f t="shared" si="12"/>
        <v>-130.07999999999993</v>
      </c>
      <c r="AC14" s="6">
        <f t="shared" si="13"/>
        <v>0.90032183908045982</v>
      </c>
      <c r="AD14" s="5">
        <f>1187.76</f>
        <v>1187.76</v>
      </c>
      <c r="AE14" s="5">
        <f>1305</f>
        <v>1305</v>
      </c>
      <c r="AF14" s="5">
        <f t="shared" si="14"/>
        <v>-117.24000000000001</v>
      </c>
      <c r="AG14" s="6">
        <f t="shared" si="15"/>
        <v>0.91016091954022993</v>
      </c>
      <c r="AH14" s="5">
        <f>1239.12</f>
        <v>1239.1199999999999</v>
      </c>
      <c r="AI14" s="5">
        <f>1305</f>
        <v>1305</v>
      </c>
      <c r="AJ14" s="5">
        <f t="shared" si="16"/>
        <v>-65.880000000000109</v>
      </c>
      <c r="AK14" s="6">
        <f t="shared" si="17"/>
        <v>0.94951724137931026</v>
      </c>
      <c r="AL14" s="5">
        <f>1181.34</f>
        <v>1181.3399999999999</v>
      </c>
      <c r="AM14" s="5">
        <f>1305</f>
        <v>1305</v>
      </c>
      <c r="AN14" s="5">
        <f t="shared" si="18"/>
        <v>-123.66000000000008</v>
      </c>
      <c r="AO14" s="6">
        <f t="shared" si="19"/>
        <v>0.90524137931034476</v>
      </c>
      <c r="AP14" s="4"/>
      <c r="AQ14" s="5">
        <f>1305</f>
        <v>1305</v>
      </c>
      <c r="AR14" s="5">
        <f t="shared" si="20"/>
        <v>-1305</v>
      </c>
      <c r="AS14" s="6">
        <f t="shared" si="21"/>
        <v>0</v>
      </c>
      <c r="AT14" s="4"/>
      <c r="AU14" s="5">
        <f>1305</f>
        <v>1305</v>
      </c>
      <c r="AV14" s="5">
        <f t="shared" si="22"/>
        <v>-1305</v>
      </c>
      <c r="AW14" s="6">
        <f t="shared" si="23"/>
        <v>0</v>
      </c>
      <c r="AX14" s="5">
        <f t="shared" si="24"/>
        <v>12098.02</v>
      </c>
      <c r="AY14" s="5">
        <f t="shared" si="25"/>
        <v>15660</v>
      </c>
      <c r="AZ14" s="5">
        <f t="shared" si="26"/>
        <v>-3561.9799999999996</v>
      </c>
      <c r="BA14" s="6">
        <f t="shared" si="27"/>
        <v>0.77254278416347388</v>
      </c>
    </row>
    <row r="15" spans="1:53" x14ac:dyDescent="0.3">
      <c r="A15" s="3" t="s">
        <v>25</v>
      </c>
      <c r="B15" s="5">
        <f>825.4</f>
        <v>825.4</v>
      </c>
      <c r="C15" s="5">
        <f>456</f>
        <v>456</v>
      </c>
      <c r="D15" s="5">
        <f t="shared" si="0"/>
        <v>369.4</v>
      </c>
      <c r="E15" s="6">
        <f t="shared" si="1"/>
        <v>1.8100877192982456</v>
      </c>
      <c r="F15" s="5">
        <f>913</f>
        <v>913</v>
      </c>
      <c r="G15" s="5">
        <f>456</f>
        <v>456</v>
      </c>
      <c r="H15" s="5">
        <f t="shared" si="2"/>
        <v>457</v>
      </c>
      <c r="I15" s="6">
        <f t="shared" si="3"/>
        <v>2.0021929824561404</v>
      </c>
      <c r="J15" s="5">
        <f>708.6</f>
        <v>708.6</v>
      </c>
      <c r="K15" s="5">
        <f>456</f>
        <v>456</v>
      </c>
      <c r="L15" s="5">
        <f t="shared" si="4"/>
        <v>252.60000000000002</v>
      </c>
      <c r="M15" s="6">
        <f t="shared" si="5"/>
        <v>1.5539473684210527</v>
      </c>
      <c r="N15" s="5">
        <f>477.92</f>
        <v>477.92</v>
      </c>
      <c r="O15" s="5">
        <f>456</f>
        <v>456</v>
      </c>
      <c r="P15" s="5">
        <f t="shared" si="6"/>
        <v>21.920000000000016</v>
      </c>
      <c r="Q15" s="6">
        <f t="shared" si="7"/>
        <v>1.0480701754385966</v>
      </c>
      <c r="R15" s="5">
        <f>364.04</f>
        <v>364.04</v>
      </c>
      <c r="S15" s="5">
        <f>456</f>
        <v>456</v>
      </c>
      <c r="T15" s="5">
        <f t="shared" si="8"/>
        <v>-91.95999999999998</v>
      </c>
      <c r="U15" s="6">
        <f t="shared" si="9"/>
        <v>0.79833333333333334</v>
      </c>
      <c r="V15" s="5">
        <f>296.88</f>
        <v>296.88</v>
      </c>
      <c r="W15" s="5">
        <f>456</f>
        <v>456</v>
      </c>
      <c r="X15" s="5">
        <f t="shared" si="10"/>
        <v>-159.12</v>
      </c>
      <c r="Y15" s="6">
        <f t="shared" si="11"/>
        <v>0.65105263157894733</v>
      </c>
      <c r="Z15" s="5">
        <f>304.05</f>
        <v>304.05</v>
      </c>
      <c r="AA15" s="5">
        <f>456</f>
        <v>456</v>
      </c>
      <c r="AB15" s="5">
        <f t="shared" si="12"/>
        <v>-151.94999999999999</v>
      </c>
      <c r="AC15" s="6">
        <f t="shared" si="13"/>
        <v>0.66677631578947372</v>
      </c>
      <c r="AD15" s="5">
        <f>323.31</f>
        <v>323.31</v>
      </c>
      <c r="AE15" s="5">
        <f>456</f>
        <v>456</v>
      </c>
      <c r="AF15" s="5">
        <f t="shared" si="14"/>
        <v>-132.69</v>
      </c>
      <c r="AG15" s="6">
        <f t="shared" si="15"/>
        <v>0.70901315789473685</v>
      </c>
      <c r="AH15" s="5">
        <f>358.62</f>
        <v>358.62</v>
      </c>
      <c r="AI15" s="5">
        <f>456</f>
        <v>456</v>
      </c>
      <c r="AJ15" s="5">
        <f t="shared" si="16"/>
        <v>-97.38</v>
      </c>
      <c r="AK15" s="6">
        <f t="shared" si="17"/>
        <v>0.78644736842105267</v>
      </c>
      <c r="AL15" s="5">
        <f>422.82</f>
        <v>422.82</v>
      </c>
      <c r="AM15" s="5">
        <f>456</f>
        <v>456</v>
      </c>
      <c r="AN15" s="5">
        <f t="shared" si="18"/>
        <v>-33.180000000000007</v>
      </c>
      <c r="AO15" s="6">
        <f t="shared" si="19"/>
        <v>0.92723684210526314</v>
      </c>
      <c r="AP15" s="4"/>
      <c r="AQ15" s="5">
        <f>456</f>
        <v>456</v>
      </c>
      <c r="AR15" s="5">
        <f t="shared" si="20"/>
        <v>-456</v>
      </c>
      <c r="AS15" s="6">
        <f t="shared" si="21"/>
        <v>0</v>
      </c>
      <c r="AT15" s="4"/>
      <c r="AU15" s="5">
        <f>456</f>
        <v>456</v>
      </c>
      <c r="AV15" s="5">
        <f t="shared" si="22"/>
        <v>-456</v>
      </c>
      <c r="AW15" s="6">
        <f t="shared" si="23"/>
        <v>0</v>
      </c>
      <c r="AX15" s="5">
        <f t="shared" si="24"/>
        <v>4994.6400000000003</v>
      </c>
      <c r="AY15" s="5">
        <f t="shared" si="25"/>
        <v>5472</v>
      </c>
      <c r="AZ15" s="5">
        <f t="shared" si="26"/>
        <v>-477.35999999999967</v>
      </c>
      <c r="BA15" s="6">
        <f t="shared" si="27"/>
        <v>0.91276315789473694</v>
      </c>
    </row>
    <row r="16" spans="1:53" x14ac:dyDescent="0.3">
      <c r="A16" s="3" t="s">
        <v>26</v>
      </c>
      <c r="B16" s="5">
        <f>2520.52</f>
        <v>2520.52</v>
      </c>
      <c r="C16" s="5">
        <f>1679</f>
        <v>1679</v>
      </c>
      <c r="D16" s="5">
        <f t="shared" si="0"/>
        <v>841.52</v>
      </c>
      <c r="E16" s="6">
        <f t="shared" si="1"/>
        <v>1.5012030970815962</v>
      </c>
      <c r="F16" s="5">
        <f>2485.32</f>
        <v>2485.3200000000002</v>
      </c>
      <c r="G16" s="5">
        <f>1679</f>
        <v>1679</v>
      </c>
      <c r="H16" s="5">
        <f t="shared" si="2"/>
        <v>806.32000000000016</v>
      </c>
      <c r="I16" s="6">
        <f t="shared" si="3"/>
        <v>1.4802382370458607</v>
      </c>
      <c r="J16" s="5">
        <f>1875.2</f>
        <v>1875.2</v>
      </c>
      <c r="K16" s="5">
        <f>1679</f>
        <v>1679</v>
      </c>
      <c r="L16" s="5">
        <f t="shared" si="4"/>
        <v>196.20000000000005</v>
      </c>
      <c r="M16" s="6">
        <f t="shared" si="5"/>
        <v>1.1168552709946398</v>
      </c>
      <c r="N16" s="5">
        <f>1653.12</f>
        <v>1653.12</v>
      </c>
      <c r="O16" s="5">
        <f>1679</f>
        <v>1679</v>
      </c>
      <c r="P16" s="5">
        <f t="shared" si="6"/>
        <v>-25.880000000000109</v>
      </c>
      <c r="Q16" s="6">
        <f t="shared" si="7"/>
        <v>0.98458606313281705</v>
      </c>
      <c r="R16" s="5">
        <f>1461.45</f>
        <v>1461.45</v>
      </c>
      <c r="S16" s="5">
        <f>1679</f>
        <v>1679</v>
      </c>
      <c r="T16" s="5">
        <f t="shared" si="8"/>
        <v>-217.54999999999995</v>
      </c>
      <c r="U16" s="6">
        <f t="shared" si="9"/>
        <v>0.87042882668254917</v>
      </c>
      <c r="V16" s="5">
        <f>1705.68</f>
        <v>1705.68</v>
      </c>
      <c r="W16" s="5">
        <f>1679</f>
        <v>1679</v>
      </c>
      <c r="X16" s="5">
        <f t="shared" si="10"/>
        <v>26.680000000000064</v>
      </c>
      <c r="Y16" s="6">
        <f t="shared" si="11"/>
        <v>1.0158904109589042</v>
      </c>
      <c r="Z16" s="5">
        <f>1372.48</f>
        <v>1372.48</v>
      </c>
      <c r="AA16" s="5">
        <f>1679</f>
        <v>1679</v>
      </c>
      <c r="AB16" s="5">
        <f t="shared" si="12"/>
        <v>-306.52</v>
      </c>
      <c r="AC16" s="6">
        <f t="shared" si="13"/>
        <v>0.81743895175699821</v>
      </c>
      <c r="AD16" s="5">
        <f>1551.75</f>
        <v>1551.75</v>
      </c>
      <c r="AE16" s="5">
        <f>1679</f>
        <v>1679</v>
      </c>
      <c r="AF16" s="5">
        <f t="shared" si="14"/>
        <v>-127.25</v>
      </c>
      <c r="AG16" s="6">
        <f t="shared" si="15"/>
        <v>0.92421083978558671</v>
      </c>
      <c r="AH16" s="5">
        <f>1660.89</f>
        <v>1660.89</v>
      </c>
      <c r="AI16" s="5">
        <f>1679</f>
        <v>1679</v>
      </c>
      <c r="AJ16" s="5">
        <f t="shared" si="16"/>
        <v>-18.1099999999999</v>
      </c>
      <c r="AK16" s="6">
        <f t="shared" si="17"/>
        <v>0.98921381774866002</v>
      </c>
      <c r="AL16" s="5">
        <f>1686.57</f>
        <v>1686.57</v>
      </c>
      <c r="AM16" s="5">
        <f>1679</f>
        <v>1679</v>
      </c>
      <c r="AN16" s="5">
        <f t="shared" si="18"/>
        <v>7.5699999999999363</v>
      </c>
      <c r="AO16" s="6">
        <f t="shared" si="19"/>
        <v>1.0045086360929123</v>
      </c>
      <c r="AP16" s="4"/>
      <c r="AQ16" s="5">
        <f>1679</f>
        <v>1679</v>
      </c>
      <c r="AR16" s="5">
        <f t="shared" si="20"/>
        <v>-1679</v>
      </c>
      <c r="AS16" s="6">
        <f t="shared" si="21"/>
        <v>0</v>
      </c>
      <c r="AT16" s="4"/>
      <c r="AU16" s="5">
        <f>1679</f>
        <v>1679</v>
      </c>
      <c r="AV16" s="5">
        <f t="shared" si="22"/>
        <v>-1679</v>
      </c>
      <c r="AW16" s="6">
        <f t="shared" si="23"/>
        <v>0</v>
      </c>
      <c r="AX16" s="5">
        <f t="shared" si="24"/>
        <v>17972.98</v>
      </c>
      <c r="AY16" s="5">
        <f t="shared" si="25"/>
        <v>20148</v>
      </c>
      <c r="AZ16" s="5">
        <f t="shared" si="26"/>
        <v>-2175.0200000000004</v>
      </c>
      <c r="BA16" s="6">
        <f t="shared" si="27"/>
        <v>0.8920478459400436</v>
      </c>
    </row>
    <row r="17" spans="1:53" x14ac:dyDescent="0.3">
      <c r="A17" s="3" t="s">
        <v>27</v>
      </c>
      <c r="B17" s="5">
        <f>613.62</f>
        <v>613.62</v>
      </c>
      <c r="C17" s="5">
        <f>420</f>
        <v>420</v>
      </c>
      <c r="D17" s="5">
        <f t="shared" si="0"/>
        <v>193.62</v>
      </c>
      <c r="E17" s="6">
        <f t="shared" si="1"/>
        <v>1.4610000000000001</v>
      </c>
      <c r="F17" s="5">
        <f>543.54</f>
        <v>543.54</v>
      </c>
      <c r="G17" s="5">
        <f>420</f>
        <v>420</v>
      </c>
      <c r="H17" s="5">
        <f t="shared" si="2"/>
        <v>123.53999999999996</v>
      </c>
      <c r="I17" s="6">
        <f t="shared" si="3"/>
        <v>1.294142857142857</v>
      </c>
      <c r="J17" s="5">
        <f>406.3</f>
        <v>406.3</v>
      </c>
      <c r="K17" s="5">
        <f>420</f>
        <v>420</v>
      </c>
      <c r="L17" s="5">
        <f t="shared" si="4"/>
        <v>-13.699999999999989</v>
      </c>
      <c r="M17" s="6">
        <f t="shared" si="5"/>
        <v>0.96738095238095245</v>
      </c>
      <c r="N17" s="5">
        <f>342.06</f>
        <v>342.06</v>
      </c>
      <c r="O17" s="5">
        <f>420</f>
        <v>420</v>
      </c>
      <c r="P17" s="5">
        <f t="shared" si="6"/>
        <v>-77.94</v>
      </c>
      <c r="Q17" s="6">
        <f t="shared" si="7"/>
        <v>0.81442857142857139</v>
      </c>
      <c r="R17" s="5">
        <f>362.06</f>
        <v>362.06</v>
      </c>
      <c r="S17" s="5">
        <f>420</f>
        <v>420</v>
      </c>
      <c r="T17" s="5">
        <f t="shared" si="8"/>
        <v>-57.94</v>
      </c>
      <c r="U17" s="6">
        <f t="shared" si="9"/>
        <v>0.86204761904761906</v>
      </c>
      <c r="V17" s="5">
        <f>339.14</f>
        <v>339.14</v>
      </c>
      <c r="W17" s="5">
        <f>420</f>
        <v>420</v>
      </c>
      <c r="X17" s="5">
        <f t="shared" si="10"/>
        <v>-80.860000000000014</v>
      </c>
      <c r="Y17" s="6">
        <f t="shared" si="11"/>
        <v>0.80747619047619046</v>
      </c>
      <c r="Z17" s="5">
        <f>376.26</f>
        <v>376.26</v>
      </c>
      <c r="AA17" s="5">
        <f>420</f>
        <v>420</v>
      </c>
      <c r="AB17" s="5">
        <f t="shared" si="12"/>
        <v>-43.740000000000009</v>
      </c>
      <c r="AC17" s="6">
        <f t="shared" si="13"/>
        <v>0.8958571428571428</v>
      </c>
      <c r="AD17" s="5">
        <f>373.05</f>
        <v>373.05</v>
      </c>
      <c r="AE17" s="5">
        <f>420</f>
        <v>420</v>
      </c>
      <c r="AF17" s="5">
        <f t="shared" si="14"/>
        <v>-46.949999999999989</v>
      </c>
      <c r="AG17" s="6">
        <f t="shared" si="15"/>
        <v>0.88821428571428573</v>
      </c>
      <c r="AH17" s="5">
        <f>376.26</f>
        <v>376.26</v>
      </c>
      <c r="AI17" s="5">
        <f>420</f>
        <v>420</v>
      </c>
      <c r="AJ17" s="5">
        <f t="shared" si="16"/>
        <v>-43.740000000000009</v>
      </c>
      <c r="AK17" s="6">
        <f t="shared" si="17"/>
        <v>0.8958571428571428</v>
      </c>
      <c r="AL17" s="5">
        <f>401.94</f>
        <v>401.94</v>
      </c>
      <c r="AM17" s="5">
        <f>420</f>
        <v>420</v>
      </c>
      <c r="AN17" s="5">
        <f t="shared" si="18"/>
        <v>-18.060000000000002</v>
      </c>
      <c r="AO17" s="6">
        <f t="shared" si="19"/>
        <v>0.95699999999999996</v>
      </c>
      <c r="AP17" s="4"/>
      <c r="AQ17" s="5">
        <f>420</f>
        <v>420</v>
      </c>
      <c r="AR17" s="5">
        <f t="shared" si="20"/>
        <v>-420</v>
      </c>
      <c r="AS17" s="6">
        <f t="shared" si="21"/>
        <v>0</v>
      </c>
      <c r="AT17" s="4"/>
      <c r="AU17" s="5">
        <f>420</f>
        <v>420</v>
      </c>
      <c r="AV17" s="5">
        <f t="shared" si="22"/>
        <v>-420</v>
      </c>
      <c r="AW17" s="6">
        <f t="shared" si="23"/>
        <v>0</v>
      </c>
      <c r="AX17" s="5">
        <f t="shared" si="24"/>
        <v>4134.2299999999996</v>
      </c>
      <c r="AY17" s="5">
        <f t="shared" si="25"/>
        <v>5040</v>
      </c>
      <c r="AZ17" s="5">
        <f t="shared" si="26"/>
        <v>-905.77000000000044</v>
      </c>
      <c r="BA17" s="6">
        <f t="shared" si="27"/>
        <v>0.82028373015873002</v>
      </c>
    </row>
    <row r="18" spans="1:53" x14ac:dyDescent="0.3">
      <c r="A18" s="3" t="s">
        <v>28</v>
      </c>
      <c r="B18" s="5">
        <f>1570.52</f>
        <v>1570.52</v>
      </c>
      <c r="C18" s="5">
        <f>1183</f>
        <v>1183</v>
      </c>
      <c r="D18" s="5">
        <f t="shared" si="0"/>
        <v>387.52</v>
      </c>
      <c r="E18" s="6">
        <f t="shared" si="1"/>
        <v>1.3275739644970415</v>
      </c>
      <c r="F18" s="5">
        <f>1696.08</f>
        <v>1696.08</v>
      </c>
      <c r="G18" s="5">
        <f>1183</f>
        <v>1183</v>
      </c>
      <c r="H18" s="5">
        <f t="shared" si="2"/>
        <v>513.07999999999993</v>
      </c>
      <c r="I18" s="6">
        <f t="shared" si="3"/>
        <v>1.4337109044801353</v>
      </c>
      <c r="J18" s="5">
        <f>1383.64</f>
        <v>1383.64</v>
      </c>
      <c r="K18" s="5">
        <f>1183</f>
        <v>1183</v>
      </c>
      <c r="L18" s="5">
        <f t="shared" si="4"/>
        <v>200.6400000000001</v>
      </c>
      <c r="M18" s="6">
        <f t="shared" si="5"/>
        <v>1.1696027049873206</v>
      </c>
      <c r="N18" s="5">
        <f>1217.2</f>
        <v>1217.2</v>
      </c>
      <c r="O18" s="5">
        <f>1183</f>
        <v>1183</v>
      </c>
      <c r="P18" s="5">
        <f t="shared" si="6"/>
        <v>34.200000000000045</v>
      </c>
      <c r="Q18" s="6">
        <f t="shared" si="7"/>
        <v>1.028909551986475</v>
      </c>
      <c r="R18" s="5">
        <f>931.04</f>
        <v>931.04</v>
      </c>
      <c r="S18" s="5">
        <f>1183</f>
        <v>1183</v>
      </c>
      <c r="T18" s="5">
        <f t="shared" si="8"/>
        <v>-251.96000000000004</v>
      </c>
      <c r="U18" s="6">
        <f t="shared" si="9"/>
        <v>0.78701606086221465</v>
      </c>
      <c r="V18" s="5">
        <f>986.52</f>
        <v>986.52</v>
      </c>
      <c r="W18" s="5">
        <f>1183</f>
        <v>1183</v>
      </c>
      <c r="X18" s="5">
        <f t="shared" si="10"/>
        <v>-196.48000000000002</v>
      </c>
      <c r="Y18" s="6">
        <f t="shared" si="11"/>
        <v>0.83391377852916315</v>
      </c>
      <c r="Z18" s="5">
        <f>969.48</f>
        <v>969.48</v>
      </c>
      <c r="AA18" s="5">
        <f>1183</f>
        <v>1183</v>
      </c>
      <c r="AB18" s="5">
        <f t="shared" si="12"/>
        <v>-213.51999999999998</v>
      </c>
      <c r="AC18" s="6">
        <f t="shared" si="13"/>
        <v>0.81950972104818265</v>
      </c>
      <c r="AD18" s="5">
        <f>1001.58</f>
        <v>1001.58</v>
      </c>
      <c r="AE18" s="5">
        <f>1183</f>
        <v>1183</v>
      </c>
      <c r="AF18" s="5">
        <f t="shared" si="14"/>
        <v>-181.41999999999996</v>
      </c>
      <c r="AG18" s="6">
        <f t="shared" si="15"/>
        <v>0.84664412510566356</v>
      </c>
      <c r="AH18" s="5">
        <f>1001.58</f>
        <v>1001.58</v>
      </c>
      <c r="AI18" s="5">
        <f>1183</f>
        <v>1183</v>
      </c>
      <c r="AJ18" s="5">
        <f t="shared" si="16"/>
        <v>-181.41999999999996</v>
      </c>
      <c r="AK18" s="6">
        <f t="shared" si="17"/>
        <v>0.84664412510566356</v>
      </c>
      <c r="AL18" s="5">
        <f>1043.31</f>
        <v>1043.31</v>
      </c>
      <c r="AM18" s="5">
        <f>1183</f>
        <v>1183</v>
      </c>
      <c r="AN18" s="5">
        <f t="shared" si="18"/>
        <v>-139.69000000000005</v>
      </c>
      <c r="AO18" s="6">
        <f t="shared" si="19"/>
        <v>0.88191885038038875</v>
      </c>
      <c r="AP18" s="4"/>
      <c r="AQ18" s="5">
        <f>1183</f>
        <v>1183</v>
      </c>
      <c r="AR18" s="5">
        <f t="shared" si="20"/>
        <v>-1183</v>
      </c>
      <c r="AS18" s="6">
        <f t="shared" si="21"/>
        <v>0</v>
      </c>
      <c r="AT18" s="4"/>
      <c r="AU18" s="5">
        <f>1183</f>
        <v>1183</v>
      </c>
      <c r="AV18" s="5">
        <f t="shared" si="22"/>
        <v>-1183</v>
      </c>
      <c r="AW18" s="6">
        <f t="shared" si="23"/>
        <v>0</v>
      </c>
      <c r="AX18" s="5">
        <f t="shared" si="24"/>
        <v>11800.949999999999</v>
      </c>
      <c r="AY18" s="5">
        <f t="shared" si="25"/>
        <v>14196</v>
      </c>
      <c r="AZ18" s="5">
        <f t="shared" si="26"/>
        <v>-2395.0500000000011</v>
      </c>
      <c r="BA18" s="6">
        <f t="shared" si="27"/>
        <v>0.8312869822485206</v>
      </c>
    </row>
    <row r="19" spans="1:53" x14ac:dyDescent="0.3">
      <c r="A19" s="3" t="s">
        <v>29</v>
      </c>
      <c r="B19" s="5">
        <f>2508</f>
        <v>2508</v>
      </c>
      <c r="C19" s="5">
        <f>1420</f>
        <v>1420</v>
      </c>
      <c r="D19" s="5">
        <f t="shared" si="0"/>
        <v>1088</v>
      </c>
      <c r="E19" s="6">
        <f t="shared" si="1"/>
        <v>1.7661971830985916</v>
      </c>
      <c r="F19" s="5">
        <f>2659.84</f>
        <v>2659.84</v>
      </c>
      <c r="G19" s="5">
        <f>1420</f>
        <v>1420</v>
      </c>
      <c r="H19" s="5">
        <f t="shared" si="2"/>
        <v>1239.8400000000001</v>
      </c>
      <c r="I19" s="6">
        <f t="shared" si="3"/>
        <v>1.8731267605633803</v>
      </c>
      <c r="J19" s="5">
        <f>2107.96</f>
        <v>2107.96</v>
      </c>
      <c r="K19" s="5">
        <f>1420</f>
        <v>1420</v>
      </c>
      <c r="L19" s="5">
        <f t="shared" si="4"/>
        <v>687.96</v>
      </c>
      <c r="M19" s="6">
        <f t="shared" si="5"/>
        <v>1.4844788732394367</v>
      </c>
      <c r="N19" s="5">
        <f>1310.8</f>
        <v>1310.8</v>
      </c>
      <c r="O19" s="5">
        <f>1420</f>
        <v>1420</v>
      </c>
      <c r="P19" s="5">
        <f t="shared" si="6"/>
        <v>-109.20000000000005</v>
      </c>
      <c r="Q19" s="6">
        <f t="shared" si="7"/>
        <v>0.92309859154929574</v>
      </c>
      <c r="R19" s="5">
        <f>1059.68</f>
        <v>1059.68</v>
      </c>
      <c r="S19" s="5">
        <f>1420</f>
        <v>1420</v>
      </c>
      <c r="T19" s="5">
        <f t="shared" si="8"/>
        <v>-360.31999999999994</v>
      </c>
      <c r="U19" s="6">
        <f t="shared" si="9"/>
        <v>0.74625352112676058</v>
      </c>
      <c r="V19" s="5">
        <f>995.44</f>
        <v>995.44</v>
      </c>
      <c r="W19" s="5">
        <f>1420</f>
        <v>1420</v>
      </c>
      <c r="X19" s="5">
        <f t="shared" si="10"/>
        <v>-424.55999999999995</v>
      </c>
      <c r="Y19" s="6">
        <f t="shared" si="11"/>
        <v>0.70101408450704228</v>
      </c>
      <c r="Z19" s="5">
        <f>1033.83</f>
        <v>1033.83</v>
      </c>
      <c r="AA19" s="5">
        <f>1420</f>
        <v>1420</v>
      </c>
      <c r="AB19" s="5">
        <f t="shared" si="12"/>
        <v>-386.17000000000007</v>
      </c>
      <c r="AC19" s="6">
        <f t="shared" si="13"/>
        <v>0.72804929577464783</v>
      </c>
      <c r="AD19" s="5">
        <f>1232.85</f>
        <v>1232.8499999999999</v>
      </c>
      <c r="AE19" s="5">
        <f>1420</f>
        <v>1420</v>
      </c>
      <c r="AF19" s="5">
        <f t="shared" si="14"/>
        <v>-187.15000000000009</v>
      </c>
      <c r="AG19" s="6">
        <f t="shared" si="15"/>
        <v>0.86820422535211261</v>
      </c>
      <c r="AH19" s="5">
        <f>1098.03</f>
        <v>1098.03</v>
      </c>
      <c r="AI19" s="5">
        <f>1420</f>
        <v>1420</v>
      </c>
      <c r="AJ19" s="5">
        <f t="shared" si="16"/>
        <v>-321.97000000000003</v>
      </c>
      <c r="AK19" s="6">
        <f t="shared" si="17"/>
        <v>0.77326056338028171</v>
      </c>
      <c r="AL19" s="5">
        <f>1203.96</f>
        <v>1203.96</v>
      </c>
      <c r="AM19" s="5">
        <f>1420</f>
        <v>1420</v>
      </c>
      <c r="AN19" s="5">
        <f t="shared" si="18"/>
        <v>-216.03999999999996</v>
      </c>
      <c r="AO19" s="6">
        <f t="shared" si="19"/>
        <v>0.84785915492957753</v>
      </c>
      <c r="AP19" s="4"/>
      <c r="AQ19" s="5">
        <f>1420</f>
        <v>1420</v>
      </c>
      <c r="AR19" s="5">
        <f t="shared" si="20"/>
        <v>-1420</v>
      </c>
      <c r="AS19" s="6">
        <f t="shared" si="21"/>
        <v>0</v>
      </c>
      <c r="AT19" s="4"/>
      <c r="AU19" s="5">
        <f>1420</f>
        <v>1420</v>
      </c>
      <c r="AV19" s="5">
        <f t="shared" si="22"/>
        <v>-1420</v>
      </c>
      <c r="AW19" s="6">
        <f t="shared" si="23"/>
        <v>0</v>
      </c>
      <c r="AX19" s="5">
        <f t="shared" si="24"/>
        <v>15210.390000000003</v>
      </c>
      <c r="AY19" s="5">
        <f t="shared" si="25"/>
        <v>17040</v>
      </c>
      <c r="AZ19" s="5">
        <f t="shared" si="26"/>
        <v>-1829.6099999999969</v>
      </c>
      <c r="BA19" s="6">
        <f t="shared" si="27"/>
        <v>0.89262852112676072</v>
      </c>
    </row>
    <row r="20" spans="1:53" x14ac:dyDescent="0.3">
      <c r="A20" s="3" t="s">
        <v>30</v>
      </c>
      <c r="B20" s="7">
        <f>(((((((((B10)+(B11))+(B12))+(B13))+(B14))+(B15))+(B16))+(B17))+(B18))+(B19)</f>
        <v>18581.980000000003</v>
      </c>
      <c r="C20" s="7">
        <f>(((((((((C10)+(C11))+(C12))+(C13))+(C14))+(C15))+(C16))+(C17))+(C18))+(C19)</f>
        <v>12712</v>
      </c>
      <c r="D20" s="7">
        <f t="shared" si="0"/>
        <v>5869.9800000000032</v>
      </c>
      <c r="E20" s="8">
        <f t="shared" si="1"/>
        <v>1.4617668344870991</v>
      </c>
      <c r="F20" s="7">
        <f>(((((((((F10)+(F11))+(F12))+(F13))+(F14))+(F15))+(F16))+(F17))+(F18))+(F19)</f>
        <v>19706.02</v>
      </c>
      <c r="G20" s="7">
        <f>(((((((((G10)+(G11))+(G12))+(G13))+(G14))+(G15))+(G16))+(G17))+(G18))+(G19)</f>
        <v>12712</v>
      </c>
      <c r="H20" s="7">
        <f t="shared" si="2"/>
        <v>6994.02</v>
      </c>
      <c r="I20" s="8">
        <f t="shared" si="3"/>
        <v>1.5501903713027061</v>
      </c>
      <c r="J20" s="7">
        <f>(((((((((J10)+(J11))+(J12))+(J13))+(J14))+(J15))+(J16))+(J17))+(J18))+(J19)</f>
        <v>15900.75</v>
      </c>
      <c r="K20" s="7">
        <f>(((((((((K10)+(K11))+(K12))+(K13))+(K14))+(K15))+(K16))+(K17))+(K18))+(K19)</f>
        <v>12712</v>
      </c>
      <c r="L20" s="7">
        <f t="shared" si="4"/>
        <v>3188.75</v>
      </c>
      <c r="M20" s="8">
        <f t="shared" si="5"/>
        <v>1.2508456576463185</v>
      </c>
      <c r="N20" s="7">
        <f>(((((((((N10)+(N11))+(N12))+(N13))+(N14))+(N15))+(N16))+(N17))+(N18))+(N19)</f>
        <v>12438.14</v>
      </c>
      <c r="O20" s="7">
        <f>(((((((((O10)+(O11))+(O12))+(O13))+(O14))+(O15))+(O16))+(O17))+(O18))+(O19)</f>
        <v>12712</v>
      </c>
      <c r="P20" s="7">
        <f t="shared" si="6"/>
        <v>-273.86000000000058</v>
      </c>
      <c r="Q20" s="8">
        <f t="shared" si="7"/>
        <v>0.9784565764631844</v>
      </c>
      <c r="R20" s="7">
        <f>(((((((((R10)+(R11))+(R12))+(R13))+(R14))+(R15))+(R16))+(R17))+(R18))+(R19)</f>
        <v>10470.23</v>
      </c>
      <c r="S20" s="7">
        <f>(((((((((S10)+(S11))+(S12))+(S13))+(S14))+(S15))+(S16))+(S17))+(S18))+(S19)</f>
        <v>12712</v>
      </c>
      <c r="T20" s="7">
        <f t="shared" si="8"/>
        <v>-2241.7700000000004</v>
      </c>
      <c r="U20" s="8">
        <f t="shared" si="9"/>
        <v>0.82364930774071743</v>
      </c>
      <c r="V20" s="7">
        <f>(((((((((V10)+(V11))+(V12))+(V13))+(V14))+(V15))+(V16))+(V17))+(V18))+(V19)</f>
        <v>10385.380000000001</v>
      </c>
      <c r="W20" s="7">
        <f>(((((((((W10)+(W11))+(W12))+(W13))+(W14))+(W15))+(W16))+(W17))+(W18))+(W19)</f>
        <v>12712</v>
      </c>
      <c r="X20" s="7">
        <f t="shared" si="10"/>
        <v>-2326.619999999999</v>
      </c>
      <c r="Y20" s="8">
        <f t="shared" si="11"/>
        <v>0.81697451227186924</v>
      </c>
      <c r="Z20" s="7">
        <f>(((((((((Z10)+(Z11))+(Z12))+(Z13))+(Z14))+(Z15))+(Z16))+(Z17))+(Z18))+(Z19)</f>
        <v>10379.710000000001</v>
      </c>
      <c r="AA20" s="7">
        <f>(((((((((AA10)+(AA11))+(AA12))+(AA13))+(AA14))+(AA15))+(AA16))+(AA17))+(AA18))+(AA19)</f>
        <v>12712</v>
      </c>
      <c r="AB20" s="7">
        <f t="shared" si="12"/>
        <v>-2332.2899999999991</v>
      </c>
      <c r="AC20" s="8">
        <f t="shared" si="13"/>
        <v>0.81652847702957843</v>
      </c>
      <c r="AD20" s="7">
        <f>(((((((((AD10)+(AD11))+(AD12))+(AD13))+(AD14))+(AD15))+(AD16))+(AD17))+(AD18))+(AD19)</f>
        <v>10738.640000000001</v>
      </c>
      <c r="AE20" s="7">
        <f>(((((((((AE10)+(AE11))+(AE12))+(AE13))+(AE14))+(AE15))+(AE16))+(AE17))+(AE18))+(AE19)</f>
        <v>12712</v>
      </c>
      <c r="AF20" s="7">
        <f t="shared" si="14"/>
        <v>-1973.3599999999988</v>
      </c>
      <c r="AG20" s="8">
        <f t="shared" si="15"/>
        <v>0.84476400251730654</v>
      </c>
      <c r="AH20" s="7">
        <f>(((((((((AH10)+(AH11))+(AH12))+(AH13))+(AH14))+(AH15))+(AH16))+(AH17))+(AH18))+(AH19)</f>
        <v>11184.93</v>
      </c>
      <c r="AI20" s="7">
        <f>(((((((((AI10)+(AI11))+(AI12))+(AI13))+(AI14))+(AI15))+(AI16))+(AI17))+(AI18))+(AI19)</f>
        <v>12712</v>
      </c>
      <c r="AJ20" s="7">
        <f t="shared" si="16"/>
        <v>-1527.0699999999997</v>
      </c>
      <c r="AK20" s="8">
        <f t="shared" si="17"/>
        <v>0.87987177470106992</v>
      </c>
      <c r="AL20" s="7">
        <f>(((((((((AL10)+(AL11))+(AL12))+(AL13))+(AL14))+(AL15))+(AL16))+(AL17))+(AL18))+(AL19)</f>
        <v>11619.66</v>
      </c>
      <c r="AM20" s="7">
        <f>(((((((((AM10)+(AM11))+(AM12))+(AM13))+(AM14))+(AM15))+(AM16))+(AM17))+(AM18))+(AM19)</f>
        <v>12712</v>
      </c>
      <c r="AN20" s="7">
        <f t="shared" si="18"/>
        <v>-1092.3400000000001</v>
      </c>
      <c r="AO20" s="8">
        <f t="shared" si="19"/>
        <v>0.91407016991818757</v>
      </c>
      <c r="AP20" s="7">
        <f>(((((((((AP10)+(AP11))+(AP12))+(AP13))+(AP14))+(AP15))+(AP16))+(AP17))+(AP18))+(AP19)</f>
        <v>0</v>
      </c>
      <c r="AQ20" s="7">
        <f>(((((((((AQ10)+(AQ11))+(AQ12))+(AQ13))+(AQ14))+(AQ15))+(AQ16))+(AQ17))+(AQ18))+(AQ19)</f>
        <v>12712</v>
      </c>
      <c r="AR20" s="7">
        <f t="shared" si="20"/>
        <v>-12712</v>
      </c>
      <c r="AS20" s="8">
        <f t="shared" si="21"/>
        <v>0</v>
      </c>
      <c r="AT20" s="7">
        <f>(((((((((AT10)+(AT11))+(AT12))+(AT13))+(AT14))+(AT15))+(AT16))+(AT17))+(AT18))+(AT19)</f>
        <v>0</v>
      </c>
      <c r="AU20" s="7">
        <f>(((((((((AU10)+(AU11))+(AU12))+(AU13))+(AU14))+(AU15))+(AU16))+(AU17))+(AU18))+(AU19)</f>
        <v>12712</v>
      </c>
      <c r="AV20" s="7">
        <f t="shared" si="22"/>
        <v>-12712</v>
      </c>
      <c r="AW20" s="8">
        <f t="shared" si="23"/>
        <v>0</v>
      </c>
      <c r="AX20" s="7">
        <f t="shared" si="24"/>
        <v>131405.44</v>
      </c>
      <c r="AY20" s="7">
        <f t="shared" si="25"/>
        <v>152544</v>
      </c>
      <c r="AZ20" s="7">
        <f t="shared" si="26"/>
        <v>-21138.559999999998</v>
      </c>
      <c r="BA20" s="8">
        <f t="shared" si="27"/>
        <v>0.86142647367316971</v>
      </c>
    </row>
    <row r="21" spans="1:53" x14ac:dyDescent="0.3">
      <c r="A21" s="3" t="s">
        <v>31</v>
      </c>
      <c r="B21" s="5">
        <f>247.83</f>
        <v>247.83</v>
      </c>
      <c r="C21" s="5">
        <f>833.33</f>
        <v>833.33</v>
      </c>
      <c r="D21" s="5">
        <f t="shared" si="0"/>
        <v>-585.5</v>
      </c>
      <c r="E21" s="6">
        <f t="shared" si="1"/>
        <v>0.29739718958875838</v>
      </c>
      <c r="F21" s="5">
        <f>259.51</f>
        <v>259.51</v>
      </c>
      <c r="G21" s="5">
        <f>833.33</f>
        <v>833.33</v>
      </c>
      <c r="H21" s="5">
        <f t="shared" si="2"/>
        <v>-573.82000000000005</v>
      </c>
      <c r="I21" s="6">
        <f t="shared" si="3"/>
        <v>0.31141324565298256</v>
      </c>
      <c r="J21" s="5">
        <f>268.27</f>
        <v>268.27</v>
      </c>
      <c r="K21" s="5">
        <f>833.33</f>
        <v>833.33</v>
      </c>
      <c r="L21" s="5">
        <f t="shared" si="4"/>
        <v>-565.06000000000006</v>
      </c>
      <c r="M21" s="6">
        <f t="shared" si="5"/>
        <v>0.32192528770115075</v>
      </c>
      <c r="N21" s="5">
        <f>221.55</f>
        <v>221.55</v>
      </c>
      <c r="O21" s="5">
        <f>833.33</f>
        <v>833.33</v>
      </c>
      <c r="P21" s="5">
        <f t="shared" si="6"/>
        <v>-611.78</v>
      </c>
      <c r="Q21" s="6">
        <f t="shared" si="7"/>
        <v>0.26586106344425375</v>
      </c>
      <c r="R21" s="5">
        <f>206.95</f>
        <v>206.95</v>
      </c>
      <c r="S21" s="5">
        <f>833.33</f>
        <v>833.33</v>
      </c>
      <c r="T21" s="5">
        <f t="shared" si="8"/>
        <v>-626.38000000000011</v>
      </c>
      <c r="U21" s="6">
        <f t="shared" si="9"/>
        <v>0.24834099336397342</v>
      </c>
      <c r="V21" s="5">
        <f>206.95</f>
        <v>206.95</v>
      </c>
      <c r="W21" s="5">
        <f>833.33</f>
        <v>833.33</v>
      </c>
      <c r="X21" s="5">
        <f t="shared" si="10"/>
        <v>-626.38000000000011</v>
      </c>
      <c r="Y21" s="6">
        <f t="shared" si="11"/>
        <v>0.24834099336397342</v>
      </c>
      <c r="Z21" s="5">
        <f>212.79</f>
        <v>212.79</v>
      </c>
      <c r="AA21" s="5">
        <f>833.33</f>
        <v>833.33</v>
      </c>
      <c r="AB21" s="5">
        <f t="shared" si="12"/>
        <v>-620.54000000000008</v>
      </c>
      <c r="AC21" s="6">
        <f t="shared" si="13"/>
        <v>0.25534902139608556</v>
      </c>
      <c r="AD21" s="5">
        <f>186.67</f>
        <v>186.67</v>
      </c>
      <c r="AE21" s="5">
        <f>833.33</f>
        <v>833.33</v>
      </c>
      <c r="AF21" s="5">
        <f t="shared" si="14"/>
        <v>-646.66000000000008</v>
      </c>
      <c r="AG21" s="6">
        <f t="shared" si="15"/>
        <v>0.22400489601958407</v>
      </c>
      <c r="AH21" s="5">
        <f>212.79</f>
        <v>212.79</v>
      </c>
      <c r="AI21" s="5">
        <f>833.33</f>
        <v>833.33</v>
      </c>
      <c r="AJ21" s="5">
        <f t="shared" si="16"/>
        <v>-620.54000000000008</v>
      </c>
      <c r="AK21" s="6">
        <f t="shared" si="17"/>
        <v>0.25534902139608556</v>
      </c>
      <c r="AL21" s="5">
        <f>227.39</f>
        <v>227.39</v>
      </c>
      <c r="AM21" s="5">
        <f>833.33</f>
        <v>833.33</v>
      </c>
      <c r="AN21" s="5">
        <f t="shared" si="18"/>
        <v>-605.94000000000005</v>
      </c>
      <c r="AO21" s="6">
        <f t="shared" si="19"/>
        <v>0.2728690914763659</v>
      </c>
      <c r="AP21" s="4"/>
      <c r="AQ21" s="5">
        <f>833.33</f>
        <v>833.33</v>
      </c>
      <c r="AR21" s="5">
        <f t="shared" si="20"/>
        <v>-833.33</v>
      </c>
      <c r="AS21" s="6">
        <f t="shared" si="21"/>
        <v>0</v>
      </c>
      <c r="AT21" s="4"/>
      <c r="AU21" s="5">
        <f>833.37</f>
        <v>833.37</v>
      </c>
      <c r="AV21" s="5">
        <f t="shared" si="22"/>
        <v>-833.37</v>
      </c>
      <c r="AW21" s="6">
        <f t="shared" si="23"/>
        <v>0</v>
      </c>
      <c r="AX21" s="5">
        <f t="shared" si="24"/>
        <v>2250.7000000000003</v>
      </c>
      <c r="AY21" s="5">
        <f t="shared" si="25"/>
        <v>10000.000000000002</v>
      </c>
      <c r="AZ21" s="5">
        <f t="shared" si="26"/>
        <v>-7749.3000000000011</v>
      </c>
      <c r="BA21" s="6">
        <f t="shared" si="27"/>
        <v>0.22506999999999999</v>
      </c>
    </row>
    <row r="22" spans="1:53" x14ac:dyDescent="0.3">
      <c r="A22" s="3" t="s">
        <v>32</v>
      </c>
      <c r="B22" s="4"/>
      <c r="C22" s="4"/>
      <c r="D22" s="5">
        <f t="shared" si="0"/>
        <v>0</v>
      </c>
      <c r="E22" s="6" t="str">
        <f t="shared" si="1"/>
        <v/>
      </c>
      <c r="F22" s="4"/>
      <c r="G22" s="4"/>
      <c r="H22" s="5">
        <f t="shared" si="2"/>
        <v>0</v>
      </c>
      <c r="I22" s="6" t="str">
        <f t="shared" si="3"/>
        <v/>
      </c>
      <c r="J22" s="4"/>
      <c r="K22" s="4"/>
      <c r="L22" s="5">
        <f t="shared" si="4"/>
        <v>0</v>
      </c>
      <c r="M22" s="6" t="str">
        <f t="shared" si="5"/>
        <v/>
      </c>
      <c r="N22" s="4"/>
      <c r="O22" s="4"/>
      <c r="P22" s="5">
        <f t="shared" si="6"/>
        <v>0</v>
      </c>
      <c r="Q22" s="6" t="str">
        <f t="shared" si="7"/>
        <v/>
      </c>
      <c r="R22" s="4"/>
      <c r="S22" s="4"/>
      <c r="T22" s="5">
        <f t="shared" si="8"/>
        <v>0</v>
      </c>
      <c r="U22" s="6" t="str">
        <f t="shared" si="9"/>
        <v/>
      </c>
      <c r="V22" s="4"/>
      <c r="W22" s="4"/>
      <c r="X22" s="5">
        <f t="shared" si="10"/>
        <v>0</v>
      </c>
      <c r="Y22" s="6" t="str">
        <f t="shared" si="11"/>
        <v/>
      </c>
      <c r="Z22" s="4"/>
      <c r="AA22" s="4"/>
      <c r="AB22" s="5">
        <f t="shared" si="12"/>
        <v>0</v>
      </c>
      <c r="AC22" s="6" t="str">
        <f t="shared" si="13"/>
        <v/>
      </c>
      <c r="AD22" s="4"/>
      <c r="AE22" s="4"/>
      <c r="AF22" s="5">
        <f t="shared" si="14"/>
        <v>0</v>
      </c>
      <c r="AG22" s="6" t="str">
        <f t="shared" si="15"/>
        <v/>
      </c>
      <c r="AH22" s="4"/>
      <c r="AI22" s="4"/>
      <c r="AJ22" s="5">
        <f t="shared" si="16"/>
        <v>0</v>
      </c>
      <c r="AK22" s="6" t="str">
        <f t="shared" si="17"/>
        <v/>
      </c>
      <c r="AL22" s="4"/>
      <c r="AM22" s="4"/>
      <c r="AN22" s="5">
        <f t="shared" si="18"/>
        <v>0</v>
      </c>
      <c r="AO22" s="6" t="str">
        <f t="shared" si="19"/>
        <v/>
      </c>
      <c r="AP22" s="4"/>
      <c r="AQ22" s="4"/>
      <c r="AR22" s="5">
        <f t="shared" si="20"/>
        <v>0</v>
      </c>
      <c r="AS22" s="6" t="str">
        <f t="shared" si="21"/>
        <v/>
      </c>
      <c r="AT22" s="4"/>
      <c r="AU22" s="4"/>
      <c r="AV22" s="5">
        <f t="shared" si="22"/>
        <v>0</v>
      </c>
      <c r="AW22" s="6" t="str">
        <f t="shared" si="23"/>
        <v/>
      </c>
      <c r="AX22" s="5">
        <f t="shared" si="24"/>
        <v>0</v>
      </c>
      <c r="AY22" s="5">
        <f t="shared" si="25"/>
        <v>0</v>
      </c>
      <c r="AZ22" s="5">
        <f t="shared" si="26"/>
        <v>0</v>
      </c>
      <c r="BA22" s="6" t="str">
        <f t="shared" si="27"/>
        <v/>
      </c>
    </row>
    <row r="23" spans="1:53" x14ac:dyDescent="0.3">
      <c r="A23" s="3" t="s">
        <v>33</v>
      </c>
      <c r="B23" s="5">
        <f>443.47</f>
        <v>443.47</v>
      </c>
      <c r="C23" s="5">
        <f>288</f>
        <v>288</v>
      </c>
      <c r="D23" s="5">
        <f t="shared" si="0"/>
        <v>155.47000000000003</v>
      </c>
      <c r="E23" s="6">
        <f t="shared" si="1"/>
        <v>1.539826388888889</v>
      </c>
      <c r="F23" s="5">
        <f>460.99</f>
        <v>460.99</v>
      </c>
      <c r="G23" s="5">
        <f>288</f>
        <v>288</v>
      </c>
      <c r="H23" s="5">
        <f t="shared" si="2"/>
        <v>172.99</v>
      </c>
      <c r="I23" s="6">
        <f t="shared" si="3"/>
        <v>1.6006597222222223</v>
      </c>
      <c r="J23" s="5">
        <f>329.59</f>
        <v>329.59</v>
      </c>
      <c r="K23" s="5">
        <f>288</f>
        <v>288</v>
      </c>
      <c r="L23" s="5">
        <f t="shared" si="4"/>
        <v>41.589999999999975</v>
      </c>
      <c r="M23" s="6">
        <f t="shared" si="5"/>
        <v>1.144409722222222</v>
      </c>
      <c r="N23" s="5">
        <f>265.35</f>
        <v>265.35000000000002</v>
      </c>
      <c r="O23" s="5">
        <f>288</f>
        <v>288</v>
      </c>
      <c r="P23" s="5">
        <f t="shared" si="6"/>
        <v>-22.649999999999977</v>
      </c>
      <c r="Q23" s="6">
        <f t="shared" si="7"/>
        <v>0.9213541666666667</v>
      </c>
      <c r="R23" s="5">
        <f>224.47</f>
        <v>224.47</v>
      </c>
      <c r="S23" s="5">
        <f>288</f>
        <v>288</v>
      </c>
      <c r="T23" s="5">
        <f t="shared" si="8"/>
        <v>-63.53</v>
      </c>
      <c r="U23" s="6">
        <f t="shared" si="9"/>
        <v>0.77940972222222227</v>
      </c>
      <c r="V23" s="5">
        <f>233.23</f>
        <v>233.23</v>
      </c>
      <c r="W23" s="5">
        <f>288</f>
        <v>288</v>
      </c>
      <c r="X23" s="5">
        <f t="shared" si="10"/>
        <v>-54.77000000000001</v>
      </c>
      <c r="Y23" s="6">
        <f t="shared" si="11"/>
        <v>0.8098263888888888</v>
      </c>
      <c r="Z23" s="5">
        <f>282.18</f>
        <v>282.18</v>
      </c>
      <c r="AA23" s="5">
        <f>288</f>
        <v>288</v>
      </c>
      <c r="AB23" s="5">
        <f t="shared" si="12"/>
        <v>-5.8199999999999932</v>
      </c>
      <c r="AC23" s="6">
        <f t="shared" si="13"/>
        <v>0.97979166666666673</v>
      </c>
      <c r="AD23" s="5">
        <f>275.76</f>
        <v>275.76</v>
      </c>
      <c r="AE23" s="5">
        <f>288</f>
        <v>288</v>
      </c>
      <c r="AF23" s="5">
        <f t="shared" si="14"/>
        <v>-12.240000000000009</v>
      </c>
      <c r="AG23" s="6">
        <f t="shared" si="15"/>
        <v>0.95750000000000002</v>
      </c>
      <c r="AH23" s="5">
        <f>259.71</f>
        <v>259.70999999999998</v>
      </c>
      <c r="AI23" s="5">
        <f>288</f>
        <v>288</v>
      </c>
      <c r="AJ23" s="5">
        <f t="shared" si="16"/>
        <v>-28.29000000000002</v>
      </c>
      <c r="AK23" s="6">
        <f t="shared" si="17"/>
        <v>0.9017708333333333</v>
      </c>
      <c r="AL23" s="5">
        <f>304.65</f>
        <v>304.64999999999998</v>
      </c>
      <c r="AM23" s="5">
        <f>288</f>
        <v>288</v>
      </c>
      <c r="AN23" s="5">
        <f t="shared" si="18"/>
        <v>16.649999999999977</v>
      </c>
      <c r="AO23" s="6">
        <f t="shared" si="19"/>
        <v>1.0578124999999998</v>
      </c>
      <c r="AP23" s="4"/>
      <c r="AQ23" s="5">
        <f>288</f>
        <v>288</v>
      </c>
      <c r="AR23" s="5">
        <f t="shared" si="20"/>
        <v>-288</v>
      </c>
      <c r="AS23" s="6">
        <f t="shared" si="21"/>
        <v>0</v>
      </c>
      <c r="AT23" s="4"/>
      <c r="AU23" s="5">
        <f>288</f>
        <v>288</v>
      </c>
      <c r="AV23" s="5">
        <f t="shared" si="22"/>
        <v>-288</v>
      </c>
      <c r="AW23" s="6">
        <f t="shared" si="23"/>
        <v>0</v>
      </c>
      <c r="AX23" s="5">
        <f t="shared" si="24"/>
        <v>3079.4</v>
      </c>
      <c r="AY23" s="5">
        <f t="shared" si="25"/>
        <v>3456</v>
      </c>
      <c r="AZ23" s="5">
        <f t="shared" si="26"/>
        <v>-376.59999999999991</v>
      </c>
      <c r="BA23" s="6">
        <f t="shared" si="27"/>
        <v>0.89103009259259258</v>
      </c>
    </row>
    <row r="24" spans="1:53" x14ac:dyDescent="0.3">
      <c r="A24" s="3" t="s">
        <v>34</v>
      </c>
      <c r="B24" s="5">
        <f>347.11</f>
        <v>347.11</v>
      </c>
      <c r="C24" s="5">
        <f>407</f>
        <v>407</v>
      </c>
      <c r="D24" s="5">
        <f t="shared" si="0"/>
        <v>-59.889999999999986</v>
      </c>
      <c r="E24" s="6">
        <f t="shared" si="1"/>
        <v>0.85285012285012285</v>
      </c>
      <c r="F24" s="5">
        <f>633.27</f>
        <v>633.27</v>
      </c>
      <c r="G24" s="5">
        <f>407</f>
        <v>407</v>
      </c>
      <c r="H24" s="5">
        <f t="shared" si="2"/>
        <v>226.26999999999998</v>
      </c>
      <c r="I24" s="6">
        <f t="shared" si="3"/>
        <v>1.5559459459459459</v>
      </c>
      <c r="J24" s="5">
        <f>355.87</f>
        <v>355.87</v>
      </c>
      <c r="K24" s="5">
        <f>407</f>
        <v>407</v>
      </c>
      <c r="L24" s="5">
        <f t="shared" si="4"/>
        <v>-51.129999999999995</v>
      </c>
      <c r="M24" s="6">
        <f t="shared" si="5"/>
        <v>0.87437346437346442</v>
      </c>
      <c r="N24" s="5">
        <f>320.83</f>
        <v>320.83</v>
      </c>
      <c r="O24" s="5">
        <f>407</f>
        <v>407</v>
      </c>
      <c r="P24" s="5">
        <f t="shared" si="6"/>
        <v>-86.170000000000016</v>
      </c>
      <c r="Q24" s="6">
        <f t="shared" si="7"/>
        <v>0.78828009828009826</v>
      </c>
      <c r="R24" s="5">
        <f>282.87</f>
        <v>282.87</v>
      </c>
      <c r="S24" s="5">
        <f>407</f>
        <v>407</v>
      </c>
      <c r="T24" s="5">
        <f t="shared" si="8"/>
        <v>-124.13</v>
      </c>
      <c r="U24" s="6">
        <f t="shared" si="9"/>
        <v>0.69501228501228507</v>
      </c>
      <c r="V24" s="5">
        <f>323.75</f>
        <v>323.75</v>
      </c>
      <c r="W24" s="5">
        <f>407</f>
        <v>407</v>
      </c>
      <c r="X24" s="5">
        <f t="shared" si="10"/>
        <v>-83.25</v>
      </c>
      <c r="Y24" s="6">
        <f t="shared" si="11"/>
        <v>0.79545454545454541</v>
      </c>
      <c r="Z24" s="5">
        <f>365.64</f>
        <v>365.64</v>
      </c>
      <c r="AA24" s="5">
        <f>407</f>
        <v>407</v>
      </c>
      <c r="AB24" s="5">
        <f t="shared" si="12"/>
        <v>-41.360000000000014</v>
      </c>
      <c r="AC24" s="6">
        <f t="shared" si="13"/>
        <v>0.89837837837837831</v>
      </c>
      <c r="AD24" s="5">
        <f>625.65</f>
        <v>625.65</v>
      </c>
      <c r="AE24" s="5">
        <f>407</f>
        <v>407</v>
      </c>
      <c r="AF24" s="5">
        <f t="shared" si="14"/>
        <v>218.64999999999998</v>
      </c>
      <c r="AG24" s="6">
        <f t="shared" si="15"/>
        <v>1.5372235872235871</v>
      </c>
      <c r="AH24" s="5">
        <f>311.07</f>
        <v>311.07</v>
      </c>
      <c r="AI24" s="5">
        <f>407</f>
        <v>407</v>
      </c>
      <c r="AJ24" s="5">
        <f t="shared" si="16"/>
        <v>-95.93</v>
      </c>
      <c r="AK24" s="6">
        <f t="shared" si="17"/>
        <v>0.76429975429975427</v>
      </c>
      <c r="AL24" s="5">
        <f>394.53</f>
        <v>394.53</v>
      </c>
      <c r="AM24" s="5">
        <f>407</f>
        <v>407</v>
      </c>
      <c r="AN24" s="5">
        <f t="shared" si="18"/>
        <v>-12.470000000000027</v>
      </c>
      <c r="AO24" s="6">
        <f t="shared" si="19"/>
        <v>0.96936117936117927</v>
      </c>
      <c r="AP24" s="4"/>
      <c r="AQ24" s="5">
        <f>407</f>
        <v>407</v>
      </c>
      <c r="AR24" s="5">
        <f t="shared" si="20"/>
        <v>-407</v>
      </c>
      <c r="AS24" s="6">
        <f t="shared" si="21"/>
        <v>0</v>
      </c>
      <c r="AT24" s="4"/>
      <c r="AU24" s="5">
        <f>407</f>
        <v>407</v>
      </c>
      <c r="AV24" s="5">
        <f t="shared" si="22"/>
        <v>-407</v>
      </c>
      <c r="AW24" s="6">
        <f t="shared" si="23"/>
        <v>0</v>
      </c>
      <c r="AX24" s="5">
        <f t="shared" si="24"/>
        <v>3960.59</v>
      </c>
      <c r="AY24" s="5">
        <f t="shared" si="25"/>
        <v>4884</v>
      </c>
      <c r="AZ24" s="5">
        <f t="shared" si="26"/>
        <v>-923.40999999999985</v>
      </c>
      <c r="BA24" s="6">
        <f t="shared" si="27"/>
        <v>0.81093161343161346</v>
      </c>
    </row>
    <row r="25" spans="1:53" x14ac:dyDescent="0.3">
      <c r="A25" s="3" t="s">
        <v>35</v>
      </c>
      <c r="B25" s="5">
        <f>97.89</f>
        <v>97.89</v>
      </c>
      <c r="C25" s="5">
        <f>94</f>
        <v>94</v>
      </c>
      <c r="D25" s="5">
        <f t="shared" si="0"/>
        <v>3.8900000000000006</v>
      </c>
      <c r="E25" s="6">
        <f t="shared" si="1"/>
        <v>1.0413829787234044</v>
      </c>
      <c r="F25" s="5">
        <f>83.29</f>
        <v>83.29</v>
      </c>
      <c r="G25" s="5">
        <f>94</f>
        <v>94</v>
      </c>
      <c r="H25" s="5">
        <f t="shared" si="2"/>
        <v>-10.709999999999994</v>
      </c>
      <c r="I25" s="6">
        <f t="shared" si="3"/>
        <v>0.88606382978723408</v>
      </c>
      <c r="J25" s="5">
        <f>62.39</f>
        <v>62.39</v>
      </c>
      <c r="K25" s="5">
        <f>94</f>
        <v>94</v>
      </c>
      <c r="L25" s="5">
        <f t="shared" si="4"/>
        <v>-31.61</v>
      </c>
      <c r="M25" s="6">
        <f t="shared" si="5"/>
        <v>0.66372340425531917</v>
      </c>
      <c r="N25" s="5">
        <f>57.01</f>
        <v>57.01</v>
      </c>
      <c r="O25" s="5">
        <f>94</f>
        <v>94</v>
      </c>
      <c r="P25" s="5">
        <f t="shared" si="6"/>
        <v>-36.99</v>
      </c>
      <c r="Q25" s="6">
        <f t="shared" si="7"/>
        <v>0.60648936170212764</v>
      </c>
      <c r="R25" s="5">
        <f>57.01</f>
        <v>57.01</v>
      </c>
      <c r="S25" s="5">
        <f>94</f>
        <v>94</v>
      </c>
      <c r="T25" s="5">
        <f t="shared" si="8"/>
        <v>-36.99</v>
      </c>
      <c r="U25" s="6">
        <f t="shared" si="9"/>
        <v>0.60648936170212764</v>
      </c>
      <c r="V25" s="5">
        <f>57.01</f>
        <v>57.01</v>
      </c>
      <c r="W25" s="5">
        <f>94</f>
        <v>94</v>
      </c>
      <c r="X25" s="5">
        <f t="shared" si="10"/>
        <v>-36.99</v>
      </c>
      <c r="Y25" s="6">
        <f t="shared" si="11"/>
        <v>0.60648936170212764</v>
      </c>
      <c r="Z25" s="5">
        <f>62.71</f>
        <v>62.71</v>
      </c>
      <c r="AA25" s="5">
        <f>94</f>
        <v>94</v>
      </c>
      <c r="AB25" s="5">
        <f t="shared" si="12"/>
        <v>-31.29</v>
      </c>
      <c r="AC25" s="6">
        <f t="shared" si="13"/>
        <v>0.66712765957446807</v>
      </c>
      <c r="AD25" s="5">
        <f>62.71</f>
        <v>62.71</v>
      </c>
      <c r="AE25" s="5">
        <f>94</f>
        <v>94</v>
      </c>
      <c r="AF25" s="5">
        <f t="shared" si="14"/>
        <v>-31.29</v>
      </c>
      <c r="AG25" s="6">
        <f t="shared" si="15"/>
        <v>0.66712765957446807</v>
      </c>
      <c r="AH25" s="5">
        <f>62.71</f>
        <v>62.71</v>
      </c>
      <c r="AI25" s="5">
        <f>94</f>
        <v>94</v>
      </c>
      <c r="AJ25" s="5">
        <f t="shared" si="16"/>
        <v>-31.29</v>
      </c>
      <c r="AK25" s="6">
        <f t="shared" si="17"/>
        <v>0.66712765957446807</v>
      </c>
      <c r="AL25" s="5">
        <f>62.71</f>
        <v>62.71</v>
      </c>
      <c r="AM25" s="5">
        <f>94</f>
        <v>94</v>
      </c>
      <c r="AN25" s="5">
        <f t="shared" si="18"/>
        <v>-31.29</v>
      </c>
      <c r="AO25" s="6">
        <f t="shared" si="19"/>
        <v>0.66712765957446807</v>
      </c>
      <c r="AP25" s="4"/>
      <c r="AQ25" s="5">
        <f>94</f>
        <v>94</v>
      </c>
      <c r="AR25" s="5">
        <f t="shared" si="20"/>
        <v>-94</v>
      </c>
      <c r="AS25" s="6">
        <f t="shared" si="21"/>
        <v>0</v>
      </c>
      <c r="AT25" s="4"/>
      <c r="AU25" s="5">
        <f>94</f>
        <v>94</v>
      </c>
      <c r="AV25" s="5">
        <f t="shared" si="22"/>
        <v>-94</v>
      </c>
      <c r="AW25" s="6">
        <f t="shared" si="23"/>
        <v>0</v>
      </c>
      <c r="AX25" s="5">
        <f t="shared" si="24"/>
        <v>665.44</v>
      </c>
      <c r="AY25" s="5">
        <f t="shared" si="25"/>
        <v>1128</v>
      </c>
      <c r="AZ25" s="5">
        <f t="shared" si="26"/>
        <v>-462.55999999999995</v>
      </c>
      <c r="BA25" s="6">
        <f t="shared" si="27"/>
        <v>0.58992907801418448</v>
      </c>
    </row>
    <row r="26" spans="1:53" x14ac:dyDescent="0.3">
      <c r="A26" s="3" t="s">
        <v>36</v>
      </c>
      <c r="B26" s="5">
        <f>1065.43</f>
        <v>1065.43</v>
      </c>
      <c r="C26" s="5">
        <f>1094</f>
        <v>1094</v>
      </c>
      <c r="D26" s="5">
        <f t="shared" si="0"/>
        <v>-28.569999999999936</v>
      </c>
      <c r="E26" s="6">
        <f t="shared" si="1"/>
        <v>0.9738848263254114</v>
      </c>
      <c r="F26" s="5">
        <f>1039.15</f>
        <v>1039.1500000000001</v>
      </c>
      <c r="G26" s="5">
        <f>1094</f>
        <v>1094</v>
      </c>
      <c r="H26" s="5">
        <f t="shared" si="2"/>
        <v>-54.849999999999909</v>
      </c>
      <c r="I26" s="6">
        <f t="shared" si="3"/>
        <v>0.94986288848263267</v>
      </c>
      <c r="J26" s="5">
        <f>1004.11</f>
        <v>1004.11</v>
      </c>
      <c r="K26" s="5">
        <f>1094</f>
        <v>1094</v>
      </c>
      <c r="L26" s="5">
        <f t="shared" si="4"/>
        <v>-89.889999999999986</v>
      </c>
      <c r="M26" s="6">
        <f t="shared" si="5"/>
        <v>0.91783363802559415</v>
      </c>
      <c r="N26" s="5">
        <f>1135.51</f>
        <v>1135.51</v>
      </c>
      <c r="O26" s="5">
        <f>1094</f>
        <v>1094</v>
      </c>
      <c r="P26" s="5">
        <f t="shared" si="6"/>
        <v>41.509999999999991</v>
      </c>
      <c r="Q26" s="6">
        <f t="shared" si="7"/>
        <v>1.037943327239488</v>
      </c>
      <c r="R26" s="5">
        <f>1012.87</f>
        <v>1012.87</v>
      </c>
      <c r="S26" s="5">
        <f>1094</f>
        <v>1094</v>
      </c>
      <c r="T26" s="5">
        <f t="shared" si="8"/>
        <v>-81.13</v>
      </c>
      <c r="U26" s="6">
        <f t="shared" si="9"/>
        <v>0.92584095063985372</v>
      </c>
      <c r="V26" s="5">
        <f>1085.87</f>
        <v>1085.8699999999999</v>
      </c>
      <c r="W26" s="5">
        <f>1094</f>
        <v>1094</v>
      </c>
      <c r="X26" s="5">
        <f t="shared" si="10"/>
        <v>-8.1300000000001091</v>
      </c>
      <c r="Y26" s="6">
        <f t="shared" si="11"/>
        <v>0.99256855575868363</v>
      </c>
      <c r="Z26" s="5">
        <f>1190.78</f>
        <v>1190.78</v>
      </c>
      <c r="AA26" s="5">
        <f>1094</f>
        <v>1094</v>
      </c>
      <c r="AB26" s="5">
        <f t="shared" si="12"/>
        <v>96.779999999999973</v>
      </c>
      <c r="AC26" s="6">
        <f t="shared" si="13"/>
        <v>1.0884643510054843</v>
      </c>
      <c r="AD26" s="5">
        <f>1155.47</f>
        <v>1155.47</v>
      </c>
      <c r="AE26" s="5">
        <f>1094</f>
        <v>1094</v>
      </c>
      <c r="AF26" s="5">
        <f t="shared" si="14"/>
        <v>61.470000000000027</v>
      </c>
      <c r="AG26" s="6">
        <f t="shared" si="15"/>
        <v>1.0561882998171848</v>
      </c>
      <c r="AH26" s="5">
        <f>1563.14</f>
        <v>1563.14</v>
      </c>
      <c r="AI26" s="5">
        <f>1094</f>
        <v>1094</v>
      </c>
      <c r="AJ26" s="5">
        <f t="shared" si="16"/>
        <v>469.1400000000001</v>
      </c>
      <c r="AK26" s="6">
        <f t="shared" si="17"/>
        <v>1.4288299817184644</v>
      </c>
      <c r="AL26" s="5">
        <f>1402.64</f>
        <v>1402.64</v>
      </c>
      <c r="AM26" s="5">
        <f>1094</f>
        <v>1094</v>
      </c>
      <c r="AN26" s="5">
        <f t="shared" si="18"/>
        <v>308.6400000000001</v>
      </c>
      <c r="AO26" s="6">
        <f t="shared" si="19"/>
        <v>1.2821206581352835</v>
      </c>
      <c r="AP26" s="4"/>
      <c r="AQ26" s="5">
        <f>1094</f>
        <v>1094</v>
      </c>
      <c r="AR26" s="5">
        <f t="shared" si="20"/>
        <v>-1094</v>
      </c>
      <c r="AS26" s="6">
        <f t="shared" si="21"/>
        <v>0</v>
      </c>
      <c r="AT26" s="4"/>
      <c r="AU26" s="5">
        <f>1094</f>
        <v>1094</v>
      </c>
      <c r="AV26" s="5">
        <f t="shared" si="22"/>
        <v>-1094</v>
      </c>
      <c r="AW26" s="6">
        <f t="shared" si="23"/>
        <v>0</v>
      </c>
      <c r="AX26" s="5">
        <f t="shared" si="24"/>
        <v>11654.969999999998</v>
      </c>
      <c r="AY26" s="5">
        <f t="shared" si="25"/>
        <v>13128</v>
      </c>
      <c r="AZ26" s="5">
        <f t="shared" si="26"/>
        <v>-1473.0300000000025</v>
      </c>
      <c r="BA26" s="6">
        <f t="shared" si="27"/>
        <v>0.88779478976233983</v>
      </c>
    </row>
    <row r="27" spans="1:53" x14ac:dyDescent="0.3">
      <c r="A27" s="3" t="s">
        <v>37</v>
      </c>
      <c r="B27" s="5">
        <f>706.27</f>
        <v>706.27</v>
      </c>
      <c r="C27" s="5">
        <f>904</f>
        <v>904</v>
      </c>
      <c r="D27" s="5">
        <f t="shared" si="0"/>
        <v>-197.73000000000002</v>
      </c>
      <c r="E27" s="6">
        <f t="shared" si="1"/>
        <v>0.78127212389380529</v>
      </c>
      <c r="F27" s="5">
        <f>694.59</f>
        <v>694.59</v>
      </c>
      <c r="G27" s="5">
        <f>904</f>
        <v>904</v>
      </c>
      <c r="H27" s="5">
        <f t="shared" si="2"/>
        <v>-209.40999999999997</v>
      </c>
      <c r="I27" s="6">
        <f t="shared" si="3"/>
        <v>0.76835176991150445</v>
      </c>
      <c r="J27" s="5">
        <f>615.75</f>
        <v>615.75</v>
      </c>
      <c r="K27" s="5">
        <f>904</f>
        <v>904</v>
      </c>
      <c r="L27" s="5">
        <f t="shared" si="4"/>
        <v>-288.25</v>
      </c>
      <c r="M27" s="6">
        <f t="shared" si="5"/>
        <v>0.68113938053097345</v>
      </c>
      <c r="N27" s="5">
        <f>601.15</f>
        <v>601.15</v>
      </c>
      <c r="O27" s="5">
        <f>904</f>
        <v>904</v>
      </c>
      <c r="P27" s="5">
        <f t="shared" si="6"/>
        <v>-302.85000000000002</v>
      </c>
      <c r="Q27" s="6">
        <f t="shared" si="7"/>
        <v>0.66498893805309733</v>
      </c>
      <c r="R27" s="5">
        <f>589.47</f>
        <v>589.47</v>
      </c>
      <c r="S27" s="5">
        <f>904</f>
        <v>904</v>
      </c>
      <c r="T27" s="5">
        <f t="shared" si="8"/>
        <v>-314.52999999999997</v>
      </c>
      <c r="U27" s="6">
        <f t="shared" si="9"/>
        <v>0.65206858407079649</v>
      </c>
      <c r="V27" s="5">
        <f>589.47</f>
        <v>589.47</v>
      </c>
      <c r="W27" s="5">
        <f>904</f>
        <v>904</v>
      </c>
      <c r="X27" s="5">
        <f t="shared" si="10"/>
        <v>-314.52999999999997</v>
      </c>
      <c r="Y27" s="6">
        <f t="shared" si="11"/>
        <v>0.65206858407079649</v>
      </c>
      <c r="Z27" s="5">
        <f>606.39</f>
        <v>606.39</v>
      </c>
      <c r="AA27" s="5">
        <f>904</f>
        <v>904</v>
      </c>
      <c r="AB27" s="5">
        <f t="shared" si="12"/>
        <v>-297.61</v>
      </c>
      <c r="AC27" s="6">
        <f t="shared" si="13"/>
        <v>0.67078539823008843</v>
      </c>
      <c r="AD27" s="5">
        <f>625.65</f>
        <v>625.65</v>
      </c>
      <c r="AE27" s="5">
        <f>904</f>
        <v>904</v>
      </c>
      <c r="AF27" s="5">
        <f t="shared" si="14"/>
        <v>-278.35000000000002</v>
      </c>
      <c r="AG27" s="6">
        <f t="shared" si="15"/>
        <v>0.6920907079646017</v>
      </c>
      <c r="AH27" s="5">
        <f>583.92</f>
        <v>583.91999999999996</v>
      </c>
      <c r="AI27" s="5">
        <f>904</f>
        <v>904</v>
      </c>
      <c r="AJ27" s="5">
        <f t="shared" si="16"/>
        <v>-320.08000000000004</v>
      </c>
      <c r="AK27" s="6">
        <f t="shared" si="17"/>
        <v>0.64592920353982297</v>
      </c>
      <c r="AL27" s="5">
        <f>638.49</f>
        <v>638.49</v>
      </c>
      <c r="AM27" s="5">
        <f>904</f>
        <v>904</v>
      </c>
      <c r="AN27" s="5">
        <f t="shared" si="18"/>
        <v>-265.51</v>
      </c>
      <c r="AO27" s="6">
        <f t="shared" si="19"/>
        <v>0.70629424778761063</v>
      </c>
      <c r="AP27" s="4"/>
      <c r="AQ27" s="5">
        <f>904</f>
        <v>904</v>
      </c>
      <c r="AR27" s="5">
        <f t="shared" si="20"/>
        <v>-904</v>
      </c>
      <c r="AS27" s="6">
        <f t="shared" si="21"/>
        <v>0</v>
      </c>
      <c r="AT27" s="4"/>
      <c r="AU27" s="5">
        <f>904</f>
        <v>904</v>
      </c>
      <c r="AV27" s="5">
        <f t="shared" si="22"/>
        <v>-904</v>
      </c>
      <c r="AW27" s="6">
        <f t="shared" si="23"/>
        <v>0</v>
      </c>
      <c r="AX27" s="5">
        <f t="shared" si="24"/>
        <v>6251.1500000000005</v>
      </c>
      <c r="AY27" s="5">
        <f t="shared" si="25"/>
        <v>10848</v>
      </c>
      <c r="AZ27" s="5">
        <f t="shared" si="26"/>
        <v>-4596.8499999999995</v>
      </c>
      <c r="BA27" s="6">
        <f t="shared" si="27"/>
        <v>0.5762490781710915</v>
      </c>
    </row>
    <row r="28" spans="1:53" x14ac:dyDescent="0.3">
      <c r="A28" s="3" t="s">
        <v>38</v>
      </c>
      <c r="B28" s="5">
        <f>907</f>
        <v>907</v>
      </c>
      <c r="C28" s="5">
        <f>882</f>
        <v>882</v>
      </c>
      <c r="D28" s="5">
        <f t="shared" si="0"/>
        <v>25</v>
      </c>
      <c r="E28" s="6">
        <f t="shared" si="1"/>
        <v>1.0283446712018141</v>
      </c>
      <c r="F28" s="5">
        <f>1169.8</f>
        <v>1169.8</v>
      </c>
      <c r="G28" s="5">
        <f>882</f>
        <v>882</v>
      </c>
      <c r="H28" s="5">
        <f t="shared" si="2"/>
        <v>287.79999999999995</v>
      </c>
      <c r="I28" s="6">
        <f t="shared" si="3"/>
        <v>1.3263038548752835</v>
      </c>
      <c r="J28" s="5">
        <f>1105.56</f>
        <v>1105.56</v>
      </c>
      <c r="K28" s="5">
        <f>882</f>
        <v>882</v>
      </c>
      <c r="L28" s="5">
        <f t="shared" si="4"/>
        <v>223.55999999999995</v>
      </c>
      <c r="M28" s="6">
        <f t="shared" si="5"/>
        <v>1.253469387755102</v>
      </c>
      <c r="N28" s="5">
        <f>533.24</f>
        <v>533.24</v>
      </c>
      <c r="O28" s="5">
        <f>882</f>
        <v>882</v>
      </c>
      <c r="P28" s="5">
        <f t="shared" si="6"/>
        <v>-348.76</v>
      </c>
      <c r="Q28" s="6">
        <f t="shared" si="7"/>
        <v>0.60458049886621312</v>
      </c>
      <c r="R28" s="5">
        <f>594.56</f>
        <v>594.55999999999995</v>
      </c>
      <c r="S28" s="5">
        <f>882</f>
        <v>882</v>
      </c>
      <c r="T28" s="5">
        <f t="shared" si="8"/>
        <v>-287.44000000000005</v>
      </c>
      <c r="U28" s="6">
        <f t="shared" si="9"/>
        <v>0.67410430839002267</v>
      </c>
      <c r="V28" s="5">
        <f>471.92</f>
        <v>471.92</v>
      </c>
      <c r="W28" s="5">
        <f>882</f>
        <v>882</v>
      </c>
      <c r="X28" s="5">
        <f t="shared" si="10"/>
        <v>-410.08</v>
      </c>
      <c r="Y28" s="6">
        <f t="shared" si="11"/>
        <v>0.53505668934240369</v>
      </c>
      <c r="Z28" s="5">
        <f>483.72</f>
        <v>483.72</v>
      </c>
      <c r="AA28" s="5">
        <f>882</f>
        <v>882</v>
      </c>
      <c r="AB28" s="5">
        <f t="shared" si="12"/>
        <v>-398.28</v>
      </c>
      <c r="AC28" s="6">
        <f t="shared" si="13"/>
        <v>0.54843537414965993</v>
      </c>
      <c r="AD28" s="5">
        <f>486.93</f>
        <v>486.93</v>
      </c>
      <c r="AE28" s="5">
        <f>882</f>
        <v>882</v>
      </c>
      <c r="AF28" s="5">
        <f t="shared" si="14"/>
        <v>-395.07</v>
      </c>
      <c r="AG28" s="6">
        <f t="shared" si="15"/>
        <v>0.55207482993197277</v>
      </c>
      <c r="AH28" s="5">
        <f>499.77</f>
        <v>499.77</v>
      </c>
      <c r="AI28" s="5">
        <f>882</f>
        <v>882</v>
      </c>
      <c r="AJ28" s="5">
        <f t="shared" si="16"/>
        <v>-382.23</v>
      </c>
      <c r="AK28" s="6">
        <f t="shared" si="17"/>
        <v>0.56663265306122446</v>
      </c>
      <c r="AL28" s="5">
        <f>528.66</f>
        <v>528.66</v>
      </c>
      <c r="AM28" s="5">
        <f>882</f>
        <v>882</v>
      </c>
      <c r="AN28" s="5">
        <f t="shared" si="18"/>
        <v>-353.34000000000003</v>
      </c>
      <c r="AO28" s="6">
        <f t="shared" si="19"/>
        <v>0.59938775510204079</v>
      </c>
      <c r="AP28" s="4"/>
      <c r="AQ28" s="5">
        <f>882</f>
        <v>882</v>
      </c>
      <c r="AR28" s="5">
        <f t="shared" si="20"/>
        <v>-882</v>
      </c>
      <c r="AS28" s="6">
        <f t="shared" si="21"/>
        <v>0</v>
      </c>
      <c r="AT28" s="4"/>
      <c r="AU28" s="5">
        <f>882</f>
        <v>882</v>
      </c>
      <c r="AV28" s="5">
        <f t="shared" si="22"/>
        <v>-882</v>
      </c>
      <c r="AW28" s="6">
        <f t="shared" si="23"/>
        <v>0</v>
      </c>
      <c r="AX28" s="5">
        <f t="shared" si="24"/>
        <v>6781.16</v>
      </c>
      <c r="AY28" s="5">
        <f t="shared" si="25"/>
        <v>10584</v>
      </c>
      <c r="AZ28" s="5">
        <f t="shared" si="26"/>
        <v>-3802.84</v>
      </c>
      <c r="BA28" s="6">
        <f t="shared" si="27"/>
        <v>0.64069916855631137</v>
      </c>
    </row>
    <row r="29" spans="1:53" x14ac:dyDescent="0.3">
      <c r="A29" s="3" t="s">
        <v>39</v>
      </c>
      <c r="B29" s="5">
        <f>864.58</f>
        <v>864.58</v>
      </c>
      <c r="C29" s="5">
        <f>506</f>
        <v>506</v>
      </c>
      <c r="D29" s="5">
        <f t="shared" si="0"/>
        <v>358.58000000000004</v>
      </c>
      <c r="E29" s="6">
        <f t="shared" si="1"/>
        <v>1.7086561264822135</v>
      </c>
      <c r="F29" s="5">
        <f>1136.14</f>
        <v>1136.1400000000001</v>
      </c>
      <c r="G29" s="5">
        <f>506</f>
        <v>506</v>
      </c>
      <c r="H29" s="5">
        <f t="shared" si="2"/>
        <v>630.1400000000001</v>
      </c>
      <c r="I29" s="6">
        <f t="shared" si="3"/>
        <v>2.2453359683794467</v>
      </c>
      <c r="J29" s="5">
        <f>1223.67</f>
        <v>1223.67</v>
      </c>
      <c r="K29" s="5">
        <f>506</f>
        <v>506</v>
      </c>
      <c r="L29" s="5">
        <f t="shared" si="4"/>
        <v>717.67000000000007</v>
      </c>
      <c r="M29" s="6">
        <f t="shared" si="5"/>
        <v>2.4183201581027669</v>
      </c>
      <c r="N29" s="5">
        <f>753.62</f>
        <v>753.62</v>
      </c>
      <c r="O29" s="5">
        <f>506</f>
        <v>506</v>
      </c>
      <c r="P29" s="5">
        <f t="shared" si="6"/>
        <v>247.62</v>
      </c>
      <c r="Q29" s="6">
        <f t="shared" si="7"/>
        <v>1.4893675889328064</v>
      </c>
      <c r="R29" s="5">
        <f>327.3</f>
        <v>327.3</v>
      </c>
      <c r="S29" s="5">
        <f>506</f>
        <v>506</v>
      </c>
      <c r="T29" s="5">
        <f t="shared" si="8"/>
        <v>-178.7</v>
      </c>
      <c r="U29" s="6">
        <f t="shared" si="9"/>
        <v>0.64683794466403166</v>
      </c>
      <c r="V29" s="5">
        <f>321.46</f>
        <v>321.45999999999998</v>
      </c>
      <c r="W29" s="5">
        <f>506</f>
        <v>506</v>
      </c>
      <c r="X29" s="5">
        <f t="shared" si="10"/>
        <v>-184.54000000000002</v>
      </c>
      <c r="Y29" s="6">
        <f t="shared" si="11"/>
        <v>0.63529644268774699</v>
      </c>
      <c r="Z29" s="5">
        <f>21.33</f>
        <v>21.33</v>
      </c>
      <c r="AA29" s="5">
        <f>506</f>
        <v>506</v>
      </c>
      <c r="AB29" s="5">
        <f t="shared" si="12"/>
        <v>-484.67</v>
      </c>
      <c r="AC29" s="6">
        <f t="shared" si="13"/>
        <v>4.2154150197628457E-2</v>
      </c>
      <c r="AD29" s="5">
        <f>369.57</f>
        <v>369.57</v>
      </c>
      <c r="AE29" s="5">
        <f>506</f>
        <v>506</v>
      </c>
      <c r="AF29" s="5">
        <f t="shared" si="14"/>
        <v>-136.43</v>
      </c>
      <c r="AG29" s="6">
        <f t="shared" si="15"/>
        <v>0.73037549407114621</v>
      </c>
      <c r="AH29" s="5">
        <f>372.78</f>
        <v>372.78</v>
      </c>
      <c r="AI29" s="5">
        <f>506</f>
        <v>506</v>
      </c>
      <c r="AJ29" s="5">
        <f t="shared" si="16"/>
        <v>-133.22000000000003</v>
      </c>
      <c r="AK29" s="6">
        <f t="shared" si="17"/>
        <v>0.73671936758893275</v>
      </c>
      <c r="AL29" s="5">
        <f>382.41</f>
        <v>382.41</v>
      </c>
      <c r="AM29" s="5">
        <f>506</f>
        <v>506</v>
      </c>
      <c r="AN29" s="5">
        <f t="shared" si="18"/>
        <v>-123.58999999999997</v>
      </c>
      <c r="AO29" s="6">
        <f t="shared" si="19"/>
        <v>0.75575098814229258</v>
      </c>
      <c r="AP29" s="4"/>
      <c r="AQ29" s="5">
        <f>506</f>
        <v>506</v>
      </c>
      <c r="AR29" s="5">
        <f t="shared" si="20"/>
        <v>-506</v>
      </c>
      <c r="AS29" s="6">
        <f t="shared" si="21"/>
        <v>0</v>
      </c>
      <c r="AT29" s="4"/>
      <c r="AU29" s="5">
        <f>506</f>
        <v>506</v>
      </c>
      <c r="AV29" s="5">
        <f t="shared" si="22"/>
        <v>-506</v>
      </c>
      <c r="AW29" s="6">
        <f t="shared" si="23"/>
        <v>0</v>
      </c>
      <c r="AX29" s="5">
        <f t="shared" si="24"/>
        <v>5772.86</v>
      </c>
      <c r="AY29" s="5">
        <f t="shared" si="25"/>
        <v>6072</v>
      </c>
      <c r="AZ29" s="5">
        <f t="shared" si="26"/>
        <v>-299.14000000000033</v>
      </c>
      <c r="BA29" s="6">
        <f t="shared" si="27"/>
        <v>0.95073451910408424</v>
      </c>
    </row>
    <row r="30" spans="1:53" x14ac:dyDescent="0.3">
      <c r="A30" s="3" t="s">
        <v>40</v>
      </c>
      <c r="B30" s="5">
        <f>358.79</f>
        <v>358.79</v>
      </c>
      <c r="C30" s="5">
        <f>235</f>
        <v>235</v>
      </c>
      <c r="D30" s="5">
        <f t="shared" si="0"/>
        <v>123.79000000000002</v>
      </c>
      <c r="E30" s="6">
        <f t="shared" si="1"/>
        <v>1.5267659574468087</v>
      </c>
      <c r="F30" s="5">
        <f>370.47</f>
        <v>370.47</v>
      </c>
      <c r="G30" s="5">
        <f>235</f>
        <v>235</v>
      </c>
      <c r="H30" s="5">
        <f t="shared" si="2"/>
        <v>135.47000000000003</v>
      </c>
      <c r="I30" s="6">
        <f t="shared" si="3"/>
        <v>1.576468085106383</v>
      </c>
      <c r="J30" s="5">
        <f>230.31</f>
        <v>230.31</v>
      </c>
      <c r="K30" s="5">
        <f>235</f>
        <v>235</v>
      </c>
      <c r="L30" s="5">
        <f t="shared" si="4"/>
        <v>-4.6899999999999977</v>
      </c>
      <c r="M30" s="6">
        <f t="shared" si="5"/>
        <v>0.98004255319148936</v>
      </c>
      <c r="N30" s="5">
        <f>195.27</f>
        <v>195.27</v>
      </c>
      <c r="O30" s="5">
        <f>235</f>
        <v>235</v>
      </c>
      <c r="P30" s="5">
        <f t="shared" si="6"/>
        <v>-39.72999999999999</v>
      </c>
      <c r="Q30" s="6">
        <f t="shared" si="7"/>
        <v>0.830936170212766</v>
      </c>
      <c r="R30" s="5">
        <f>198.19</f>
        <v>198.19</v>
      </c>
      <c r="S30" s="5">
        <f>235</f>
        <v>235</v>
      </c>
      <c r="T30" s="5">
        <f t="shared" si="8"/>
        <v>-36.81</v>
      </c>
      <c r="U30" s="6">
        <f t="shared" si="9"/>
        <v>0.8433617021276596</v>
      </c>
      <c r="V30" s="5">
        <f>212.79</f>
        <v>212.79</v>
      </c>
      <c r="W30" s="5">
        <f>235</f>
        <v>235</v>
      </c>
      <c r="X30" s="5">
        <f t="shared" si="10"/>
        <v>-22.210000000000008</v>
      </c>
      <c r="Y30" s="6">
        <f t="shared" si="11"/>
        <v>0.90548936170212757</v>
      </c>
      <c r="Z30" s="5">
        <f>240.45</f>
        <v>240.45</v>
      </c>
      <c r="AA30" s="5">
        <f>235</f>
        <v>235</v>
      </c>
      <c r="AB30" s="5">
        <f t="shared" si="12"/>
        <v>5.4499999999999886</v>
      </c>
      <c r="AC30" s="6">
        <f t="shared" si="13"/>
        <v>1.023191489361702</v>
      </c>
      <c r="AD30" s="5">
        <f>278.97</f>
        <v>278.97000000000003</v>
      </c>
      <c r="AE30" s="5">
        <f>235</f>
        <v>235</v>
      </c>
      <c r="AF30" s="5">
        <f t="shared" si="14"/>
        <v>43.970000000000027</v>
      </c>
      <c r="AG30" s="6">
        <f t="shared" si="15"/>
        <v>1.1871063829787236</v>
      </c>
      <c r="AH30" s="5">
        <f>227.61</f>
        <v>227.61</v>
      </c>
      <c r="AI30" s="5">
        <f>235</f>
        <v>235</v>
      </c>
      <c r="AJ30" s="5">
        <f t="shared" si="16"/>
        <v>-7.3899999999999864</v>
      </c>
      <c r="AK30" s="6">
        <f t="shared" si="17"/>
        <v>0.96855319148936181</v>
      </c>
      <c r="AL30" s="5">
        <f>237.24</f>
        <v>237.24</v>
      </c>
      <c r="AM30" s="5">
        <f>235</f>
        <v>235</v>
      </c>
      <c r="AN30" s="5">
        <f t="shared" si="18"/>
        <v>2.2400000000000091</v>
      </c>
      <c r="AO30" s="6">
        <f t="shared" si="19"/>
        <v>1.009531914893617</v>
      </c>
      <c r="AP30" s="4"/>
      <c r="AQ30" s="5">
        <f>235</f>
        <v>235</v>
      </c>
      <c r="AR30" s="5">
        <f t="shared" si="20"/>
        <v>-235</v>
      </c>
      <c r="AS30" s="6">
        <f t="shared" si="21"/>
        <v>0</v>
      </c>
      <c r="AT30" s="4"/>
      <c r="AU30" s="5">
        <f>235</f>
        <v>235</v>
      </c>
      <c r="AV30" s="5">
        <f t="shared" si="22"/>
        <v>-235</v>
      </c>
      <c r="AW30" s="6">
        <f t="shared" si="23"/>
        <v>0</v>
      </c>
      <c r="AX30" s="5">
        <f t="shared" si="24"/>
        <v>2550.09</v>
      </c>
      <c r="AY30" s="5">
        <f t="shared" si="25"/>
        <v>2820</v>
      </c>
      <c r="AZ30" s="5">
        <f t="shared" si="26"/>
        <v>-269.90999999999985</v>
      </c>
      <c r="BA30" s="6">
        <f t="shared" si="27"/>
        <v>0.90428723404255329</v>
      </c>
    </row>
    <row r="31" spans="1:53" x14ac:dyDescent="0.3">
      <c r="A31" s="3" t="s">
        <v>41</v>
      </c>
      <c r="B31" s="7">
        <f>((((((((B22)+(B23))+(B24))+(B25))+(B26))+(B27))+(B28))+(B29))+(B30)</f>
        <v>4790.54</v>
      </c>
      <c r="C31" s="7">
        <f>((((((((C22)+(C23))+(C24))+(C25))+(C26))+(C27))+(C28))+(C29))+(C30)</f>
        <v>4410</v>
      </c>
      <c r="D31" s="7">
        <f t="shared" si="0"/>
        <v>380.53999999999996</v>
      </c>
      <c r="E31" s="8">
        <f t="shared" si="1"/>
        <v>1.0862902494331066</v>
      </c>
      <c r="F31" s="7">
        <f>((((((((F22)+(F23))+(F24))+(F25))+(F26))+(F27))+(F28))+(F29))+(F30)</f>
        <v>5587.7000000000007</v>
      </c>
      <c r="G31" s="7">
        <f>((((((((G22)+(G23))+(G24))+(G25))+(G26))+(G27))+(G28))+(G29))+(G30)</f>
        <v>4410</v>
      </c>
      <c r="H31" s="7">
        <f t="shared" si="2"/>
        <v>1177.7000000000007</v>
      </c>
      <c r="I31" s="8">
        <f t="shared" si="3"/>
        <v>1.2670521541950115</v>
      </c>
      <c r="J31" s="7">
        <f>((((((((J22)+(J23))+(J24))+(J25))+(J26))+(J27))+(J28))+(J29))+(J30)</f>
        <v>4927.2500000000009</v>
      </c>
      <c r="K31" s="7">
        <f>((((((((K22)+(K23))+(K24))+(K25))+(K26))+(K27))+(K28))+(K29))+(K30)</f>
        <v>4410</v>
      </c>
      <c r="L31" s="7">
        <f t="shared" si="4"/>
        <v>517.25000000000091</v>
      </c>
      <c r="M31" s="8">
        <f t="shared" si="5"/>
        <v>1.1172902494331067</v>
      </c>
      <c r="N31" s="7">
        <f>((((((((N22)+(N23))+(N24))+(N25))+(N26))+(N27))+(N28))+(N29))+(N30)</f>
        <v>3861.98</v>
      </c>
      <c r="O31" s="7">
        <f>((((((((O22)+(O23))+(O24))+(O25))+(O26))+(O27))+(O28))+(O29))+(O30)</f>
        <v>4410</v>
      </c>
      <c r="P31" s="7">
        <f t="shared" si="6"/>
        <v>-548.02</v>
      </c>
      <c r="Q31" s="8">
        <f t="shared" si="7"/>
        <v>0.87573242630385484</v>
      </c>
      <c r="R31" s="7">
        <f>((((((((R22)+(R23))+(R24))+(R25))+(R26))+(R27))+(R28))+(R29))+(R30)</f>
        <v>3286.7400000000002</v>
      </c>
      <c r="S31" s="7">
        <f>((((((((S22)+(S23))+(S24))+(S25))+(S26))+(S27))+(S28))+(S29))+(S30)</f>
        <v>4410</v>
      </c>
      <c r="T31" s="7">
        <f t="shared" si="8"/>
        <v>-1123.2599999999998</v>
      </c>
      <c r="U31" s="8">
        <f t="shared" si="9"/>
        <v>0.74529251700680277</v>
      </c>
      <c r="V31" s="7">
        <f>((((((((V22)+(V23))+(V24))+(V25))+(V26))+(V27))+(V28))+(V29))+(V30)</f>
        <v>3295.5</v>
      </c>
      <c r="W31" s="7">
        <f>((((((((W22)+(W23))+(W24))+(W25))+(W26))+(W27))+(W28))+(W29))+(W30)</f>
        <v>4410</v>
      </c>
      <c r="X31" s="7">
        <f t="shared" si="10"/>
        <v>-1114.5</v>
      </c>
      <c r="Y31" s="8">
        <f t="shared" si="11"/>
        <v>0.74727891156462589</v>
      </c>
      <c r="Z31" s="7">
        <f>((((((((Z22)+(Z23))+(Z24))+(Z25))+(Z26))+(Z27))+(Z28))+(Z29))+(Z30)</f>
        <v>3253.2</v>
      </c>
      <c r="AA31" s="7">
        <f>((((((((AA22)+(AA23))+(AA24))+(AA25))+(AA26))+(AA27))+(AA28))+(AA29))+(AA30)</f>
        <v>4410</v>
      </c>
      <c r="AB31" s="7">
        <f t="shared" si="12"/>
        <v>-1156.8000000000002</v>
      </c>
      <c r="AC31" s="8">
        <f t="shared" si="13"/>
        <v>0.7376870748299319</v>
      </c>
      <c r="AD31" s="7">
        <f>((((((((AD22)+(AD23))+(AD24))+(AD25))+(AD26))+(AD27))+(AD28))+(AD29))+(AD30)</f>
        <v>3880.71</v>
      </c>
      <c r="AE31" s="7">
        <f>((((((((AE22)+(AE23))+(AE24))+(AE25))+(AE26))+(AE27))+(AE28))+(AE29))+(AE30)</f>
        <v>4410</v>
      </c>
      <c r="AF31" s="7">
        <f t="shared" si="14"/>
        <v>-529.29</v>
      </c>
      <c r="AG31" s="8">
        <f t="shared" si="15"/>
        <v>0.87997959183673469</v>
      </c>
      <c r="AH31" s="7">
        <f>((((((((AH22)+(AH23))+(AH24))+(AH25))+(AH26))+(AH27))+(AH28))+(AH29))+(AH30)</f>
        <v>3880.7100000000005</v>
      </c>
      <c r="AI31" s="7">
        <f>((((((((AI22)+(AI23))+(AI24))+(AI25))+(AI26))+(AI27))+(AI28))+(AI29))+(AI30)</f>
        <v>4410</v>
      </c>
      <c r="AJ31" s="7">
        <f t="shared" si="16"/>
        <v>-529.28999999999951</v>
      </c>
      <c r="AK31" s="8">
        <f t="shared" si="17"/>
        <v>0.8799795918367348</v>
      </c>
      <c r="AL31" s="7">
        <f>((((((((AL22)+(AL23))+(AL24))+(AL25))+(AL26))+(AL27))+(AL28))+(AL29))+(AL30)</f>
        <v>3951.33</v>
      </c>
      <c r="AM31" s="7">
        <f>((((((((AM22)+(AM23))+(AM24))+(AM25))+(AM26))+(AM27))+(AM28))+(AM29))+(AM30)</f>
        <v>4410</v>
      </c>
      <c r="AN31" s="7">
        <f t="shared" si="18"/>
        <v>-458.67000000000007</v>
      </c>
      <c r="AO31" s="8">
        <f t="shared" si="19"/>
        <v>0.89599319727891158</v>
      </c>
      <c r="AP31" s="7">
        <f>((((((((AP22)+(AP23))+(AP24))+(AP25))+(AP26))+(AP27))+(AP28))+(AP29))+(AP30)</f>
        <v>0</v>
      </c>
      <c r="AQ31" s="7">
        <f>((((((((AQ22)+(AQ23))+(AQ24))+(AQ25))+(AQ26))+(AQ27))+(AQ28))+(AQ29))+(AQ30)</f>
        <v>4410</v>
      </c>
      <c r="AR31" s="7">
        <f t="shared" si="20"/>
        <v>-4410</v>
      </c>
      <c r="AS31" s="8">
        <f t="shared" si="21"/>
        <v>0</v>
      </c>
      <c r="AT31" s="7">
        <f>((((((((AT22)+(AT23))+(AT24))+(AT25))+(AT26))+(AT27))+(AT28))+(AT29))+(AT30)</f>
        <v>0</v>
      </c>
      <c r="AU31" s="7">
        <f>((((((((AU22)+(AU23))+(AU24))+(AU25))+(AU26))+(AU27))+(AU28))+(AU29))+(AU30)</f>
        <v>4410</v>
      </c>
      <c r="AV31" s="7">
        <f t="shared" si="22"/>
        <v>-4410</v>
      </c>
      <c r="AW31" s="8">
        <f t="shared" si="23"/>
        <v>0</v>
      </c>
      <c r="AX31" s="7">
        <f t="shared" si="24"/>
        <v>40715.660000000003</v>
      </c>
      <c r="AY31" s="7">
        <f t="shared" si="25"/>
        <v>52920</v>
      </c>
      <c r="AZ31" s="7">
        <f t="shared" si="26"/>
        <v>-12204.339999999997</v>
      </c>
      <c r="BA31" s="8">
        <f t="shared" si="27"/>
        <v>0.76938133030990186</v>
      </c>
    </row>
    <row r="32" spans="1:53" x14ac:dyDescent="0.3">
      <c r="A32" s="3" t="s">
        <v>42</v>
      </c>
      <c r="B32" s="4"/>
      <c r="C32" s="4"/>
      <c r="D32" s="5">
        <f t="shared" si="0"/>
        <v>0</v>
      </c>
      <c r="E32" s="6" t="str">
        <f t="shared" si="1"/>
        <v/>
      </c>
      <c r="F32" s="4"/>
      <c r="G32" s="4"/>
      <c r="H32" s="5">
        <f t="shared" si="2"/>
        <v>0</v>
      </c>
      <c r="I32" s="6" t="str">
        <f t="shared" si="3"/>
        <v/>
      </c>
      <c r="J32" s="4"/>
      <c r="K32" s="4"/>
      <c r="L32" s="5">
        <f t="shared" si="4"/>
        <v>0</v>
      </c>
      <c r="M32" s="6" t="str">
        <f t="shared" si="5"/>
        <v/>
      </c>
      <c r="N32" s="4"/>
      <c r="O32" s="4"/>
      <c r="P32" s="5">
        <f t="shared" si="6"/>
        <v>0</v>
      </c>
      <c r="Q32" s="6" t="str">
        <f t="shared" si="7"/>
        <v/>
      </c>
      <c r="R32" s="4"/>
      <c r="S32" s="4"/>
      <c r="T32" s="5">
        <f t="shared" si="8"/>
        <v>0</v>
      </c>
      <c r="U32" s="6" t="str">
        <f t="shared" si="9"/>
        <v/>
      </c>
      <c r="V32" s="4"/>
      <c r="W32" s="4"/>
      <c r="X32" s="5">
        <f t="shared" si="10"/>
        <v>0</v>
      </c>
      <c r="Y32" s="6" t="str">
        <f t="shared" si="11"/>
        <v/>
      </c>
      <c r="Z32" s="4"/>
      <c r="AA32" s="4"/>
      <c r="AB32" s="5">
        <f t="shared" si="12"/>
        <v>0</v>
      </c>
      <c r="AC32" s="6" t="str">
        <f t="shared" si="13"/>
        <v/>
      </c>
      <c r="AD32" s="4"/>
      <c r="AE32" s="4"/>
      <c r="AF32" s="5">
        <f t="shared" si="14"/>
        <v>0</v>
      </c>
      <c r="AG32" s="6" t="str">
        <f t="shared" si="15"/>
        <v/>
      </c>
      <c r="AH32" s="4"/>
      <c r="AI32" s="4"/>
      <c r="AJ32" s="5">
        <f t="shared" si="16"/>
        <v>0</v>
      </c>
      <c r="AK32" s="6" t="str">
        <f t="shared" si="17"/>
        <v/>
      </c>
      <c r="AL32" s="4"/>
      <c r="AM32" s="4"/>
      <c r="AN32" s="5">
        <f t="shared" si="18"/>
        <v>0</v>
      </c>
      <c r="AO32" s="6" t="str">
        <f t="shared" si="19"/>
        <v/>
      </c>
      <c r="AP32" s="4"/>
      <c r="AQ32" s="4"/>
      <c r="AR32" s="5">
        <f t="shared" si="20"/>
        <v>0</v>
      </c>
      <c r="AS32" s="6" t="str">
        <f t="shared" si="21"/>
        <v/>
      </c>
      <c r="AT32" s="4"/>
      <c r="AU32" s="4"/>
      <c r="AV32" s="5">
        <f t="shared" si="22"/>
        <v>0</v>
      </c>
      <c r="AW32" s="6" t="str">
        <f t="shared" si="23"/>
        <v/>
      </c>
      <c r="AX32" s="5">
        <f t="shared" si="24"/>
        <v>0</v>
      </c>
      <c r="AY32" s="5">
        <f t="shared" si="25"/>
        <v>0</v>
      </c>
      <c r="AZ32" s="5">
        <f t="shared" si="26"/>
        <v>0</v>
      </c>
      <c r="BA32" s="6" t="str">
        <f t="shared" si="27"/>
        <v/>
      </c>
    </row>
    <row r="33" spans="1:53" x14ac:dyDescent="0.3">
      <c r="A33" s="3" t="s">
        <v>43</v>
      </c>
      <c r="B33" s="5">
        <f>31.96</f>
        <v>31.96</v>
      </c>
      <c r="C33" s="4"/>
      <c r="D33" s="5">
        <f t="shared" si="0"/>
        <v>31.96</v>
      </c>
      <c r="E33" s="6" t="str">
        <f t="shared" si="1"/>
        <v/>
      </c>
      <c r="F33" s="5">
        <f>31.96</f>
        <v>31.96</v>
      </c>
      <c r="G33" s="4"/>
      <c r="H33" s="5">
        <f t="shared" si="2"/>
        <v>31.96</v>
      </c>
      <c r="I33" s="6" t="str">
        <f t="shared" si="3"/>
        <v/>
      </c>
      <c r="J33" s="5">
        <f>31.96</f>
        <v>31.96</v>
      </c>
      <c r="K33" s="4"/>
      <c r="L33" s="5">
        <f t="shared" si="4"/>
        <v>31.96</v>
      </c>
      <c r="M33" s="6" t="str">
        <f t="shared" si="5"/>
        <v/>
      </c>
      <c r="N33" s="5">
        <f>31.96</f>
        <v>31.96</v>
      </c>
      <c r="O33" s="4"/>
      <c r="P33" s="5">
        <f t="shared" si="6"/>
        <v>31.96</v>
      </c>
      <c r="Q33" s="6" t="str">
        <f t="shared" si="7"/>
        <v/>
      </c>
      <c r="R33" s="5">
        <f>31.96</f>
        <v>31.96</v>
      </c>
      <c r="S33" s="4"/>
      <c r="T33" s="5">
        <f t="shared" si="8"/>
        <v>31.96</v>
      </c>
      <c r="U33" s="6" t="str">
        <f t="shared" si="9"/>
        <v/>
      </c>
      <c r="V33" s="5">
        <f>31.96</f>
        <v>31.96</v>
      </c>
      <c r="W33" s="4"/>
      <c r="X33" s="5">
        <f t="shared" si="10"/>
        <v>31.96</v>
      </c>
      <c r="Y33" s="6" t="str">
        <f t="shared" si="11"/>
        <v/>
      </c>
      <c r="Z33" s="5">
        <f>35.16</f>
        <v>35.159999999999997</v>
      </c>
      <c r="AA33" s="4"/>
      <c r="AB33" s="5">
        <f t="shared" si="12"/>
        <v>35.159999999999997</v>
      </c>
      <c r="AC33" s="6" t="str">
        <f t="shared" si="13"/>
        <v/>
      </c>
      <c r="AD33" s="5">
        <f>35.16</f>
        <v>35.159999999999997</v>
      </c>
      <c r="AE33" s="4"/>
      <c r="AF33" s="5">
        <f t="shared" si="14"/>
        <v>35.159999999999997</v>
      </c>
      <c r="AG33" s="6" t="str">
        <f t="shared" si="15"/>
        <v/>
      </c>
      <c r="AH33" s="5">
        <f>35.16</f>
        <v>35.159999999999997</v>
      </c>
      <c r="AI33" s="4"/>
      <c r="AJ33" s="5">
        <f t="shared" si="16"/>
        <v>35.159999999999997</v>
      </c>
      <c r="AK33" s="6" t="str">
        <f t="shared" si="17"/>
        <v/>
      </c>
      <c r="AL33" s="5">
        <f>35.16</f>
        <v>35.159999999999997</v>
      </c>
      <c r="AM33" s="4"/>
      <c r="AN33" s="5">
        <f t="shared" si="18"/>
        <v>35.159999999999997</v>
      </c>
      <c r="AO33" s="6" t="str">
        <f t="shared" si="19"/>
        <v/>
      </c>
      <c r="AP33" s="4"/>
      <c r="AQ33" s="4"/>
      <c r="AR33" s="5">
        <f t="shared" si="20"/>
        <v>0</v>
      </c>
      <c r="AS33" s="6" t="str">
        <f t="shared" si="21"/>
        <v/>
      </c>
      <c r="AT33" s="4"/>
      <c r="AU33" s="4"/>
      <c r="AV33" s="5">
        <f t="shared" si="22"/>
        <v>0</v>
      </c>
      <c r="AW33" s="6" t="str">
        <f t="shared" si="23"/>
        <v/>
      </c>
      <c r="AX33" s="5">
        <f t="shared" si="24"/>
        <v>332.4</v>
      </c>
      <c r="AY33" s="5">
        <f t="shared" si="25"/>
        <v>0</v>
      </c>
      <c r="AZ33" s="5">
        <f t="shared" si="26"/>
        <v>332.4</v>
      </c>
      <c r="BA33" s="6" t="str">
        <f t="shared" si="27"/>
        <v/>
      </c>
    </row>
    <row r="34" spans="1:53" x14ac:dyDescent="0.3">
      <c r="A34" s="3" t="s">
        <v>44</v>
      </c>
      <c r="B34" s="5">
        <f>650.44</f>
        <v>650.44000000000005</v>
      </c>
      <c r="C34" s="5">
        <f>398</f>
        <v>398</v>
      </c>
      <c r="D34" s="5">
        <f t="shared" si="0"/>
        <v>252.44000000000005</v>
      </c>
      <c r="E34" s="6">
        <f t="shared" si="1"/>
        <v>1.6342713567839198</v>
      </c>
      <c r="F34" s="5">
        <f>659.04</f>
        <v>659.04</v>
      </c>
      <c r="G34" s="5">
        <f>398</f>
        <v>398</v>
      </c>
      <c r="H34" s="5">
        <f t="shared" si="2"/>
        <v>261.03999999999996</v>
      </c>
      <c r="I34" s="6">
        <f t="shared" si="3"/>
        <v>1.6558793969849246</v>
      </c>
      <c r="J34" s="5">
        <f>708.52</f>
        <v>708.52</v>
      </c>
      <c r="K34" s="5">
        <f>398</f>
        <v>398</v>
      </c>
      <c r="L34" s="5">
        <f t="shared" si="4"/>
        <v>310.52</v>
      </c>
      <c r="M34" s="6">
        <f t="shared" si="5"/>
        <v>1.7802010050251256</v>
      </c>
      <c r="N34" s="5">
        <f>612.16</f>
        <v>612.16</v>
      </c>
      <c r="O34" s="5">
        <f>398</f>
        <v>398</v>
      </c>
      <c r="P34" s="5">
        <f t="shared" si="6"/>
        <v>214.15999999999997</v>
      </c>
      <c r="Q34" s="6">
        <f t="shared" si="7"/>
        <v>1.5380904522613064</v>
      </c>
      <c r="R34" s="5">
        <f>600.32</f>
        <v>600.32000000000005</v>
      </c>
      <c r="S34" s="5">
        <f>398</f>
        <v>398</v>
      </c>
      <c r="T34" s="5">
        <f t="shared" si="8"/>
        <v>202.32000000000005</v>
      </c>
      <c r="U34" s="6">
        <f t="shared" si="9"/>
        <v>1.5083417085427138</v>
      </c>
      <c r="V34" s="5">
        <f>670.24</f>
        <v>670.24</v>
      </c>
      <c r="W34" s="5">
        <f>398</f>
        <v>398</v>
      </c>
      <c r="X34" s="5">
        <f t="shared" si="10"/>
        <v>272.24</v>
      </c>
      <c r="Y34" s="6">
        <f t="shared" si="11"/>
        <v>1.6840201005025126</v>
      </c>
      <c r="Z34" s="5">
        <f>673.18</f>
        <v>673.18</v>
      </c>
      <c r="AA34" s="5">
        <f>398</f>
        <v>398</v>
      </c>
      <c r="AB34" s="5">
        <f t="shared" si="12"/>
        <v>275.17999999999995</v>
      </c>
      <c r="AC34" s="6">
        <f t="shared" si="13"/>
        <v>1.6914070351758792</v>
      </c>
      <c r="AD34" s="5">
        <f>644.44</f>
        <v>644.44000000000005</v>
      </c>
      <c r="AE34" s="5">
        <f>398</f>
        <v>398</v>
      </c>
      <c r="AF34" s="5">
        <f t="shared" si="14"/>
        <v>246.44000000000005</v>
      </c>
      <c r="AG34" s="6">
        <f t="shared" si="15"/>
        <v>1.6191959798994977</v>
      </c>
      <c r="AH34" s="5">
        <f>766.27</f>
        <v>766.27</v>
      </c>
      <c r="AI34" s="5">
        <f>398</f>
        <v>398</v>
      </c>
      <c r="AJ34" s="5">
        <f t="shared" si="16"/>
        <v>368.27</v>
      </c>
      <c r="AK34" s="6">
        <f t="shared" si="17"/>
        <v>1.9253015075376885</v>
      </c>
      <c r="AL34" s="5">
        <f>698.86</f>
        <v>698.86</v>
      </c>
      <c r="AM34" s="5">
        <f>398</f>
        <v>398</v>
      </c>
      <c r="AN34" s="5">
        <f t="shared" si="18"/>
        <v>300.86</v>
      </c>
      <c r="AO34" s="6">
        <f t="shared" si="19"/>
        <v>1.7559296482412061</v>
      </c>
      <c r="AP34" s="4"/>
      <c r="AQ34" s="5">
        <f>398</f>
        <v>398</v>
      </c>
      <c r="AR34" s="5">
        <f t="shared" si="20"/>
        <v>-398</v>
      </c>
      <c r="AS34" s="6">
        <f t="shared" si="21"/>
        <v>0</v>
      </c>
      <c r="AT34" s="4"/>
      <c r="AU34" s="5">
        <f>398</f>
        <v>398</v>
      </c>
      <c r="AV34" s="5">
        <f t="shared" si="22"/>
        <v>-398</v>
      </c>
      <c r="AW34" s="6">
        <f t="shared" si="23"/>
        <v>0</v>
      </c>
      <c r="AX34" s="5">
        <f t="shared" si="24"/>
        <v>6683.47</v>
      </c>
      <c r="AY34" s="5">
        <f t="shared" si="25"/>
        <v>4776</v>
      </c>
      <c r="AZ34" s="5">
        <f t="shared" si="26"/>
        <v>1907.4700000000003</v>
      </c>
      <c r="BA34" s="6">
        <f t="shared" si="27"/>
        <v>1.399386515912898</v>
      </c>
    </row>
    <row r="35" spans="1:53" x14ac:dyDescent="0.3">
      <c r="A35" s="3" t="s">
        <v>45</v>
      </c>
      <c r="B35" s="7">
        <f>((B32)+(B33))+(B34)</f>
        <v>682.40000000000009</v>
      </c>
      <c r="C35" s="7">
        <f>((C32)+(C33))+(C34)</f>
        <v>398</v>
      </c>
      <c r="D35" s="7">
        <f t="shared" si="0"/>
        <v>284.40000000000009</v>
      </c>
      <c r="E35" s="8">
        <f t="shared" si="1"/>
        <v>1.7145728643216083</v>
      </c>
      <c r="F35" s="7">
        <f>((F32)+(F33))+(F34)</f>
        <v>691</v>
      </c>
      <c r="G35" s="7">
        <f>((G32)+(G33))+(G34)</f>
        <v>398</v>
      </c>
      <c r="H35" s="7">
        <f t="shared" si="2"/>
        <v>293</v>
      </c>
      <c r="I35" s="8">
        <f t="shared" si="3"/>
        <v>1.7361809045226131</v>
      </c>
      <c r="J35" s="7">
        <f>((J32)+(J33))+(J34)</f>
        <v>740.48</v>
      </c>
      <c r="K35" s="7">
        <f>((K32)+(K33))+(K34)</f>
        <v>398</v>
      </c>
      <c r="L35" s="7">
        <f t="shared" si="4"/>
        <v>342.48</v>
      </c>
      <c r="M35" s="8">
        <f t="shared" si="5"/>
        <v>1.8605025125628141</v>
      </c>
      <c r="N35" s="7">
        <f>((N32)+(N33))+(N34)</f>
        <v>644.12</v>
      </c>
      <c r="O35" s="7">
        <f>((O32)+(O33))+(O34)</f>
        <v>398</v>
      </c>
      <c r="P35" s="7">
        <f t="shared" si="6"/>
        <v>246.12</v>
      </c>
      <c r="Q35" s="8">
        <f t="shared" si="7"/>
        <v>1.6183919597989951</v>
      </c>
      <c r="R35" s="7">
        <f>((R32)+(R33))+(R34)</f>
        <v>632.28000000000009</v>
      </c>
      <c r="S35" s="7">
        <f>((S32)+(S33))+(S34)</f>
        <v>398</v>
      </c>
      <c r="T35" s="7">
        <f t="shared" si="8"/>
        <v>234.28000000000009</v>
      </c>
      <c r="U35" s="8">
        <f t="shared" si="9"/>
        <v>1.5886432160804023</v>
      </c>
      <c r="V35" s="7">
        <f>((V32)+(V33))+(V34)</f>
        <v>702.2</v>
      </c>
      <c r="W35" s="7">
        <f>((W32)+(W33))+(W34)</f>
        <v>398</v>
      </c>
      <c r="X35" s="7">
        <f t="shared" si="10"/>
        <v>304.20000000000005</v>
      </c>
      <c r="Y35" s="8">
        <f t="shared" si="11"/>
        <v>1.7643216080402011</v>
      </c>
      <c r="Z35" s="7">
        <f>((Z32)+(Z33))+(Z34)</f>
        <v>708.33999999999992</v>
      </c>
      <c r="AA35" s="7">
        <f>((AA32)+(AA33))+(AA34)</f>
        <v>398</v>
      </c>
      <c r="AB35" s="7">
        <f t="shared" si="12"/>
        <v>310.33999999999992</v>
      </c>
      <c r="AC35" s="8">
        <f t="shared" si="13"/>
        <v>1.7797487437185928</v>
      </c>
      <c r="AD35" s="7">
        <f>((AD32)+(AD33))+(AD34)</f>
        <v>679.6</v>
      </c>
      <c r="AE35" s="7">
        <f>((AE32)+(AE33))+(AE34)</f>
        <v>398</v>
      </c>
      <c r="AF35" s="7">
        <f t="shared" si="14"/>
        <v>281.60000000000002</v>
      </c>
      <c r="AG35" s="8">
        <f t="shared" si="15"/>
        <v>1.7075376884422111</v>
      </c>
      <c r="AH35" s="7">
        <f>((AH32)+(AH33))+(AH34)</f>
        <v>801.43</v>
      </c>
      <c r="AI35" s="7">
        <f>((AI32)+(AI33))+(AI34)</f>
        <v>398</v>
      </c>
      <c r="AJ35" s="7">
        <f t="shared" si="16"/>
        <v>403.42999999999995</v>
      </c>
      <c r="AK35" s="8">
        <f t="shared" si="17"/>
        <v>2.0136432160804021</v>
      </c>
      <c r="AL35" s="7">
        <f>((AL32)+(AL33))+(AL34)</f>
        <v>734.02</v>
      </c>
      <c r="AM35" s="7">
        <f>((AM32)+(AM33))+(AM34)</f>
        <v>398</v>
      </c>
      <c r="AN35" s="7">
        <f t="shared" si="18"/>
        <v>336.02</v>
      </c>
      <c r="AO35" s="8">
        <f t="shared" si="19"/>
        <v>1.8442713567839195</v>
      </c>
      <c r="AP35" s="7">
        <f>((AP32)+(AP33))+(AP34)</f>
        <v>0</v>
      </c>
      <c r="AQ35" s="7">
        <f>((AQ32)+(AQ33))+(AQ34)</f>
        <v>398</v>
      </c>
      <c r="AR35" s="7">
        <f t="shared" si="20"/>
        <v>-398</v>
      </c>
      <c r="AS35" s="8">
        <f t="shared" si="21"/>
        <v>0</v>
      </c>
      <c r="AT35" s="7">
        <f>((AT32)+(AT33))+(AT34)</f>
        <v>0</v>
      </c>
      <c r="AU35" s="7">
        <f>((AU32)+(AU33))+(AU34)</f>
        <v>398</v>
      </c>
      <c r="AV35" s="7">
        <f t="shared" si="22"/>
        <v>-398</v>
      </c>
      <c r="AW35" s="8">
        <f t="shared" si="23"/>
        <v>0</v>
      </c>
      <c r="AX35" s="7">
        <f t="shared" si="24"/>
        <v>7015.8700000000008</v>
      </c>
      <c r="AY35" s="7">
        <f t="shared" si="25"/>
        <v>4776</v>
      </c>
      <c r="AZ35" s="7">
        <f t="shared" si="26"/>
        <v>2239.8700000000008</v>
      </c>
      <c r="BA35" s="8">
        <f t="shared" si="27"/>
        <v>1.4689845058626467</v>
      </c>
    </row>
    <row r="36" spans="1:53" x14ac:dyDescent="0.3">
      <c r="A36" s="3" t="s">
        <v>46</v>
      </c>
      <c r="B36" s="5">
        <f>703.12</f>
        <v>703.12</v>
      </c>
      <c r="C36" s="5">
        <f>454</f>
        <v>454</v>
      </c>
      <c r="D36" s="5">
        <f t="shared" si="0"/>
        <v>249.12</v>
      </c>
      <c r="E36" s="6">
        <f t="shared" si="1"/>
        <v>1.5487224669603525</v>
      </c>
      <c r="F36" s="5">
        <f>703.12</f>
        <v>703.12</v>
      </c>
      <c r="G36" s="5">
        <f>454</f>
        <v>454</v>
      </c>
      <c r="H36" s="5">
        <f t="shared" si="2"/>
        <v>249.12</v>
      </c>
      <c r="I36" s="6">
        <f t="shared" si="3"/>
        <v>1.5487224669603525</v>
      </c>
      <c r="J36" s="5">
        <f>671.16</f>
        <v>671.16</v>
      </c>
      <c r="K36" s="5">
        <f>454</f>
        <v>454</v>
      </c>
      <c r="L36" s="5">
        <f t="shared" si="4"/>
        <v>217.15999999999997</v>
      </c>
      <c r="M36" s="6">
        <f t="shared" si="5"/>
        <v>1.4783259911894273</v>
      </c>
      <c r="N36" s="5">
        <f>671.16</f>
        <v>671.16</v>
      </c>
      <c r="O36" s="5">
        <f>454</f>
        <v>454</v>
      </c>
      <c r="P36" s="5">
        <f t="shared" si="6"/>
        <v>217.15999999999997</v>
      </c>
      <c r="Q36" s="6">
        <f t="shared" si="7"/>
        <v>1.4783259911894273</v>
      </c>
      <c r="R36" s="5">
        <f>643.99</f>
        <v>643.99</v>
      </c>
      <c r="S36" s="5">
        <f>454</f>
        <v>454</v>
      </c>
      <c r="T36" s="5">
        <f t="shared" si="8"/>
        <v>189.99</v>
      </c>
      <c r="U36" s="6">
        <f t="shared" si="9"/>
        <v>1.4184801762114538</v>
      </c>
      <c r="V36" s="5">
        <f>255.68</f>
        <v>255.68</v>
      </c>
      <c r="W36" s="5">
        <f>454</f>
        <v>454</v>
      </c>
      <c r="X36" s="5">
        <f t="shared" si="10"/>
        <v>-198.32</v>
      </c>
      <c r="Y36" s="6">
        <f t="shared" si="11"/>
        <v>0.56317180616740092</v>
      </c>
      <c r="Z36" s="5">
        <f>597.72</f>
        <v>597.72</v>
      </c>
      <c r="AA36" s="5">
        <f>454</f>
        <v>454</v>
      </c>
      <c r="AB36" s="5">
        <f t="shared" si="12"/>
        <v>143.72000000000003</v>
      </c>
      <c r="AC36" s="6">
        <f t="shared" si="13"/>
        <v>1.3165638766519825</v>
      </c>
      <c r="AD36" s="5">
        <f>562.56</f>
        <v>562.55999999999995</v>
      </c>
      <c r="AE36" s="5">
        <f>454</f>
        <v>454</v>
      </c>
      <c r="AF36" s="5">
        <f t="shared" si="14"/>
        <v>108.55999999999995</v>
      </c>
      <c r="AG36" s="6">
        <f t="shared" si="15"/>
        <v>1.2391189427312774</v>
      </c>
      <c r="AH36" s="5">
        <f>562.56</f>
        <v>562.55999999999995</v>
      </c>
      <c r="AI36" s="5">
        <f>454</f>
        <v>454</v>
      </c>
      <c r="AJ36" s="5">
        <f t="shared" si="16"/>
        <v>108.55999999999995</v>
      </c>
      <c r="AK36" s="6">
        <f t="shared" si="17"/>
        <v>1.2391189427312774</v>
      </c>
      <c r="AL36" s="5">
        <f>562.56</f>
        <v>562.55999999999995</v>
      </c>
      <c r="AM36" s="5">
        <f>454</f>
        <v>454</v>
      </c>
      <c r="AN36" s="5">
        <f t="shared" si="18"/>
        <v>108.55999999999995</v>
      </c>
      <c r="AO36" s="6">
        <f t="shared" si="19"/>
        <v>1.2391189427312774</v>
      </c>
      <c r="AP36" s="4"/>
      <c r="AQ36" s="5">
        <f>454</f>
        <v>454</v>
      </c>
      <c r="AR36" s="5">
        <f t="shared" si="20"/>
        <v>-454</v>
      </c>
      <c r="AS36" s="6">
        <f t="shared" si="21"/>
        <v>0</v>
      </c>
      <c r="AT36" s="4"/>
      <c r="AU36" s="5">
        <f>454</f>
        <v>454</v>
      </c>
      <c r="AV36" s="5">
        <f t="shared" si="22"/>
        <v>-454</v>
      </c>
      <c r="AW36" s="6">
        <f t="shared" si="23"/>
        <v>0</v>
      </c>
      <c r="AX36" s="5">
        <f t="shared" si="24"/>
        <v>5933.6299999999992</v>
      </c>
      <c r="AY36" s="5">
        <f t="shared" si="25"/>
        <v>5448</v>
      </c>
      <c r="AZ36" s="5">
        <f t="shared" si="26"/>
        <v>485.6299999999992</v>
      </c>
      <c r="BA36" s="6">
        <f t="shared" si="27"/>
        <v>1.0891391336270189</v>
      </c>
    </row>
    <row r="37" spans="1:53" x14ac:dyDescent="0.3">
      <c r="A37" s="3" t="s">
        <v>47</v>
      </c>
      <c r="B37" s="5">
        <f>293.12</f>
        <v>293.12</v>
      </c>
      <c r="C37" s="5">
        <f>440</f>
        <v>440</v>
      </c>
      <c r="D37" s="5">
        <f t="shared" si="0"/>
        <v>-146.88</v>
      </c>
      <c r="E37" s="6">
        <f t="shared" si="1"/>
        <v>0.66618181818181821</v>
      </c>
      <c r="F37" s="5">
        <f>626.45</f>
        <v>626.45000000000005</v>
      </c>
      <c r="G37" s="5">
        <f>440</f>
        <v>440</v>
      </c>
      <c r="H37" s="5">
        <f t="shared" si="2"/>
        <v>186.45000000000005</v>
      </c>
      <c r="I37" s="6">
        <f t="shared" si="3"/>
        <v>1.4237500000000001</v>
      </c>
      <c r="J37" s="5">
        <f>374.32</f>
        <v>374.32</v>
      </c>
      <c r="K37" s="5">
        <f>440</f>
        <v>440</v>
      </c>
      <c r="L37" s="5">
        <f t="shared" si="4"/>
        <v>-65.680000000000007</v>
      </c>
      <c r="M37" s="6">
        <f t="shared" si="5"/>
        <v>0.85072727272727267</v>
      </c>
      <c r="N37" s="5">
        <f>450.59</f>
        <v>450.59</v>
      </c>
      <c r="O37" s="5">
        <f>440</f>
        <v>440</v>
      </c>
      <c r="P37" s="5">
        <f t="shared" si="6"/>
        <v>10.589999999999975</v>
      </c>
      <c r="Q37" s="6">
        <f t="shared" si="7"/>
        <v>1.0240681818181818</v>
      </c>
      <c r="R37" s="5">
        <f>288.61</f>
        <v>288.61</v>
      </c>
      <c r="S37" s="5">
        <f>440</f>
        <v>440</v>
      </c>
      <c r="T37" s="5">
        <f t="shared" si="8"/>
        <v>-151.38999999999999</v>
      </c>
      <c r="U37" s="6">
        <f t="shared" si="9"/>
        <v>0.65593181818181823</v>
      </c>
      <c r="V37" s="5">
        <f>478.54</f>
        <v>478.54</v>
      </c>
      <c r="W37" s="5">
        <f>440</f>
        <v>440</v>
      </c>
      <c r="X37" s="5">
        <f t="shared" si="10"/>
        <v>38.54000000000002</v>
      </c>
      <c r="Y37" s="6">
        <f t="shared" si="11"/>
        <v>1.0875909090909091</v>
      </c>
      <c r="Z37" s="5">
        <f>214.95</f>
        <v>214.95</v>
      </c>
      <c r="AA37" s="5">
        <f>440</f>
        <v>440</v>
      </c>
      <c r="AB37" s="5">
        <f t="shared" si="12"/>
        <v>-225.05</v>
      </c>
      <c r="AC37" s="6">
        <f t="shared" si="13"/>
        <v>0.48852272727272722</v>
      </c>
      <c r="AD37" s="5">
        <f>156.69</f>
        <v>156.69</v>
      </c>
      <c r="AE37" s="5">
        <f>440</f>
        <v>440</v>
      </c>
      <c r="AF37" s="5">
        <f t="shared" si="14"/>
        <v>-283.31</v>
      </c>
      <c r="AG37" s="6">
        <f t="shared" si="15"/>
        <v>0.35611363636363635</v>
      </c>
      <c r="AH37" s="5">
        <f>291.38</f>
        <v>291.38</v>
      </c>
      <c r="AI37" s="5">
        <f>440</f>
        <v>440</v>
      </c>
      <c r="AJ37" s="5">
        <f t="shared" si="16"/>
        <v>-148.62</v>
      </c>
      <c r="AK37" s="6">
        <f t="shared" si="17"/>
        <v>0.66222727272727266</v>
      </c>
      <c r="AL37" s="5">
        <f>281.75</f>
        <v>281.75</v>
      </c>
      <c r="AM37" s="5">
        <f>440</f>
        <v>440</v>
      </c>
      <c r="AN37" s="5">
        <f t="shared" si="18"/>
        <v>-158.25</v>
      </c>
      <c r="AO37" s="6">
        <f t="shared" si="19"/>
        <v>0.64034090909090913</v>
      </c>
      <c r="AP37" s="4"/>
      <c r="AQ37" s="5">
        <f>440</f>
        <v>440</v>
      </c>
      <c r="AR37" s="5">
        <f t="shared" si="20"/>
        <v>-440</v>
      </c>
      <c r="AS37" s="6">
        <f t="shared" si="21"/>
        <v>0</v>
      </c>
      <c r="AT37" s="4"/>
      <c r="AU37" s="5">
        <f>440</f>
        <v>440</v>
      </c>
      <c r="AV37" s="5">
        <f t="shared" si="22"/>
        <v>-440</v>
      </c>
      <c r="AW37" s="6">
        <f t="shared" si="23"/>
        <v>0</v>
      </c>
      <c r="AX37" s="5">
        <f t="shared" si="24"/>
        <v>3456.4</v>
      </c>
      <c r="AY37" s="5">
        <f t="shared" si="25"/>
        <v>5280</v>
      </c>
      <c r="AZ37" s="5">
        <f t="shared" si="26"/>
        <v>-1823.6</v>
      </c>
      <c r="BA37" s="6">
        <f t="shared" si="27"/>
        <v>0.65462121212121216</v>
      </c>
    </row>
    <row r="38" spans="1:53" x14ac:dyDescent="0.3">
      <c r="A38" s="3" t="s">
        <v>48</v>
      </c>
      <c r="B38" s="7">
        <f>(B36)+(B37)</f>
        <v>996.24</v>
      </c>
      <c r="C38" s="7">
        <f>(C36)+(C37)</f>
        <v>894</v>
      </c>
      <c r="D38" s="7">
        <f t="shared" si="0"/>
        <v>102.24000000000001</v>
      </c>
      <c r="E38" s="8">
        <f t="shared" si="1"/>
        <v>1.1143624161073826</v>
      </c>
      <c r="F38" s="7">
        <f>(F36)+(F37)</f>
        <v>1329.5700000000002</v>
      </c>
      <c r="G38" s="7">
        <f>(G36)+(G37)</f>
        <v>894</v>
      </c>
      <c r="H38" s="7">
        <f t="shared" si="2"/>
        <v>435.57000000000016</v>
      </c>
      <c r="I38" s="8">
        <f t="shared" si="3"/>
        <v>1.4872147651006713</v>
      </c>
      <c r="J38" s="7">
        <f>(J36)+(J37)</f>
        <v>1045.48</v>
      </c>
      <c r="K38" s="7">
        <f>(K36)+(K37)</f>
        <v>894</v>
      </c>
      <c r="L38" s="7">
        <f t="shared" si="4"/>
        <v>151.48000000000002</v>
      </c>
      <c r="M38" s="8">
        <f t="shared" si="5"/>
        <v>1.1694407158836688</v>
      </c>
      <c r="N38" s="7">
        <f>(N36)+(N37)</f>
        <v>1121.75</v>
      </c>
      <c r="O38" s="7">
        <f>(O36)+(O37)</f>
        <v>894</v>
      </c>
      <c r="P38" s="7">
        <f t="shared" si="6"/>
        <v>227.75</v>
      </c>
      <c r="Q38" s="8">
        <f t="shared" si="7"/>
        <v>1.2547539149888143</v>
      </c>
      <c r="R38" s="7">
        <f>(R36)+(R37)</f>
        <v>932.6</v>
      </c>
      <c r="S38" s="7">
        <f>(S36)+(S37)</f>
        <v>894</v>
      </c>
      <c r="T38" s="7">
        <f t="shared" si="8"/>
        <v>38.600000000000023</v>
      </c>
      <c r="U38" s="8">
        <f t="shared" si="9"/>
        <v>1.0431767337807607</v>
      </c>
      <c r="V38" s="7">
        <f>(V36)+(V37)</f>
        <v>734.22</v>
      </c>
      <c r="W38" s="7">
        <f>(W36)+(W37)</f>
        <v>894</v>
      </c>
      <c r="X38" s="7">
        <f t="shared" si="10"/>
        <v>-159.77999999999997</v>
      </c>
      <c r="Y38" s="8">
        <f t="shared" si="11"/>
        <v>0.82127516778523491</v>
      </c>
      <c r="Z38" s="7">
        <f>(Z36)+(Z37)</f>
        <v>812.67000000000007</v>
      </c>
      <c r="AA38" s="7">
        <f>(AA36)+(AA37)</f>
        <v>894</v>
      </c>
      <c r="AB38" s="7">
        <f t="shared" si="12"/>
        <v>-81.329999999999927</v>
      </c>
      <c r="AC38" s="8">
        <f t="shared" si="13"/>
        <v>0.90902684563758396</v>
      </c>
      <c r="AD38" s="7">
        <f>(AD36)+(AD37)</f>
        <v>719.25</v>
      </c>
      <c r="AE38" s="7">
        <f>(AE36)+(AE37)</f>
        <v>894</v>
      </c>
      <c r="AF38" s="7">
        <f t="shared" si="14"/>
        <v>-174.75</v>
      </c>
      <c r="AG38" s="8">
        <f t="shared" si="15"/>
        <v>0.80453020134228193</v>
      </c>
      <c r="AH38" s="7">
        <f>(AH36)+(AH37)</f>
        <v>853.93999999999994</v>
      </c>
      <c r="AI38" s="7">
        <f>(AI36)+(AI37)</f>
        <v>894</v>
      </c>
      <c r="AJ38" s="7">
        <f t="shared" si="16"/>
        <v>-40.060000000000059</v>
      </c>
      <c r="AK38" s="8">
        <f t="shared" si="17"/>
        <v>0.95519015659955253</v>
      </c>
      <c r="AL38" s="7">
        <f>(AL36)+(AL37)</f>
        <v>844.31</v>
      </c>
      <c r="AM38" s="7">
        <f>(AM36)+(AM37)</f>
        <v>894</v>
      </c>
      <c r="AN38" s="7">
        <f t="shared" si="18"/>
        <v>-49.690000000000055</v>
      </c>
      <c r="AO38" s="8">
        <f t="shared" si="19"/>
        <v>0.94441834451901563</v>
      </c>
      <c r="AP38" s="7">
        <f>(AP36)+(AP37)</f>
        <v>0</v>
      </c>
      <c r="AQ38" s="7">
        <f>(AQ36)+(AQ37)</f>
        <v>894</v>
      </c>
      <c r="AR38" s="7">
        <f t="shared" si="20"/>
        <v>-894</v>
      </c>
      <c r="AS38" s="8">
        <f t="shared" si="21"/>
        <v>0</v>
      </c>
      <c r="AT38" s="7">
        <f>(AT36)+(AT37)</f>
        <v>0</v>
      </c>
      <c r="AU38" s="7">
        <f>(AU36)+(AU37)</f>
        <v>894</v>
      </c>
      <c r="AV38" s="7">
        <f t="shared" si="22"/>
        <v>-894</v>
      </c>
      <c r="AW38" s="8">
        <f t="shared" si="23"/>
        <v>0</v>
      </c>
      <c r="AX38" s="7">
        <f t="shared" si="24"/>
        <v>9390.0300000000007</v>
      </c>
      <c r="AY38" s="7">
        <f t="shared" si="25"/>
        <v>10728</v>
      </c>
      <c r="AZ38" s="7">
        <f t="shared" si="26"/>
        <v>-1337.9699999999993</v>
      </c>
      <c r="BA38" s="8">
        <f t="shared" si="27"/>
        <v>0.87528243847874732</v>
      </c>
    </row>
    <row r="39" spans="1:53" x14ac:dyDescent="0.3">
      <c r="A39" s="3" t="s">
        <v>49</v>
      </c>
      <c r="B39" s="5">
        <f>186.35</f>
        <v>186.35</v>
      </c>
      <c r="C39" s="5">
        <f>201</f>
        <v>201</v>
      </c>
      <c r="D39" s="5">
        <f t="shared" si="0"/>
        <v>-14.650000000000006</v>
      </c>
      <c r="E39" s="6">
        <f t="shared" si="1"/>
        <v>0.92711442786069653</v>
      </c>
      <c r="F39" s="5">
        <f>186.35</f>
        <v>186.35</v>
      </c>
      <c r="G39" s="5">
        <f>201</f>
        <v>201</v>
      </c>
      <c r="H39" s="5">
        <f t="shared" si="2"/>
        <v>-14.650000000000006</v>
      </c>
      <c r="I39" s="6">
        <f t="shared" si="3"/>
        <v>0.92711442786069653</v>
      </c>
      <c r="J39" s="5">
        <f>186.35</f>
        <v>186.35</v>
      </c>
      <c r="K39" s="5">
        <f>201</f>
        <v>201</v>
      </c>
      <c r="L39" s="5">
        <f t="shared" si="4"/>
        <v>-14.650000000000006</v>
      </c>
      <c r="M39" s="6">
        <f t="shared" si="5"/>
        <v>0.92711442786069653</v>
      </c>
      <c r="N39" s="5">
        <f>186.35</f>
        <v>186.35</v>
      </c>
      <c r="O39" s="5">
        <f>201</f>
        <v>201</v>
      </c>
      <c r="P39" s="5">
        <f t="shared" si="6"/>
        <v>-14.650000000000006</v>
      </c>
      <c r="Q39" s="6">
        <f t="shared" si="7"/>
        <v>0.92711442786069653</v>
      </c>
      <c r="R39" s="5">
        <f>186.35</f>
        <v>186.35</v>
      </c>
      <c r="S39" s="5">
        <f>201</f>
        <v>201</v>
      </c>
      <c r="T39" s="5">
        <f t="shared" si="8"/>
        <v>-14.650000000000006</v>
      </c>
      <c r="U39" s="6">
        <f t="shared" si="9"/>
        <v>0.92711442786069653</v>
      </c>
      <c r="V39" s="5">
        <f>186.35</f>
        <v>186.35</v>
      </c>
      <c r="W39" s="5">
        <f>201</f>
        <v>201</v>
      </c>
      <c r="X39" s="5">
        <f t="shared" si="10"/>
        <v>-14.650000000000006</v>
      </c>
      <c r="Y39" s="6">
        <f t="shared" si="11"/>
        <v>0.92711442786069653</v>
      </c>
      <c r="Z39" s="5">
        <f>204.99</f>
        <v>204.99</v>
      </c>
      <c r="AA39" s="5">
        <f>201</f>
        <v>201</v>
      </c>
      <c r="AB39" s="5">
        <f t="shared" si="12"/>
        <v>3.9900000000000091</v>
      </c>
      <c r="AC39" s="6">
        <f t="shared" si="13"/>
        <v>1.0198507462686568</v>
      </c>
      <c r="AD39" s="5">
        <f>204.99</f>
        <v>204.99</v>
      </c>
      <c r="AE39" s="5">
        <f>201</f>
        <v>201</v>
      </c>
      <c r="AF39" s="5">
        <f t="shared" si="14"/>
        <v>3.9900000000000091</v>
      </c>
      <c r="AG39" s="6">
        <f t="shared" si="15"/>
        <v>1.0198507462686568</v>
      </c>
      <c r="AH39" s="5">
        <f>204.99</f>
        <v>204.99</v>
      </c>
      <c r="AI39" s="5">
        <f>201</f>
        <v>201</v>
      </c>
      <c r="AJ39" s="5">
        <f t="shared" si="16"/>
        <v>3.9900000000000091</v>
      </c>
      <c r="AK39" s="6">
        <f t="shared" si="17"/>
        <v>1.0198507462686568</v>
      </c>
      <c r="AL39" s="5">
        <f>204.99</f>
        <v>204.99</v>
      </c>
      <c r="AM39" s="5">
        <f>201</f>
        <v>201</v>
      </c>
      <c r="AN39" s="5">
        <f t="shared" si="18"/>
        <v>3.9900000000000091</v>
      </c>
      <c r="AO39" s="6">
        <f t="shared" si="19"/>
        <v>1.0198507462686568</v>
      </c>
      <c r="AP39" s="4"/>
      <c r="AQ39" s="5">
        <f>201</f>
        <v>201</v>
      </c>
      <c r="AR39" s="5">
        <f t="shared" si="20"/>
        <v>-201</v>
      </c>
      <c r="AS39" s="6">
        <f t="shared" si="21"/>
        <v>0</v>
      </c>
      <c r="AT39" s="4"/>
      <c r="AU39" s="5">
        <f>201</f>
        <v>201</v>
      </c>
      <c r="AV39" s="5">
        <f t="shared" si="22"/>
        <v>-201</v>
      </c>
      <c r="AW39" s="6">
        <f t="shared" si="23"/>
        <v>0</v>
      </c>
      <c r="AX39" s="5">
        <f t="shared" si="24"/>
        <v>1938.06</v>
      </c>
      <c r="AY39" s="5">
        <f t="shared" si="25"/>
        <v>2412</v>
      </c>
      <c r="AZ39" s="5">
        <f t="shared" si="26"/>
        <v>-473.94000000000005</v>
      </c>
      <c r="BA39" s="6">
        <f t="shared" si="27"/>
        <v>0.80350746268656714</v>
      </c>
    </row>
    <row r="40" spans="1:53" x14ac:dyDescent="0.3">
      <c r="A40" s="3" t="s">
        <v>50</v>
      </c>
      <c r="B40" s="4"/>
      <c r="C40" s="4"/>
      <c r="D40" s="5">
        <f t="shared" si="0"/>
        <v>0</v>
      </c>
      <c r="E40" s="6" t="str">
        <f t="shared" si="1"/>
        <v/>
      </c>
      <c r="F40" s="5">
        <f>4932</f>
        <v>4932</v>
      </c>
      <c r="G40" s="4"/>
      <c r="H40" s="5">
        <f t="shared" si="2"/>
        <v>4932</v>
      </c>
      <c r="I40" s="6" t="str">
        <f t="shared" si="3"/>
        <v/>
      </c>
      <c r="J40" s="5">
        <f>107.13</f>
        <v>107.13</v>
      </c>
      <c r="K40" s="4"/>
      <c r="L40" s="5">
        <f t="shared" si="4"/>
        <v>107.13</v>
      </c>
      <c r="M40" s="6" t="str">
        <f t="shared" si="5"/>
        <v/>
      </c>
      <c r="N40" s="5"/>
      <c r="O40" s="4"/>
      <c r="P40" s="5">
        <f t="shared" si="6"/>
        <v>0</v>
      </c>
      <c r="Q40" s="6" t="str">
        <f t="shared" si="7"/>
        <v/>
      </c>
      <c r="R40" s="5">
        <f>4932</f>
        <v>4932</v>
      </c>
      <c r="S40" s="4"/>
      <c r="T40" s="5">
        <f t="shared" si="8"/>
        <v>4932</v>
      </c>
      <c r="U40" s="6" t="str">
        <f t="shared" si="9"/>
        <v/>
      </c>
      <c r="V40" s="5"/>
      <c r="W40" s="4"/>
      <c r="X40" s="5">
        <f t="shared" si="10"/>
        <v>0</v>
      </c>
      <c r="Y40" s="6" t="str">
        <f t="shared" si="11"/>
        <v/>
      </c>
      <c r="Z40" s="5"/>
      <c r="AA40" s="4"/>
      <c r="AB40" s="5">
        <f t="shared" si="12"/>
        <v>0</v>
      </c>
      <c r="AC40" s="6" t="str">
        <f t="shared" si="13"/>
        <v/>
      </c>
      <c r="AD40" s="5">
        <f>-4372</f>
        <v>-4372</v>
      </c>
      <c r="AE40" s="4"/>
      <c r="AF40" s="5">
        <f t="shared" si="14"/>
        <v>-4372</v>
      </c>
      <c r="AG40" s="6" t="str">
        <f t="shared" si="15"/>
        <v/>
      </c>
      <c r="AH40" s="5"/>
      <c r="AI40" s="4"/>
      <c r="AJ40" s="5">
        <f t="shared" si="16"/>
        <v>0</v>
      </c>
      <c r="AK40" s="6" t="str">
        <f t="shared" si="17"/>
        <v/>
      </c>
      <c r="AL40" s="5"/>
      <c r="AM40" s="4"/>
      <c r="AN40" s="5">
        <f t="shared" si="18"/>
        <v>0</v>
      </c>
      <c r="AO40" s="6" t="str">
        <f t="shared" si="19"/>
        <v/>
      </c>
      <c r="AP40" s="4"/>
      <c r="AQ40" s="4"/>
      <c r="AR40" s="5">
        <f t="shared" si="20"/>
        <v>0</v>
      </c>
      <c r="AS40" s="6" t="str">
        <f t="shared" si="21"/>
        <v/>
      </c>
      <c r="AT40" s="4"/>
      <c r="AU40" s="4"/>
      <c r="AV40" s="5">
        <f t="shared" si="22"/>
        <v>0</v>
      </c>
      <c r="AW40" s="6" t="str">
        <f t="shared" si="23"/>
        <v/>
      </c>
      <c r="AX40" s="5">
        <f t="shared" si="24"/>
        <v>5599.130000000001</v>
      </c>
      <c r="AY40" s="5">
        <f t="shared" si="25"/>
        <v>0</v>
      </c>
      <c r="AZ40" s="5">
        <f t="shared" si="26"/>
        <v>5599.130000000001</v>
      </c>
      <c r="BA40" s="6" t="str">
        <f t="shared" si="27"/>
        <v/>
      </c>
    </row>
    <row r="41" spans="1:53" x14ac:dyDescent="0.3">
      <c r="A41" s="3" t="s">
        <v>51</v>
      </c>
      <c r="B41" s="5"/>
      <c r="C41" s="4"/>
      <c r="D41" s="5">
        <f t="shared" si="0"/>
        <v>0</v>
      </c>
      <c r="E41" s="6" t="str">
        <f t="shared" si="1"/>
        <v/>
      </c>
      <c r="F41" s="5"/>
      <c r="G41" s="4"/>
      <c r="H41" s="5">
        <f t="shared" si="2"/>
        <v>0</v>
      </c>
      <c r="I41" s="6" t="str">
        <f t="shared" si="3"/>
        <v/>
      </c>
      <c r="J41" s="5"/>
      <c r="K41" s="4"/>
      <c r="L41" s="5">
        <f t="shared" si="4"/>
        <v>0</v>
      </c>
      <c r="M41" s="6" t="str">
        <f t="shared" si="5"/>
        <v/>
      </c>
      <c r="N41" s="5">
        <f>0.02</f>
        <v>0.02</v>
      </c>
      <c r="O41" s="4"/>
      <c r="P41" s="5">
        <f t="shared" si="6"/>
        <v>0.02</v>
      </c>
      <c r="Q41" s="6" t="str">
        <f t="shared" si="7"/>
        <v/>
      </c>
      <c r="R41" s="5">
        <f>-2305.55</f>
        <v>-2305.5500000000002</v>
      </c>
      <c r="S41" s="4"/>
      <c r="T41" s="5">
        <f t="shared" si="8"/>
        <v>-2305.5500000000002</v>
      </c>
      <c r="U41" s="6" t="str">
        <f t="shared" si="9"/>
        <v/>
      </c>
      <c r="V41" s="5">
        <f>2034.57</f>
        <v>2034.57</v>
      </c>
      <c r="W41" s="4"/>
      <c r="X41" s="5">
        <f t="shared" si="10"/>
        <v>2034.57</v>
      </c>
      <c r="Y41" s="6" t="str">
        <f t="shared" si="11"/>
        <v/>
      </c>
      <c r="Z41" s="5">
        <f>-55.48</f>
        <v>-55.48</v>
      </c>
      <c r="AA41" s="4"/>
      <c r="AB41" s="5">
        <f t="shared" si="12"/>
        <v>-55.48</v>
      </c>
      <c r="AC41" s="6" t="str">
        <f t="shared" si="13"/>
        <v/>
      </c>
      <c r="AD41" s="5">
        <f>4045.43</f>
        <v>4045.43</v>
      </c>
      <c r="AE41" s="4"/>
      <c r="AF41" s="5">
        <f t="shared" si="14"/>
        <v>4045.43</v>
      </c>
      <c r="AG41" s="6" t="str">
        <f t="shared" si="15"/>
        <v/>
      </c>
      <c r="AH41" s="5">
        <f>330.96</f>
        <v>330.96</v>
      </c>
      <c r="AI41" s="4"/>
      <c r="AJ41" s="5">
        <f t="shared" si="16"/>
        <v>330.96</v>
      </c>
      <c r="AK41" s="6" t="str">
        <f t="shared" si="17"/>
        <v/>
      </c>
      <c r="AL41" s="5">
        <f>240.52</f>
        <v>240.52</v>
      </c>
      <c r="AM41" s="4"/>
      <c r="AN41" s="5">
        <f t="shared" si="18"/>
        <v>240.52</v>
      </c>
      <c r="AO41" s="6" t="str">
        <f t="shared" si="19"/>
        <v/>
      </c>
      <c r="AP41" s="4"/>
      <c r="AQ41" s="4"/>
      <c r="AR41" s="5">
        <f t="shared" si="20"/>
        <v>0</v>
      </c>
      <c r="AS41" s="6" t="str">
        <f t="shared" si="21"/>
        <v/>
      </c>
      <c r="AT41" s="4"/>
      <c r="AU41" s="4"/>
      <c r="AV41" s="5">
        <f t="shared" si="22"/>
        <v>0</v>
      </c>
      <c r="AW41" s="6" t="str">
        <f t="shared" si="23"/>
        <v/>
      </c>
      <c r="AX41" s="5">
        <f t="shared" si="24"/>
        <v>4290.47</v>
      </c>
      <c r="AY41" s="5">
        <f t="shared" si="25"/>
        <v>0</v>
      </c>
      <c r="AZ41" s="5">
        <f t="shared" si="26"/>
        <v>4290.47</v>
      </c>
      <c r="BA41" s="6" t="str">
        <f t="shared" si="27"/>
        <v/>
      </c>
    </row>
    <row r="42" spans="1:53" x14ac:dyDescent="0.3">
      <c r="A42" s="3" t="s">
        <v>52</v>
      </c>
      <c r="B42" s="4"/>
      <c r="C42" s="4"/>
      <c r="D42" s="5">
        <f t="shared" si="0"/>
        <v>0</v>
      </c>
      <c r="E42" s="6" t="str">
        <f t="shared" si="1"/>
        <v/>
      </c>
      <c r="F42" s="4"/>
      <c r="G42" s="4"/>
      <c r="H42" s="5">
        <f t="shared" si="2"/>
        <v>0</v>
      </c>
      <c r="I42" s="6" t="str">
        <f t="shared" si="3"/>
        <v/>
      </c>
      <c r="J42" s="5">
        <f>-10</f>
        <v>-10</v>
      </c>
      <c r="K42" s="4"/>
      <c r="L42" s="5">
        <f t="shared" si="4"/>
        <v>-10</v>
      </c>
      <c r="M42" s="6" t="str">
        <f t="shared" si="5"/>
        <v/>
      </c>
      <c r="N42" s="4"/>
      <c r="O42" s="4"/>
      <c r="P42" s="5">
        <f t="shared" si="6"/>
        <v>0</v>
      </c>
      <c r="Q42" s="6" t="str">
        <f t="shared" si="7"/>
        <v/>
      </c>
      <c r="R42" s="4"/>
      <c r="S42" s="4"/>
      <c r="T42" s="5">
        <f t="shared" si="8"/>
        <v>0</v>
      </c>
      <c r="U42" s="6" t="str">
        <f t="shared" si="9"/>
        <v/>
      </c>
      <c r="V42" s="4"/>
      <c r="W42" s="4"/>
      <c r="X42" s="5">
        <f t="shared" si="10"/>
        <v>0</v>
      </c>
      <c r="Y42" s="6" t="str">
        <f t="shared" si="11"/>
        <v/>
      </c>
      <c r="Z42" s="4"/>
      <c r="AA42" s="4"/>
      <c r="AB42" s="5">
        <f t="shared" si="12"/>
        <v>0</v>
      </c>
      <c r="AC42" s="6" t="str">
        <f t="shared" si="13"/>
        <v/>
      </c>
      <c r="AD42" s="4"/>
      <c r="AE42" s="4"/>
      <c r="AF42" s="5">
        <f t="shared" si="14"/>
        <v>0</v>
      </c>
      <c r="AG42" s="6" t="str">
        <f t="shared" si="15"/>
        <v/>
      </c>
      <c r="AH42" s="4"/>
      <c r="AI42" s="4"/>
      <c r="AJ42" s="5">
        <f t="shared" si="16"/>
        <v>0</v>
      </c>
      <c r="AK42" s="6" t="str">
        <f t="shared" si="17"/>
        <v/>
      </c>
      <c r="AL42" s="4"/>
      <c r="AM42" s="4"/>
      <c r="AN42" s="5">
        <f t="shared" si="18"/>
        <v>0</v>
      </c>
      <c r="AO42" s="6" t="str">
        <f t="shared" si="19"/>
        <v/>
      </c>
      <c r="AP42" s="4"/>
      <c r="AQ42" s="4"/>
      <c r="AR42" s="5">
        <f t="shared" si="20"/>
        <v>0</v>
      </c>
      <c r="AS42" s="6" t="str">
        <f t="shared" si="21"/>
        <v/>
      </c>
      <c r="AT42" s="4"/>
      <c r="AU42" s="4"/>
      <c r="AV42" s="5">
        <f t="shared" si="22"/>
        <v>0</v>
      </c>
      <c r="AW42" s="6" t="str">
        <f t="shared" si="23"/>
        <v/>
      </c>
      <c r="AX42" s="5">
        <f t="shared" si="24"/>
        <v>-10</v>
      </c>
      <c r="AY42" s="5">
        <f t="shared" si="25"/>
        <v>0</v>
      </c>
      <c r="AZ42" s="5">
        <f t="shared" si="26"/>
        <v>-10</v>
      </c>
      <c r="BA42" s="6" t="str">
        <f t="shared" si="27"/>
        <v/>
      </c>
    </row>
    <row r="43" spans="1:53" x14ac:dyDescent="0.3">
      <c r="A43" s="3" t="s">
        <v>53</v>
      </c>
      <c r="B43" s="7">
        <f>((((((((((B8)+(B9))+(B20))+(B21))+(B31))+(B35))+(B38))+(B39))+(B40))+(B41))+(B42)</f>
        <v>289016.33999999997</v>
      </c>
      <c r="C43" s="7">
        <f>((((((((((C8)+(C9))+(C20))+(C21))+(C31))+(C35))+(C38))+(C39))+(C40))+(C41))+(C42)</f>
        <v>19473.330000000002</v>
      </c>
      <c r="D43" s="7">
        <f t="shared" si="0"/>
        <v>269543.00999999995</v>
      </c>
      <c r="E43" s="8">
        <f t="shared" si="1"/>
        <v>14.841649579193694</v>
      </c>
      <c r="F43" s="7">
        <f>((((((((((F8)+(F9))+(F20))+(F21))+(F31))+(F35))+(F38))+(F39))+(F40))+(F41))+(F42)</f>
        <v>32692.149999999998</v>
      </c>
      <c r="G43" s="7">
        <f>((((((((((G8)+(G9))+(G20))+(G21))+(G31))+(G35))+(G38))+(G39))+(G40))+(G41))+(G42)</f>
        <v>19473.330000000002</v>
      </c>
      <c r="H43" s="7">
        <f t="shared" si="2"/>
        <v>13218.819999999996</v>
      </c>
      <c r="I43" s="8">
        <f t="shared" si="3"/>
        <v>1.6788166173941486</v>
      </c>
      <c r="J43" s="7">
        <f>((((((((((J8)+(J9))+(J20))+(J21))+(J31))+(J35))+(J38))+(J39))+(J40))+(J41))+(J42)</f>
        <v>876943.51</v>
      </c>
      <c r="K43" s="7">
        <f>((((((((((K8)+(K9))+(K20))+(K21))+(K31))+(K35))+(K38))+(K39))+(K40))+(K41))+(K42)</f>
        <v>19473.330000000002</v>
      </c>
      <c r="L43" s="7">
        <f t="shared" si="4"/>
        <v>857470.18</v>
      </c>
      <c r="M43" s="8">
        <f t="shared" si="5"/>
        <v>45.033053412025573</v>
      </c>
      <c r="N43" s="7">
        <f>((((((((((N8)+(N9))+(N20))+(N21))+(N31))+(N35))+(N38))+(N39))+(N40))+(N41))+(N42)</f>
        <v>18548.909999999996</v>
      </c>
      <c r="O43" s="7">
        <f>((((((((((O8)+(O9))+(O20))+(O21))+(O31))+(O35))+(O38))+(O39))+(O40))+(O41))+(O42)</f>
        <v>19473.330000000002</v>
      </c>
      <c r="P43" s="7">
        <f t="shared" si="6"/>
        <v>-924.42000000000553</v>
      </c>
      <c r="Q43" s="8">
        <f t="shared" si="7"/>
        <v>0.95252892032333425</v>
      </c>
      <c r="R43" s="7">
        <f>((((((((((R8)+(R9))+(R20))+(R21))+(R31))+(R35))+(R38))+(R39))+(R40))+(R41))+(R42)</f>
        <v>368516.08999999997</v>
      </c>
      <c r="S43" s="7">
        <f>((((((((((S8)+(S9))+(S20))+(S21))+(S31))+(S35))+(S38))+(S39))+(S40))+(S41))+(S42)</f>
        <v>19473.330000000002</v>
      </c>
      <c r="T43" s="7">
        <f t="shared" si="8"/>
        <v>349042.75999999995</v>
      </c>
      <c r="U43" s="8">
        <f t="shared" si="9"/>
        <v>18.924143431041323</v>
      </c>
      <c r="V43" s="7">
        <f>((((((((((V8)+(V9))+(V20))+(V21))+(V31))+(V35))+(V38))+(V39))+(V40))+(V41))+(V42)</f>
        <v>48632.979999999996</v>
      </c>
      <c r="W43" s="7">
        <f>((((((((((W8)+(W9))+(W20))+(W21))+(W31))+(W35))+(W38))+(W39))+(W40))+(W41))+(W42)</f>
        <v>19473.330000000002</v>
      </c>
      <c r="X43" s="7">
        <f t="shared" si="10"/>
        <v>29159.649999999994</v>
      </c>
      <c r="Y43" s="8">
        <f t="shared" si="11"/>
        <v>2.4974146691911447</v>
      </c>
      <c r="Z43" s="7">
        <f>((((((((((Z8)+(Z9))+(Z20))+(Z21))+(Z31))+(Z35))+(Z38))+(Z39))+(Z40))+(Z41))+(Z42)</f>
        <v>105409.56</v>
      </c>
      <c r="AA43" s="7">
        <f>((((((((((AA8)+(AA9))+(AA20))+(AA21))+(AA31))+(AA35))+(AA38))+(AA39))+(AA40))+(AA41))+(AA42)</f>
        <v>19473.330000000002</v>
      </c>
      <c r="AB43" s="7">
        <f t="shared" si="12"/>
        <v>85936.23</v>
      </c>
      <c r="AC43" s="8">
        <f t="shared" si="13"/>
        <v>5.4130218098291349</v>
      </c>
      <c r="AD43" s="7">
        <f>((((((((((AD8)+(AD9))+(AD20))+(AD21))+(AD31))+(AD35))+(AD38))+(AD39))+(AD40))+(AD41))+(AD42)</f>
        <v>16083.29</v>
      </c>
      <c r="AE43" s="7">
        <f>((((((((((AE8)+(AE9))+(AE20))+(AE21))+(AE31))+(AE35))+(AE38))+(AE39))+(AE40))+(AE41))+(AE42)</f>
        <v>19473.330000000002</v>
      </c>
      <c r="AF43" s="7">
        <f t="shared" si="14"/>
        <v>-3390.0400000000009</v>
      </c>
      <c r="AG43" s="8">
        <f t="shared" si="15"/>
        <v>0.82591369837618933</v>
      </c>
      <c r="AH43" s="7">
        <f>((((((((((AH8)+(AH9))+(AH20))+(AH21))+(AH31))+(AH35))+(AH38))+(AH39))+(AH40))+(AH41))+(AH42)</f>
        <v>17469.750000000004</v>
      </c>
      <c r="AI43" s="7">
        <f>((((((((((AI8)+(AI9))+(AI20))+(AI21))+(AI31))+(AI35))+(AI38))+(AI39))+(AI40))+(AI41))+(AI42)</f>
        <v>19473.330000000002</v>
      </c>
      <c r="AJ43" s="7">
        <f t="shared" si="16"/>
        <v>-2003.5799999999981</v>
      </c>
      <c r="AK43" s="8">
        <f t="shared" si="17"/>
        <v>0.89711158800266833</v>
      </c>
      <c r="AL43" s="7">
        <f>((((((((((AL8)+(AL9))+(AL20))+(AL21))+(AL31))+(AL35))+(AL38))+(AL39))+(AL40))+(AL41))+(AL42)</f>
        <v>17822.22</v>
      </c>
      <c r="AM43" s="7">
        <f>((((((((((AM8)+(AM9))+(AM20))+(AM21))+(AM31))+(AM35))+(AM38))+(AM39))+(AM40))+(AM41))+(AM42)</f>
        <v>19473.330000000002</v>
      </c>
      <c r="AN43" s="7">
        <f t="shared" si="18"/>
        <v>-1651.1100000000006</v>
      </c>
      <c r="AO43" s="8">
        <f t="shared" si="19"/>
        <v>0.91521172804035056</v>
      </c>
      <c r="AP43" s="7">
        <f>((((((((((AP8)+(AP9))+(AP20))+(AP21))+(AP31))+(AP35))+(AP38))+(AP39))+(AP40))+(AP41))+(AP42)</f>
        <v>0</v>
      </c>
      <c r="AQ43" s="7">
        <f>((((((((((AQ8)+(AQ9))+(AQ20))+(AQ21))+(AQ31))+(AQ35))+(AQ38))+(AQ39))+(AQ40))+(AQ41))+(AQ42)</f>
        <v>19473.330000000002</v>
      </c>
      <c r="AR43" s="7">
        <f t="shared" si="20"/>
        <v>-19473.330000000002</v>
      </c>
      <c r="AS43" s="8">
        <f t="shared" si="21"/>
        <v>0</v>
      </c>
      <c r="AT43" s="7">
        <f>((((((((((AT8)+(AT9))+(AT20))+(AT21))+(AT31))+(AT35))+(AT38))+(AT39))+(AT40))+(AT41))+(AT42)</f>
        <v>0</v>
      </c>
      <c r="AU43" s="7">
        <f>((((((((((AU8)+(AU9))+(AU20))+(AU21))+(AU31))+(AU35))+(AU38))+(AU39))+(AU40))+(AU41))+(AU42)</f>
        <v>19473.370000000003</v>
      </c>
      <c r="AV43" s="7">
        <f t="shared" si="22"/>
        <v>-19473.370000000003</v>
      </c>
      <c r="AW43" s="8">
        <f t="shared" si="23"/>
        <v>0</v>
      </c>
      <c r="AX43" s="7">
        <f t="shared" si="24"/>
        <v>1791134.8</v>
      </c>
      <c r="AY43" s="7">
        <f t="shared" si="25"/>
        <v>233680.00000000006</v>
      </c>
      <c r="AZ43" s="7">
        <f t="shared" si="26"/>
        <v>1557454.8</v>
      </c>
      <c r="BA43" s="8">
        <f t="shared" si="27"/>
        <v>7.6649041424169786</v>
      </c>
    </row>
    <row r="44" spans="1:53" x14ac:dyDescent="0.3">
      <c r="A44" s="3" t="s">
        <v>54</v>
      </c>
      <c r="B44" s="7">
        <f>(B43)-(0)</f>
        <v>289016.33999999997</v>
      </c>
      <c r="C44" s="7">
        <f>(C43)-(0)</f>
        <v>19473.330000000002</v>
      </c>
      <c r="D44" s="7">
        <f t="shared" si="0"/>
        <v>269543.00999999995</v>
      </c>
      <c r="E44" s="8">
        <f t="shared" si="1"/>
        <v>14.841649579193694</v>
      </c>
      <c r="F44" s="7">
        <f>(F43)-(0)</f>
        <v>32692.149999999998</v>
      </c>
      <c r="G44" s="7">
        <f>(G43)-(0)</f>
        <v>19473.330000000002</v>
      </c>
      <c r="H44" s="7">
        <f t="shared" si="2"/>
        <v>13218.819999999996</v>
      </c>
      <c r="I44" s="8">
        <f t="shared" si="3"/>
        <v>1.6788166173941486</v>
      </c>
      <c r="J44" s="7">
        <f>(J43)-(0)</f>
        <v>876943.51</v>
      </c>
      <c r="K44" s="7">
        <f>(K43)-(0)</f>
        <v>19473.330000000002</v>
      </c>
      <c r="L44" s="7">
        <f t="shared" si="4"/>
        <v>857470.18</v>
      </c>
      <c r="M44" s="8">
        <f t="shared" si="5"/>
        <v>45.033053412025573</v>
      </c>
      <c r="N44" s="7">
        <f>(N43)-(0)</f>
        <v>18548.909999999996</v>
      </c>
      <c r="O44" s="7">
        <f>(O43)-(0)</f>
        <v>19473.330000000002</v>
      </c>
      <c r="P44" s="7">
        <f t="shared" si="6"/>
        <v>-924.42000000000553</v>
      </c>
      <c r="Q44" s="8">
        <f t="shared" si="7"/>
        <v>0.95252892032333425</v>
      </c>
      <c r="R44" s="7">
        <f>(R43)-(0)</f>
        <v>368516.08999999997</v>
      </c>
      <c r="S44" s="7">
        <f>(S43)-(0)</f>
        <v>19473.330000000002</v>
      </c>
      <c r="T44" s="7">
        <f t="shared" si="8"/>
        <v>349042.75999999995</v>
      </c>
      <c r="U44" s="8">
        <f t="shared" si="9"/>
        <v>18.924143431041323</v>
      </c>
      <c r="V44" s="7">
        <f>(V43)-(0)</f>
        <v>48632.979999999996</v>
      </c>
      <c r="W44" s="7">
        <f>(W43)-(0)</f>
        <v>19473.330000000002</v>
      </c>
      <c r="X44" s="7">
        <f t="shared" si="10"/>
        <v>29159.649999999994</v>
      </c>
      <c r="Y44" s="8">
        <f t="shared" si="11"/>
        <v>2.4974146691911447</v>
      </c>
      <c r="Z44" s="7">
        <f>(Z43)-(0)</f>
        <v>105409.56</v>
      </c>
      <c r="AA44" s="7">
        <f>(AA43)-(0)</f>
        <v>19473.330000000002</v>
      </c>
      <c r="AB44" s="7">
        <f t="shared" si="12"/>
        <v>85936.23</v>
      </c>
      <c r="AC44" s="8">
        <f t="shared" si="13"/>
        <v>5.4130218098291349</v>
      </c>
      <c r="AD44" s="7">
        <f>(AD43)-(0)</f>
        <v>16083.29</v>
      </c>
      <c r="AE44" s="7">
        <f>(AE43)-(0)</f>
        <v>19473.330000000002</v>
      </c>
      <c r="AF44" s="7">
        <f t="shared" si="14"/>
        <v>-3390.0400000000009</v>
      </c>
      <c r="AG44" s="8">
        <f t="shared" si="15"/>
        <v>0.82591369837618933</v>
      </c>
      <c r="AH44" s="7">
        <f>(AH43)-(0)</f>
        <v>17469.750000000004</v>
      </c>
      <c r="AI44" s="7">
        <f>(AI43)-(0)</f>
        <v>19473.330000000002</v>
      </c>
      <c r="AJ44" s="7">
        <f t="shared" si="16"/>
        <v>-2003.5799999999981</v>
      </c>
      <c r="AK44" s="8">
        <f t="shared" si="17"/>
        <v>0.89711158800266833</v>
      </c>
      <c r="AL44" s="7">
        <f>(AL43)-(0)</f>
        <v>17822.22</v>
      </c>
      <c r="AM44" s="7">
        <f>(AM43)-(0)</f>
        <v>19473.330000000002</v>
      </c>
      <c r="AN44" s="7">
        <f t="shared" si="18"/>
        <v>-1651.1100000000006</v>
      </c>
      <c r="AO44" s="8">
        <f t="shared" si="19"/>
        <v>0.91521172804035056</v>
      </c>
      <c r="AP44" s="7">
        <f>(AP43)-(0)</f>
        <v>0</v>
      </c>
      <c r="AQ44" s="7">
        <f>(AQ43)-(0)</f>
        <v>19473.330000000002</v>
      </c>
      <c r="AR44" s="7">
        <f t="shared" si="20"/>
        <v>-19473.330000000002</v>
      </c>
      <c r="AS44" s="8">
        <f t="shared" si="21"/>
        <v>0</v>
      </c>
      <c r="AT44" s="7">
        <f>(AT43)-(0)</f>
        <v>0</v>
      </c>
      <c r="AU44" s="7">
        <f>(AU43)-(0)</f>
        <v>19473.370000000003</v>
      </c>
      <c r="AV44" s="7">
        <f t="shared" si="22"/>
        <v>-19473.370000000003</v>
      </c>
      <c r="AW44" s="8">
        <f t="shared" si="23"/>
        <v>0</v>
      </c>
      <c r="AX44" s="7">
        <f t="shared" si="24"/>
        <v>1791134.8</v>
      </c>
      <c r="AY44" s="7">
        <f t="shared" si="25"/>
        <v>233680.00000000006</v>
      </c>
      <c r="AZ44" s="7">
        <f t="shared" si="26"/>
        <v>1557454.8</v>
      </c>
      <c r="BA44" s="8">
        <f t="shared" si="27"/>
        <v>7.6649041424169786</v>
      </c>
    </row>
    <row r="45" spans="1:53" x14ac:dyDescent="0.3">
      <c r="A45" s="3" t="s">
        <v>55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x14ac:dyDescent="0.3">
      <c r="A46" s="3" t="s">
        <v>56</v>
      </c>
      <c r="B46" s="5">
        <f>300</f>
        <v>300</v>
      </c>
      <c r="C46" s="5">
        <f>583.33</f>
        <v>583.33000000000004</v>
      </c>
      <c r="D46" s="5">
        <f t="shared" ref="D46:D72" si="28">(B46)-(C46)</f>
        <v>-283.33000000000004</v>
      </c>
      <c r="E46" s="6">
        <f t="shared" ref="E46:E72" si="29">IF(C46=0,"",(B46)/(C46))</f>
        <v>0.51428865307801752</v>
      </c>
      <c r="F46" s="5">
        <f>300</f>
        <v>300</v>
      </c>
      <c r="G46" s="5">
        <f>583.33</f>
        <v>583.33000000000004</v>
      </c>
      <c r="H46" s="5">
        <f t="shared" ref="H46:H72" si="30">(F46)-(G46)</f>
        <v>-283.33000000000004</v>
      </c>
      <c r="I46" s="6">
        <f t="shared" ref="I46:I72" si="31">IF(G46=0,"",(F46)/(G46))</f>
        <v>0.51428865307801752</v>
      </c>
      <c r="J46" s="5">
        <f>400</f>
        <v>400</v>
      </c>
      <c r="K46" s="5">
        <f>583.33</f>
        <v>583.33000000000004</v>
      </c>
      <c r="L46" s="5">
        <f t="shared" ref="L46:L72" si="32">(J46)-(K46)</f>
        <v>-183.33000000000004</v>
      </c>
      <c r="M46" s="6">
        <f t="shared" ref="M46:M72" si="33">IF(K46=0,"",(J46)/(K46))</f>
        <v>0.6857182041040234</v>
      </c>
      <c r="N46" s="5">
        <f>800</f>
        <v>800</v>
      </c>
      <c r="O46" s="5">
        <f>583.33</f>
        <v>583.33000000000004</v>
      </c>
      <c r="P46" s="5">
        <f t="shared" ref="P46:P72" si="34">(N46)-(O46)</f>
        <v>216.66999999999996</v>
      </c>
      <c r="Q46" s="6">
        <f t="shared" ref="Q46:Q72" si="35">IF(O46=0,"",(N46)/(O46))</f>
        <v>1.3714364082080468</v>
      </c>
      <c r="R46" s="4"/>
      <c r="S46" s="5">
        <f>583.33</f>
        <v>583.33000000000004</v>
      </c>
      <c r="T46" s="5">
        <f t="shared" ref="T46:T72" si="36">(R46)-(S46)</f>
        <v>-583.33000000000004</v>
      </c>
      <c r="U46" s="6">
        <f t="shared" ref="U46:U72" si="37">IF(S46=0,"",(R46)/(S46))</f>
        <v>0</v>
      </c>
      <c r="V46" s="5">
        <f>400</f>
        <v>400</v>
      </c>
      <c r="W46" s="5">
        <f>583.33</f>
        <v>583.33000000000004</v>
      </c>
      <c r="X46" s="5">
        <f t="shared" ref="X46:X72" si="38">(V46)-(W46)</f>
        <v>-183.33000000000004</v>
      </c>
      <c r="Y46" s="6">
        <f t="shared" ref="Y46:Y72" si="39">IF(W46=0,"",(V46)/(W46))</f>
        <v>0.6857182041040234</v>
      </c>
      <c r="Z46" s="5">
        <f>400</f>
        <v>400</v>
      </c>
      <c r="AA46" s="5">
        <f>583.33</f>
        <v>583.33000000000004</v>
      </c>
      <c r="AB46" s="5">
        <f t="shared" ref="AB46:AB72" si="40">(Z46)-(AA46)</f>
        <v>-183.33000000000004</v>
      </c>
      <c r="AC46" s="6">
        <f t="shared" ref="AC46:AC72" si="41">IF(AA46=0,"",(Z46)/(AA46))</f>
        <v>0.6857182041040234</v>
      </c>
      <c r="AD46" s="5">
        <f>500</f>
        <v>500</v>
      </c>
      <c r="AE46" s="5">
        <f>583.33</f>
        <v>583.33000000000004</v>
      </c>
      <c r="AF46" s="5">
        <f t="shared" ref="AF46:AF72" si="42">(AD46)-(AE46)</f>
        <v>-83.330000000000041</v>
      </c>
      <c r="AG46" s="6">
        <f t="shared" ref="AG46:AG72" si="43">IF(AE46=0,"",(AD46)/(AE46))</f>
        <v>0.85714775513002928</v>
      </c>
      <c r="AH46" s="5">
        <f>200</f>
        <v>200</v>
      </c>
      <c r="AI46" s="5">
        <f>583.33</f>
        <v>583.33000000000004</v>
      </c>
      <c r="AJ46" s="5">
        <f t="shared" ref="AJ46:AJ72" si="44">(AH46)-(AI46)</f>
        <v>-383.33000000000004</v>
      </c>
      <c r="AK46" s="6">
        <f t="shared" ref="AK46:AK72" si="45">IF(AI46=0,"",(AH46)/(AI46))</f>
        <v>0.3428591020520117</v>
      </c>
      <c r="AL46" s="5">
        <f>1000</f>
        <v>1000</v>
      </c>
      <c r="AM46" s="5">
        <f>583.33</f>
        <v>583.33000000000004</v>
      </c>
      <c r="AN46" s="5">
        <f t="shared" ref="AN46:AN72" si="46">(AL46)-(AM46)</f>
        <v>416.66999999999996</v>
      </c>
      <c r="AO46" s="6">
        <f t="shared" ref="AO46:AO72" si="47">IF(AM46=0,"",(AL46)/(AM46))</f>
        <v>1.7142955102600586</v>
      </c>
      <c r="AP46" s="4"/>
      <c r="AQ46" s="5">
        <f>583.33</f>
        <v>583.33000000000004</v>
      </c>
      <c r="AR46" s="5">
        <f t="shared" ref="AR46:AR72" si="48">(AP46)-(AQ46)</f>
        <v>-583.33000000000004</v>
      </c>
      <c r="AS46" s="6">
        <f t="shared" ref="AS46:AS72" si="49">IF(AQ46=0,"",(AP46)/(AQ46))</f>
        <v>0</v>
      </c>
      <c r="AT46" s="4"/>
      <c r="AU46" s="5">
        <f>583.37</f>
        <v>583.37</v>
      </c>
      <c r="AV46" s="5">
        <f t="shared" ref="AV46:AV72" si="50">(AT46)-(AU46)</f>
        <v>-583.37</v>
      </c>
      <c r="AW46" s="6">
        <f t="shared" ref="AW46:AW72" si="51">IF(AU46=0,"",(AT46)/(AU46))</f>
        <v>0</v>
      </c>
      <c r="AX46" s="5">
        <f t="shared" ref="AX46:AX72" si="52">(((((((((((B46)+(F46))+(J46))+(N46))+(R46))+(V46))+(Z46))+(AD46))+(AH46))+(AL46))+(AP46))+(AT46)</f>
        <v>4300</v>
      </c>
      <c r="AY46" s="5">
        <f t="shared" ref="AY46:AY72" si="53">(((((((((((C46)+(G46))+(K46))+(O46))+(S46))+(W46))+(AA46))+(AE46))+(AI46))+(AM46))+(AQ46))+(AU46)</f>
        <v>7000</v>
      </c>
      <c r="AZ46" s="5">
        <f t="shared" ref="AZ46:AZ72" si="54">(AX46)-(AY46)</f>
        <v>-2700</v>
      </c>
      <c r="BA46" s="6">
        <f t="shared" ref="BA46:BA72" si="55">IF(AY46=0,"",(AX46)/(AY46))</f>
        <v>0.61428571428571432</v>
      </c>
    </row>
    <row r="47" spans="1:53" x14ac:dyDescent="0.3">
      <c r="A47" s="3" t="s">
        <v>57</v>
      </c>
      <c r="B47" s="5">
        <f>82</f>
        <v>82</v>
      </c>
      <c r="C47" s="5">
        <f>416.67</f>
        <v>416.67</v>
      </c>
      <c r="D47" s="5">
        <f t="shared" si="28"/>
        <v>-334.67</v>
      </c>
      <c r="E47" s="6">
        <f t="shared" si="29"/>
        <v>0.19679842561259508</v>
      </c>
      <c r="F47" s="5">
        <f>82</f>
        <v>82</v>
      </c>
      <c r="G47" s="5">
        <f>416.67</f>
        <v>416.67</v>
      </c>
      <c r="H47" s="5">
        <f t="shared" si="30"/>
        <v>-334.67</v>
      </c>
      <c r="I47" s="6">
        <f t="shared" si="31"/>
        <v>0.19679842561259508</v>
      </c>
      <c r="J47" s="5">
        <f>2848.14</f>
        <v>2848.14</v>
      </c>
      <c r="K47" s="5">
        <f>416.67</f>
        <v>416.67</v>
      </c>
      <c r="L47" s="5">
        <f t="shared" si="32"/>
        <v>2431.4699999999998</v>
      </c>
      <c r="M47" s="6">
        <f t="shared" si="33"/>
        <v>6.8354813161494699</v>
      </c>
      <c r="N47" s="5">
        <f>82</f>
        <v>82</v>
      </c>
      <c r="O47" s="5">
        <f>416.67</f>
        <v>416.67</v>
      </c>
      <c r="P47" s="5">
        <f t="shared" si="34"/>
        <v>-334.67</v>
      </c>
      <c r="Q47" s="6">
        <f t="shared" si="35"/>
        <v>0.19679842561259508</v>
      </c>
      <c r="R47" s="4"/>
      <c r="S47" s="5">
        <f>416.67</f>
        <v>416.67</v>
      </c>
      <c r="T47" s="5">
        <f t="shared" si="36"/>
        <v>-416.67</v>
      </c>
      <c r="U47" s="6">
        <f t="shared" si="37"/>
        <v>0</v>
      </c>
      <c r="V47" s="5">
        <f>164</f>
        <v>164</v>
      </c>
      <c r="W47" s="5">
        <f>416.67</f>
        <v>416.67</v>
      </c>
      <c r="X47" s="5">
        <f t="shared" si="38"/>
        <v>-252.67000000000002</v>
      </c>
      <c r="Y47" s="6">
        <f t="shared" si="39"/>
        <v>0.39359685122519017</v>
      </c>
      <c r="Z47" s="4"/>
      <c r="AA47" s="5">
        <f>416.67</f>
        <v>416.67</v>
      </c>
      <c r="AB47" s="5">
        <f t="shared" si="40"/>
        <v>-416.67</v>
      </c>
      <c r="AC47" s="6">
        <f t="shared" si="41"/>
        <v>0</v>
      </c>
      <c r="AD47" s="5">
        <f>164</f>
        <v>164</v>
      </c>
      <c r="AE47" s="5">
        <f>416.67</f>
        <v>416.67</v>
      </c>
      <c r="AF47" s="5">
        <f t="shared" si="42"/>
        <v>-252.67000000000002</v>
      </c>
      <c r="AG47" s="6">
        <f t="shared" si="43"/>
        <v>0.39359685122519017</v>
      </c>
      <c r="AH47" s="5">
        <f>1050</f>
        <v>1050</v>
      </c>
      <c r="AI47" s="5">
        <f>416.67</f>
        <v>416.67</v>
      </c>
      <c r="AJ47" s="5">
        <f t="shared" si="44"/>
        <v>633.32999999999993</v>
      </c>
      <c r="AK47" s="6">
        <f t="shared" si="45"/>
        <v>2.5199798401612785</v>
      </c>
      <c r="AL47" s="5">
        <f>164</f>
        <v>164</v>
      </c>
      <c r="AM47" s="5">
        <f>416.67</f>
        <v>416.67</v>
      </c>
      <c r="AN47" s="5">
        <f t="shared" si="46"/>
        <v>-252.67000000000002</v>
      </c>
      <c r="AO47" s="6">
        <f t="shared" si="47"/>
        <v>0.39359685122519017</v>
      </c>
      <c r="AP47" s="4"/>
      <c r="AQ47" s="5">
        <f>416.67</f>
        <v>416.67</v>
      </c>
      <c r="AR47" s="5">
        <f t="shared" si="48"/>
        <v>-416.67</v>
      </c>
      <c r="AS47" s="6">
        <f t="shared" si="49"/>
        <v>0</v>
      </c>
      <c r="AT47" s="4"/>
      <c r="AU47" s="5">
        <f>416.63</f>
        <v>416.63</v>
      </c>
      <c r="AV47" s="5">
        <f t="shared" si="50"/>
        <v>-416.63</v>
      </c>
      <c r="AW47" s="6">
        <f t="shared" si="51"/>
        <v>0</v>
      </c>
      <c r="AX47" s="5">
        <f t="shared" si="52"/>
        <v>4636.1399999999994</v>
      </c>
      <c r="AY47" s="5">
        <f t="shared" si="53"/>
        <v>5000</v>
      </c>
      <c r="AZ47" s="5">
        <f t="shared" si="54"/>
        <v>-363.86000000000058</v>
      </c>
      <c r="BA47" s="6">
        <f t="shared" si="55"/>
        <v>0.92722799999999983</v>
      </c>
    </row>
    <row r="48" spans="1:53" x14ac:dyDescent="0.3">
      <c r="A48" s="3" t="s">
        <v>58</v>
      </c>
      <c r="B48" s="4"/>
      <c r="C48" s="5">
        <f>8.33</f>
        <v>8.33</v>
      </c>
      <c r="D48" s="5">
        <f t="shared" si="28"/>
        <v>-8.33</v>
      </c>
      <c r="E48" s="6">
        <f t="shared" si="29"/>
        <v>0</v>
      </c>
      <c r="F48" s="4"/>
      <c r="G48" s="5">
        <f>8.33</f>
        <v>8.33</v>
      </c>
      <c r="H48" s="5">
        <f t="shared" si="30"/>
        <v>-8.33</v>
      </c>
      <c r="I48" s="6">
        <f t="shared" si="31"/>
        <v>0</v>
      </c>
      <c r="J48" s="4"/>
      <c r="K48" s="5">
        <f>8.33</f>
        <v>8.33</v>
      </c>
      <c r="L48" s="5">
        <f t="shared" si="32"/>
        <v>-8.33</v>
      </c>
      <c r="M48" s="6">
        <f t="shared" si="33"/>
        <v>0</v>
      </c>
      <c r="N48" s="4"/>
      <c r="O48" s="5">
        <f>8.33</f>
        <v>8.33</v>
      </c>
      <c r="P48" s="5">
        <f t="shared" si="34"/>
        <v>-8.33</v>
      </c>
      <c r="Q48" s="6">
        <f t="shared" si="35"/>
        <v>0</v>
      </c>
      <c r="R48" s="4"/>
      <c r="S48" s="5">
        <f>8.33</f>
        <v>8.33</v>
      </c>
      <c r="T48" s="5">
        <f t="shared" si="36"/>
        <v>-8.33</v>
      </c>
      <c r="U48" s="6">
        <f t="shared" si="37"/>
        <v>0</v>
      </c>
      <c r="V48" s="4"/>
      <c r="W48" s="5">
        <f>8.33</f>
        <v>8.33</v>
      </c>
      <c r="X48" s="5">
        <f t="shared" si="38"/>
        <v>-8.33</v>
      </c>
      <c r="Y48" s="6">
        <f t="shared" si="39"/>
        <v>0</v>
      </c>
      <c r="Z48" s="4"/>
      <c r="AA48" s="5">
        <f>8.33</f>
        <v>8.33</v>
      </c>
      <c r="AB48" s="5">
        <f t="shared" si="40"/>
        <v>-8.33</v>
      </c>
      <c r="AC48" s="6">
        <f t="shared" si="41"/>
        <v>0</v>
      </c>
      <c r="AD48" s="4"/>
      <c r="AE48" s="5">
        <f>8.33</f>
        <v>8.33</v>
      </c>
      <c r="AF48" s="5">
        <f t="shared" si="42"/>
        <v>-8.33</v>
      </c>
      <c r="AG48" s="6">
        <f t="shared" si="43"/>
        <v>0</v>
      </c>
      <c r="AH48" s="4"/>
      <c r="AI48" s="5">
        <f>8.33</f>
        <v>8.33</v>
      </c>
      <c r="AJ48" s="5">
        <f t="shared" si="44"/>
        <v>-8.33</v>
      </c>
      <c r="AK48" s="6">
        <f t="shared" si="45"/>
        <v>0</v>
      </c>
      <c r="AL48" s="4"/>
      <c r="AM48" s="5">
        <f>8.33</f>
        <v>8.33</v>
      </c>
      <c r="AN48" s="5">
        <f t="shared" si="46"/>
        <v>-8.33</v>
      </c>
      <c r="AO48" s="6">
        <f t="shared" si="47"/>
        <v>0</v>
      </c>
      <c r="AP48" s="4"/>
      <c r="AQ48" s="5">
        <f>8.33</f>
        <v>8.33</v>
      </c>
      <c r="AR48" s="5">
        <f t="shared" si="48"/>
        <v>-8.33</v>
      </c>
      <c r="AS48" s="6">
        <f t="shared" si="49"/>
        <v>0</v>
      </c>
      <c r="AT48" s="4"/>
      <c r="AU48" s="5">
        <f>8.37</f>
        <v>8.3699999999999992</v>
      </c>
      <c r="AV48" s="5">
        <f t="shared" si="50"/>
        <v>-8.3699999999999992</v>
      </c>
      <c r="AW48" s="6">
        <f t="shared" si="51"/>
        <v>0</v>
      </c>
      <c r="AX48" s="5">
        <f t="shared" si="52"/>
        <v>0</v>
      </c>
      <c r="AY48" s="5">
        <f t="shared" si="53"/>
        <v>100</v>
      </c>
      <c r="AZ48" s="5">
        <f t="shared" si="54"/>
        <v>-100</v>
      </c>
      <c r="BA48" s="6">
        <f t="shared" si="55"/>
        <v>0</v>
      </c>
    </row>
    <row r="49" spans="1:53" x14ac:dyDescent="0.3">
      <c r="A49" s="3" t="s">
        <v>59</v>
      </c>
      <c r="B49" s="4"/>
      <c r="C49" s="5">
        <f>375</f>
        <v>375</v>
      </c>
      <c r="D49" s="5">
        <f t="shared" si="28"/>
        <v>-375</v>
      </c>
      <c r="E49" s="6">
        <f t="shared" si="29"/>
        <v>0</v>
      </c>
      <c r="F49" s="5">
        <f>300</f>
        <v>300</v>
      </c>
      <c r="G49" s="5">
        <f>375</f>
        <v>375</v>
      </c>
      <c r="H49" s="5">
        <f t="shared" si="30"/>
        <v>-75</v>
      </c>
      <c r="I49" s="6">
        <f t="shared" si="31"/>
        <v>0.8</v>
      </c>
      <c r="J49" s="4"/>
      <c r="K49" s="5">
        <f>375</f>
        <v>375</v>
      </c>
      <c r="L49" s="5">
        <f t="shared" si="32"/>
        <v>-375</v>
      </c>
      <c r="M49" s="6">
        <f t="shared" si="33"/>
        <v>0</v>
      </c>
      <c r="N49" s="5">
        <f>135</f>
        <v>135</v>
      </c>
      <c r="O49" s="5">
        <f>375</f>
        <v>375</v>
      </c>
      <c r="P49" s="5">
        <f t="shared" si="34"/>
        <v>-240</v>
      </c>
      <c r="Q49" s="6">
        <f t="shared" si="35"/>
        <v>0.36</v>
      </c>
      <c r="R49" s="4"/>
      <c r="S49" s="5">
        <f>375</f>
        <v>375</v>
      </c>
      <c r="T49" s="5">
        <f t="shared" si="36"/>
        <v>-375</v>
      </c>
      <c r="U49" s="6">
        <f t="shared" si="37"/>
        <v>0</v>
      </c>
      <c r="V49" s="5">
        <f>1500</f>
        <v>1500</v>
      </c>
      <c r="W49" s="5">
        <f>375</f>
        <v>375</v>
      </c>
      <c r="X49" s="5">
        <f t="shared" si="38"/>
        <v>1125</v>
      </c>
      <c r="Y49" s="6">
        <f t="shared" si="39"/>
        <v>4</v>
      </c>
      <c r="Z49" s="5">
        <f>695</f>
        <v>695</v>
      </c>
      <c r="AA49" s="5">
        <f>375</f>
        <v>375</v>
      </c>
      <c r="AB49" s="5">
        <f t="shared" si="40"/>
        <v>320</v>
      </c>
      <c r="AC49" s="6">
        <f t="shared" si="41"/>
        <v>1.8533333333333333</v>
      </c>
      <c r="AD49" s="5">
        <f>250</f>
        <v>250</v>
      </c>
      <c r="AE49" s="5">
        <f>375</f>
        <v>375</v>
      </c>
      <c r="AF49" s="5">
        <f t="shared" si="42"/>
        <v>-125</v>
      </c>
      <c r="AG49" s="6">
        <f t="shared" si="43"/>
        <v>0.66666666666666663</v>
      </c>
      <c r="AH49" s="4"/>
      <c r="AI49" s="5">
        <f>375</f>
        <v>375</v>
      </c>
      <c r="AJ49" s="5">
        <f t="shared" si="44"/>
        <v>-375</v>
      </c>
      <c r="AK49" s="6">
        <f t="shared" si="45"/>
        <v>0</v>
      </c>
      <c r="AL49" s="5">
        <f>250</f>
        <v>250</v>
      </c>
      <c r="AM49" s="5">
        <f>375</f>
        <v>375</v>
      </c>
      <c r="AN49" s="5">
        <f t="shared" si="46"/>
        <v>-125</v>
      </c>
      <c r="AO49" s="6">
        <f t="shared" si="47"/>
        <v>0.66666666666666663</v>
      </c>
      <c r="AP49" s="4"/>
      <c r="AQ49" s="5">
        <f>375</f>
        <v>375</v>
      </c>
      <c r="AR49" s="5">
        <f t="shared" si="48"/>
        <v>-375</v>
      </c>
      <c r="AS49" s="6">
        <f t="shared" si="49"/>
        <v>0</v>
      </c>
      <c r="AT49" s="4"/>
      <c r="AU49" s="5">
        <f>375</f>
        <v>375</v>
      </c>
      <c r="AV49" s="5">
        <f t="shared" si="50"/>
        <v>-375</v>
      </c>
      <c r="AW49" s="6">
        <f t="shared" si="51"/>
        <v>0</v>
      </c>
      <c r="AX49" s="5">
        <f t="shared" si="52"/>
        <v>3130</v>
      </c>
      <c r="AY49" s="5">
        <f t="shared" si="53"/>
        <v>4500</v>
      </c>
      <c r="AZ49" s="5">
        <f t="shared" si="54"/>
        <v>-1370</v>
      </c>
      <c r="BA49" s="6">
        <f t="shared" si="55"/>
        <v>0.69555555555555559</v>
      </c>
    </row>
    <row r="50" spans="1:53" x14ac:dyDescent="0.3">
      <c r="A50" s="3" t="s">
        <v>60</v>
      </c>
      <c r="B50" s="4"/>
      <c r="C50" s="4"/>
      <c r="D50" s="5">
        <f t="shared" si="28"/>
        <v>0</v>
      </c>
      <c r="E50" s="6" t="str">
        <f t="shared" si="29"/>
        <v/>
      </c>
      <c r="F50" s="4"/>
      <c r="G50" s="4"/>
      <c r="H50" s="5">
        <f t="shared" si="30"/>
        <v>0</v>
      </c>
      <c r="I50" s="6" t="str">
        <f t="shared" si="31"/>
        <v/>
      </c>
      <c r="J50" s="4"/>
      <c r="K50" s="4"/>
      <c r="L50" s="5">
        <f t="shared" si="32"/>
        <v>0</v>
      </c>
      <c r="M50" s="6" t="str">
        <f t="shared" si="33"/>
        <v/>
      </c>
      <c r="N50" s="4"/>
      <c r="O50" s="4"/>
      <c r="P50" s="5">
        <f t="shared" si="34"/>
        <v>0</v>
      </c>
      <c r="Q50" s="6" t="str">
        <f t="shared" si="35"/>
        <v/>
      </c>
      <c r="R50" s="4"/>
      <c r="S50" s="4"/>
      <c r="T50" s="5">
        <f t="shared" si="36"/>
        <v>0</v>
      </c>
      <c r="U50" s="6" t="str">
        <f t="shared" si="37"/>
        <v/>
      </c>
      <c r="V50" s="4"/>
      <c r="W50" s="4"/>
      <c r="X50" s="5">
        <f t="shared" si="38"/>
        <v>0</v>
      </c>
      <c r="Y50" s="6" t="str">
        <f t="shared" si="39"/>
        <v/>
      </c>
      <c r="Z50" s="4"/>
      <c r="AA50" s="4"/>
      <c r="AB50" s="5">
        <f t="shared" si="40"/>
        <v>0</v>
      </c>
      <c r="AC50" s="6" t="str">
        <f t="shared" si="41"/>
        <v/>
      </c>
      <c r="AD50" s="4"/>
      <c r="AE50" s="4"/>
      <c r="AF50" s="5">
        <f t="shared" si="42"/>
        <v>0</v>
      </c>
      <c r="AG50" s="6" t="str">
        <f t="shared" si="43"/>
        <v/>
      </c>
      <c r="AH50" s="5">
        <f>90</f>
        <v>90</v>
      </c>
      <c r="AI50" s="4"/>
      <c r="AJ50" s="5">
        <f t="shared" si="44"/>
        <v>90</v>
      </c>
      <c r="AK50" s="6" t="str">
        <f t="shared" si="45"/>
        <v/>
      </c>
      <c r="AL50" s="4"/>
      <c r="AM50" s="4"/>
      <c r="AN50" s="5">
        <f t="shared" si="46"/>
        <v>0</v>
      </c>
      <c r="AO50" s="6" t="str">
        <f t="shared" si="47"/>
        <v/>
      </c>
      <c r="AP50" s="4"/>
      <c r="AQ50" s="4"/>
      <c r="AR50" s="5">
        <f t="shared" si="48"/>
        <v>0</v>
      </c>
      <c r="AS50" s="6" t="str">
        <f t="shared" si="49"/>
        <v/>
      </c>
      <c r="AT50" s="4"/>
      <c r="AU50" s="4"/>
      <c r="AV50" s="5">
        <f t="shared" si="50"/>
        <v>0</v>
      </c>
      <c r="AW50" s="6" t="str">
        <f t="shared" si="51"/>
        <v/>
      </c>
      <c r="AX50" s="5">
        <f t="shared" si="52"/>
        <v>90</v>
      </c>
      <c r="AY50" s="5">
        <f t="shared" si="53"/>
        <v>0</v>
      </c>
      <c r="AZ50" s="5">
        <f t="shared" si="54"/>
        <v>90</v>
      </c>
      <c r="BA50" s="6" t="str">
        <f t="shared" si="55"/>
        <v/>
      </c>
    </row>
    <row r="51" spans="1:53" x14ac:dyDescent="0.3">
      <c r="A51" s="3" t="s">
        <v>61</v>
      </c>
      <c r="B51" s="4"/>
      <c r="C51" s="5">
        <f>83.33</f>
        <v>83.33</v>
      </c>
      <c r="D51" s="5">
        <f t="shared" si="28"/>
        <v>-83.33</v>
      </c>
      <c r="E51" s="6">
        <f t="shared" si="29"/>
        <v>0</v>
      </c>
      <c r="F51" s="4"/>
      <c r="G51" s="5">
        <f>83.33</f>
        <v>83.33</v>
      </c>
      <c r="H51" s="5">
        <f t="shared" si="30"/>
        <v>-83.33</v>
      </c>
      <c r="I51" s="6">
        <f t="shared" si="31"/>
        <v>0</v>
      </c>
      <c r="J51" s="4"/>
      <c r="K51" s="5">
        <f>83.33</f>
        <v>83.33</v>
      </c>
      <c r="L51" s="5">
        <f t="shared" si="32"/>
        <v>-83.33</v>
      </c>
      <c r="M51" s="6">
        <f t="shared" si="33"/>
        <v>0</v>
      </c>
      <c r="N51" s="4"/>
      <c r="O51" s="5">
        <f>83.33</f>
        <v>83.33</v>
      </c>
      <c r="P51" s="5">
        <f t="shared" si="34"/>
        <v>-83.33</v>
      </c>
      <c r="Q51" s="6">
        <f t="shared" si="35"/>
        <v>0</v>
      </c>
      <c r="R51" s="4"/>
      <c r="S51" s="5">
        <f>83.33</f>
        <v>83.33</v>
      </c>
      <c r="T51" s="5">
        <f t="shared" si="36"/>
        <v>-83.33</v>
      </c>
      <c r="U51" s="6">
        <f t="shared" si="37"/>
        <v>0</v>
      </c>
      <c r="V51" s="4"/>
      <c r="W51" s="5">
        <f>83.33</f>
        <v>83.33</v>
      </c>
      <c r="X51" s="5">
        <f t="shared" si="38"/>
        <v>-83.33</v>
      </c>
      <c r="Y51" s="6">
        <f t="shared" si="39"/>
        <v>0</v>
      </c>
      <c r="Z51" s="4"/>
      <c r="AA51" s="5">
        <f>83.33</f>
        <v>83.33</v>
      </c>
      <c r="AB51" s="5">
        <f t="shared" si="40"/>
        <v>-83.33</v>
      </c>
      <c r="AC51" s="6">
        <f t="shared" si="41"/>
        <v>0</v>
      </c>
      <c r="AD51" s="4"/>
      <c r="AE51" s="5">
        <f>83.33</f>
        <v>83.33</v>
      </c>
      <c r="AF51" s="5">
        <f t="shared" si="42"/>
        <v>-83.33</v>
      </c>
      <c r="AG51" s="6">
        <f t="shared" si="43"/>
        <v>0</v>
      </c>
      <c r="AH51" s="4"/>
      <c r="AI51" s="5">
        <f>83.33</f>
        <v>83.33</v>
      </c>
      <c r="AJ51" s="5">
        <f t="shared" si="44"/>
        <v>-83.33</v>
      </c>
      <c r="AK51" s="6">
        <f t="shared" si="45"/>
        <v>0</v>
      </c>
      <c r="AL51" s="4"/>
      <c r="AM51" s="5">
        <f>83.33</f>
        <v>83.33</v>
      </c>
      <c r="AN51" s="5">
        <f t="shared" si="46"/>
        <v>-83.33</v>
      </c>
      <c r="AO51" s="6">
        <f t="shared" si="47"/>
        <v>0</v>
      </c>
      <c r="AP51" s="4"/>
      <c r="AQ51" s="5">
        <f>83.33</f>
        <v>83.33</v>
      </c>
      <c r="AR51" s="5">
        <f t="shared" si="48"/>
        <v>-83.33</v>
      </c>
      <c r="AS51" s="6">
        <f t="shared" si="49"/>
        <v>0</v>
      </c>
      <c r="AT51" s="4"/>
      <c r="AU51" s="5">
        <f>83.37</f>
        <v>83.37</v>
      </c>
      <c r="AV51" s="5">
        <f t="shared" si="50"/>
        <v>-83.37</v>
      </c>
      <c r="AW51" s="6">
        <f t="shared" si="51"/>
        <v>0</v>
      </c>
      <c r="AX51" s="5">
        <f t="shared" si="52"/>
        <v>0</v>
      </c>
      <c r="AY51" s="5">
        <f t="shared" si="53"/>
        <v>1000.0000000000001</v>
      </c>
      <c r="AZ51" s="5">
        <f t="shared" si="54"/>
        <v>-1000.0000000000001</v>
      </c>
      <c r="BA51" s="6">
        <f t="shared" si="55"/>
        <v>0</v>
      </c>
    </row>
    <row r="52" spans="1:53" x14ac:dyDescent="0.3">
      <c r="A52" s="3" t="s">
        <v>62</v>
      </c>
      <c r="B52" s="4"/>
      <c r="C52" s="5">
        <f>2083.33</f>
        <v>2083.33</v>
      </c>
      <c r="D52" s="5">
        <f t="shared" si="28"/>
        <v>-2083.33</v>
      </c>
      <c r="E52" s="6">
        <f t="shared" si="29"/>
        <v>0</v>
      </c>
      <c r="F52" s="4"/>
      <c r="G52" s="5">
        <f>2083.33</f>
        <v>2083.33</v>
      </c>
      <c r="H52" s="5">
        <f t="shared" si="30"/>
        <v>-2083.33</v>
      </c>
      <c r="I52" s="6">
        <f t="shared" si="31"/>
        <v>0</v>
      </c>
      <c r="J52" s="4"/>
      <c r="K52" s="5">
        <f>2083.33</f>
        <v>2083.33</v>
      </c>
      <c r="L52" s="5">
        <f t="shared" si="32"/>
        <v>-2083.33</v>
      </c>
      <c r="M52" s="6">
        <f t="shared" si="33"/>
        <v>0</v>
      </c>
      <c r="N52" s="4"/>
      <c r="O52" s="5">
        <f>2083.33</f>
        <v>2083.33</v>
      </c>
      <c r="P52" s="5">
        <f t="shared" si="34"/>
        <v>-2083.33</v>
      </c>
      <c r="Q52" s="6">
        <f t="shared" si="35"/>
        <v>0</v>
      </c>
      <c r="R52" s="4"/>
      <c r="S52" s="5">
        <f>2083.33</f>
        <v>2083.33</v>
      </c>
      <c r="T52" s="5">
        <f t="shared" si="36"/>
        <v>-2083.33</v>
      </c>
      <c r="U52" s="6">
        <f t="shared" si="37"/>
        <v>0</v>
      </c>
      <c r="V52" s="4"/>
      <c r="W52" s="5">
        <f>2083.33</f>
        <v>2083.33</v>
      </c>
      <c r="X52" s="5">
        <f t="shared" si="38"/>
        <v>-2083.33</v>
      </c>
      <c r="Y52" s="6">
        <f t="shared" si="39"/>
        <v>0</v>
      </c>
      <c r="Z52" s="4"/>
      <c r="AA52" s="5">
        <f>2083.33</f>
        <v>2083.33</v>
      </c>
      <c r="AB52" s="5">
        <f t="shared" si="40"/>
        <v>-2083.33</v>
      </c>
      <c r="AC52" s="6">
        <f t="shared" si="41"/>
        <v>0</v>
      </c>
      <c r="AD52" s="4"/>
      <c r="AE52" s="5">
        <f>2083.33</f>
        <v>2083.33</v>
      </c>
      <c r="AF52" s="5">
        <f t="shared" si="42"/>
        <v>-2083.33</v>
      </c>
      <c r="AG52" s="6">
        <f t="shared" si="43"/>
        <v>0</v>
      </c>
      <c r="AH52" s="4"/>
      <c r="AI52" s="5">
        <f>2083.33</f>
        <v>2083.33</v>
      </c>
      <c r="AJ52" s="5">
        <f t="shared" si="44"/>
        <v>-2083.33</v>
      </c>
      <c r="AK52" s="6">
        <f t="shared" si="45"/>
        <v>0</v>
      </c>
      <c r="AL52" s="5">
        <f>20652</f>
        <v>20652</v>
      </c>
      <c r="AM52" s="5">
        <f>2083.33</f>
        <v>2083.33</v>
      </c>
      <c r="AN52" s="5">
        <f t="shared" si="46"/>
        <v>18568.669999999998</v>
      </c>
      <c r="AO52" s="6">
        <f t="shared" si="47"/>
        <v>9.912975860761378</v>
      </c>
      <c r="AP52" s="4"/>
      <c r="AQ52" s="5">
        <f>2083.33</f>
        <v>2083.33</v>
      </c>
      <c r="AR52" s="5">
        <f t="shared" si="48"/>
        <v>-2083.33</v>
      </c>
      <c r="AS52" s="6">
        <f t="shared" si="49"/>
        <v>0</v>
      </c>
      <c r="AT52" s="4"/>
      <c r="AU52" s="5">
        <f>2083.37</f>
        <v>2083.37</v>
      </c>
      <c r="AV52" s="5">
        <f t="shared" si="50"/>
        <v>-2083.37</v>
      </c>
      <c r="AW52" s="6">
        <f t="shared" si="51"/>
        <v>0</v>
      </c>
      <c r="AX52" s="5">
        <f t="shared" si="52"/>
        <v>20652</v>
      </c>
      <c r="AY52" s="5">
        <f t="shared" si="53"/>
        <v>25000.000000000004</v>
      </c>
      <c r="AZ52" s="5">
        <f t="shared" si="54"/>
        <v>-4348.0000000000036</v>
      </c>
      <c r="BA52" s="6">
        <f t="shared" si="55"/>
        <v>0.82607999999999993</v>
      </c>
    </row>
    <row r="53" spans="1:53" x14ac:dyDescent="0.3">
      <c r="A53" s="3" t="s">
        <v>63</v>
      </c>
      <c r="B53" s="5">
        <f>603.47</f>
        <v>603.47</v>
      </c>
      <c r="C53" s="5">
        <f>541.67</f>
        <v>541.66999999999996</v>
      </c>
      <c r="D53" s="5">
        <f t="shared" si="28"/>
        <v>61.800000000000068</v>
      </c>
      <c r="E53" s="6">
        <f t="shared" si="29"/>
        <v>1.1140916055901195</v>
      </c>
      <c r="F53" s="5">
        <f>546.83</f>
        <v>546.83000000000004</v>
      </c>
      <c r="G53" s="5">
        <f>541.67</f>
        <v>541.66999999999996</v>
      </c>
      <c r="H53" s="5">
        <f t="shared" si="30"/>
        <v>5.1600000000000819</v>
      </c>
      <c r="I53" s="6">
        <f t="shared" si="31"/>
        <v>1.0095260952240295</v>
      </c>
      <c r="J53" s="5">
        <f>1093.66</f>
        <v>1093.6600000000001</v>
      </c>
      <c r="K53" s="5">
        <f>541.67</f>
        <v>541.66999999999996</v>
      </c>
      <c r="L53" s="5">
        <f t="shared" si="32"/>
        <v>551.99000000000012</v>
      </c>
      <c r="M53" s="6">
        <f t="shared" si="33"/>
        <v>2.0190521904480589</v>
      </c>
      <c r="N53" s="5">
        <f>546.87</f>
        <v>546.87</v>
      </c>
      <c r="O53" s="5">
        <f>541.67</f>
        <v>541.66999999999996</v>
      </c>
      <c r="P53" s="5">
        <f t="shared" si="34"/>
        <v>5.2000000000000455</v>
      </c>
      <c r="Q53" s="6">
        <f t="shared" si="35"/>
        <v>1.0095999409234406</v>
      </c>
      <c r="R53" s="5">
        <f>667.03</f>
        <v>667.03</v>
      </c>
      <c r="S53" s="5">
        <f>541.67</f>
        <v>541.66999999999996</v>
      </c>
      <c r="T53" s="5">
        <f t="shared" si="36"/>
        <v>125.36000000000001</v>
      </c>
      <c r="U53" s="6">
        <f t="shared" si="37"/>
        <v>1.2314324219543265</v>
      </c>
      <c r="V53" s="4"/>
      <c r="W53" s="5">
        <f>541.67</f>
        <v>541.66999999999996</v>
      </c>
      <c r="X53" s="5">
        <f t="shared" si="38"/>
        <v>-541.66999999999996</v>
      </c>
      <c r="Y53" s="6">
        <f t="shared" si="39"/>
        <v>0</v>
      </c>
      <c r="Z53" s="4"/>
      <c r="AA53" s="5">
        <f>541.67</f>
        <v>541.66999999999996</v>
      </c>
      <c r="AB53" s="5">
        <f t="shared" si="40"/>
        <v>-541.66999999999996</v>
      </c>
      <c r="AC53" s="6">
        <f t="shared" si="41"/>
        <v>0</v>
      </c>
      <c r="AD53" s="5">
        <f>1079.5</f>
        <v>1079.5</v>
      </c>
      <c r="AE53" s="5">
        <f>541.67</f>
        <v>541.66999999999996</v>
      </c>
      <c r="AF53" s="5">
        <f t="shared" si="42"/>
        <v>537.83000000000004</v>
      </c>
      <c r="AG53" s="6">
        <f t="shared" si="43"/>
        <v>1.9929108128565365</v>
      </c>
      <c r="AH53" s="4"/>
      <c r="AI53" s="5">
        <f>541.67</f>
        <v>541.66999999999996</v>
      </c>
      <c r="AJ53" s="5">
        <f t="shared" si="44"/>
        <v>-541.66999999999996</v>
      </c>
      <c r="AK53" s="6">
        <f t="shared" si="45"/>
        <v>0</v>
      </c>
      <c r="AL53" s="4"/>
      <c r="AM53" s="5">
        <f>541.67</f>
        <v>541.66999999999996</v>
      </c>
      <c r="AN53" s="5">
        <f t="shared" si="46"/>
        <v>-541.66999999999996</v>
      </c>
      <c r="AO53" s="6">
        <f t="shared" si="47"/>
        <v>0</v>
      </c>
      <c r="AP53" s="4"/>
      <c r="AQ53" s="5">
        <f>541.67</f>
        <v>541.66999999999996</v>
      </c>
      <c r="AR53" s="5">
        <f t="shared" si="48"/>
        <v>-541.66999999999996</v>
      </c>
      <c r="AS53" s="6">
        <f t="shared" si="49"/>
        <v>0</v>
      </c>
      <c r="AT53" s="4"/>
      <c r="AU53" s="5">
        <f>541.63</f>
        <v>541.63</v>
      </c>
      <c r="AV53" s="5">
        <f t="shared" si="50"/>
        <v>-541.63</v>
      </c>
      <c r="AW53" s="6">
        <f t="shared" si="51"/>
        <v>0</v>
      </c>
      <c r="AX53" s="5">
        <f t="shared" si="52"/>
        <v>4537.3599999999997</v>
      </c>
      <c r="AY53" s="5">
        <f t="shared" si="53"/>
        <v>6500</v>
      </c>
      <c r="AZ53" s="5">
        <f t="shared" si="54"/>
        <v>-1962.6400000000003</v>
      </c>
      <c r="BA53" s="6">
        <f t="shared" si="55"/>
        <v>0.69805538461538452</v>
      </c>
    </row>
    <row r="54" spans="1:53" x14ac:dyDescent="0.3">
      <c r="A54" s="3" t="s">
        <v>64</v>
      </c>
      <c r="B54" s="4"/>
      <c r="C54" s="5">
        <f>583.33</f>
        <v>583.33000000000004</v>
      </c>
      <c r="D54" s="5">
        <f t="shared" si="28"/>
        <v>-583.33000000000004</v>
      </c>
      <c r="E54" s="6">
        <f t="shared" si="29"/>
        <v>0</v>
      </c>
      <c r="F54" s="4"/>
      <c r="G54" s="5">
        <f>583.33</f>
        <v>583.33000000000004</v>
      </c>
      <c r="H54" s="5">
        <f t="shared" si="30"/>
        <v>-583.33000000000004</v>
      </c>
      <c r="I54" s="6">
        <f t="shared" si="31"/>
        <v>0</v>
      </c>
      <c r="J54" s="4"/>
      <c r="K54" s="5">
        <f>583.33</f>
        <v>583.33000000000004</v>
      </c>
      <c r="L54" s="5">
        <f t="shared" si="32"/>
        <v>-583.33000000000004</v>
      </c>
      <c r="M54" s="6">
        <f t="shared" si="33"/>
        <v>0</v>
      </c>
      <c r="N54" s="4"/>
      <c r="O54" s="5">
        <f>583.33</f>
        <v>583.33000000000004</v>
      </c>
      <c r="P54" s="5">
        <f t="shared" si="34"/>
        <v>-583.33000000000004</v>
      </c>
      <c r="Q54" s="6">
        <f t="shared" si="35"/>
        <v>0</v>
      </c>
      <c r="R54" s="4"/>
      <c r="S54" s="5">
        <f>583.33</f>
        <v>583.33000000000004</v>
      </c>
      <c r="T54" s="5">
        <f t="shared" si="36"/>
        <v>-583.33000000000004</v>
      </c>
      <c r="U54" s="6">
        <f t="shared" si="37"/>
        <v>0</v>
      </c>
      <c r="V54" s="4"/>
      <c r="W54" s="5">
        <f>583.33</f>
        <v>583.33000000000004</v>
      </c>
      <c r="X54" s="5">
        <f t="shared" si="38"/>
        <v>-583.33000000000004</v>
      </c>
      <c r="Y54" s="6">
        <f t="shared" si="39"/>
        <v>0</v>
      </c>
      <c r="Z54" s="4"/>
      <c r="AA54" s="5">
        <f>583.33</f>
        <v>583.33000000000004</v>
      </c>
      <c r="AB54" s="5">
        <f t="shared" si="40"/>
        <v>-583.33000000000004</v>
      </c>
      <c r="AC54" s="6">
        <f t="shared" si="41"/>
        <v>0</v>
      </c>
      <c r="AD54" s="4"/>
      <c r="AE54" s="5">
        <f>583.33</f>
        <v>583.33000000000004</v>
      </c>
      <c r="AF54" s="5">
        <f t="shared" si="42"/>
        <v>-583.33000000000004</v>
      </c>
      <c r="AG54" s="6">
        <f t="shared" si="43"/>
        <v>0</v>
      </c>
      <c r="AH54" s="4"/>
      <c r="AI54" s="5">
        <f>583.33</f>
        <v>583.33000000000004</v>
      </c>
      <c r="AJ54" s="5">
        <f t="shared" si="44"/>
        <v>-583.33000000000004</v>
      </c>
      <c r="AK54" s="6">
        <f t="shared" si="45"/>
        <v>0</v>
      </c>
      <c r="AL54" s="4"/>
      <c r="AM54" s="5">
        <f>583.33</f>
        <v>583.33000000000004</v>
      </c>
      <c r="AN54" s="5">
        <f t="shared" si="46"/>
        <v>-583.33000000000004</v>
      </c>
      <c r="AO54" s="6">
        <f t="shared" si="47"/>
        <v>0</v>
      </c>
      <c r="AP54" s="4"/>
      <c r="AQ54" s="5">
        <f>583.33</f>
        <v>583.33000000000004</v>
      </c>
      <c r="AR54" s="5">
        <f t="shared" si="48"/>
        <v>-583.33000000000004</v>
      </c>
      <c r="AS54" s="6">
        <f t="shared" si="49"/>
        <v>0</v>
      </c>
      <c r="AT54" s="4"/>
      <c r="AU54" s="5">
        <f>583.37</f>
        <v>583.37</v>
      </c>
      <c r="AV54" s="5">
        <f t="shared" si="50"/>
        <v>-583.37</v>
      </c>
      <c r="AW54" s="6">
        <f t="shared" si="51"/>
        <v>0</v>
      </c>
      <c r="AX54" s="5">
        <f t="shared" si="52"/>
        <v>0</v>
      </c>
      <c r="AY54" s="5">
        <f t="shared" si="53"/>
        <v>7000</v>
      </c>
      <c r="AZ54" s="5">
        <f t="shared" si="54"/>
        <v>-7000</v>
      </c>
      <c r="BA54" s="6">
        <f t="shared" si="55"/>
        <v>0</v>
      </c>
    </row>
    <row r="55" spans="1:53" x14ac:dyDescent="0.3">
      <c r="A55" s="3" t="s">
        <v>65</v>
      </c>
      <c r="B55" s="4"/>
      <c r="C55" s="5">
        <f>375</f>
        <v>375</v>
      </c>
      <c r="D55" s="5">
        <f t="shared" si="28"/>
        <v>-375</v>
      </c>
      <c r="E55" s="6">
        <f t="shared" si="29"/>
        <v>0</v>
      </c>
      <c r="F55" s="5">
        <f>842.85</f>
        <v>842.85</v>
      </c>
      <c r="G55" s="5">
        <f>375</f>
        <v>375</v>
      </c>
      <c r="H55" s="5">
        <f t="shared" si="30"/>
        <v>467.85</v>
      </c>
      <c r="I55" s="6">
        <f t="shared" si="31"/>
        <v>2.2476000000000003</v>
      </c>
      <c r="J55" s="5">
        <f>691.01</f>
        <v>691.01</v>
      </c>
      <c r="K55" s="5">
        <f>375</f>
        <v>375</v>
      </c>
      <c r="L55" s="5">
        <f t="shared" si="32"/>
        <v>316.01</v>
      </c>
      <c r="M55" s="6">
        <f t="shared" si="33"/>
        <v>1.8426933333333333</v>
      </c>
      <c r="N55" s="5">
        <f>320.19</f>
        <v>320.19</v>
      </c>
      <c r="O55" s="5">
        <f>375</f>
        <v>375</v>
      </c>
      <c r="P55" s="5">
        <f t="shared" si="34"/>
        <v>-54.81</v>
      </c>
      <c r="Q55" s="6">
        <f t="shared" si="35"/>
        <v>0.85384000000000004</v>
      </c>
      <c r="R55" s="5">
        <f>367.92</f>
        <v>367.92</v>
      </c>
      <c r="S55" s="5">
        <f>375</f>
        <v>375</v>
      </c>
      <c r="T55" s="5">
        <f t="shared" si="36"/>
        <v>-7.0799999999999841</v>
      </c>
      <c r="U55" s="6">
        <f t="shared" si="37"/>
        <v>0.98111999999999999</v>
      </c>
      <c r="V55" s="5">
        <f>0.1</f>
        <v>0.1</v>
      </c>
      <c r="W55" s="5">
        <f>375</f>
        <v>375</v>
      </c>
      <c r="X55" s="5">
        <f t="shared" si="38"/>
        <v>-374.9</v>
      </c>
      <c r="Y55" s="6">
        <f t="shared" si="39"/>
        <v>2.6666666666666668E-4</v>
      </c>
      <c r="Z55" s="4"/>
      <c r="AA55" s="5">
        <f>375</f>
        <v>375</v>
      </c>
      <c r="AB55" s="5">
        <f t="shared" si="40"/>
        <v>-375</v>
      </c>
      <c r="AC55" s="6">
        <f t="shared" si="41"/>
        <v>0</v>
      </c>
      <c r="AD55" s="5">
        <f>109.18</f>
        <v>109.18</v>
      </c>
      <c r="AE55" s="5">
        <f>375</f>
        <v>375</v>
      </c>
      <c r="AF55" s="5">
        <f t="shared" si="42"/>
        <v>-265.82</v>
      </c>
      <c r="AG55" s="6">
        <f t="shared" si="43"/>
        <v>0.29114666666666666</v>
      </c>
      <c r="AH55" s="4"/>
      <c r="AI55" s="5">
        <f>375</f>
        <v>375</v>
      </c>
      <c r="AJ55" s="5">
        <f t="shared" si="44"/>
        <v>-375</v>
      </c>
      <c r="AK55" s="6">
        <f t="shared" si="45"/>
        <v>0</v>
      </c>
      <c r="AL55" s="5">
        <f>341.36</f>
        <v>341.36</v>
      </c>
      <c r="AM55" s="5">
        <f>375</f>
        <v>375</v>
      </c>
      <c r="AN55" s="5">
        <f t="shared" si="46"/>
        <v>-33.639999999999986</v>
      </c>
      <c r="AO55" s="6">
        <f t="shared" si="47"/>
        <v>0.9102933333333334</v>
      </c>
      <c r="AP55" s="4"/>
      <c r="AQ55" s="5">
        <f>375</f>
        <v>375</v>
      </c>
      <c r="AR55" s="5">
        <f t="shared" si="48"/>
        <v>-375</v>
      </c>
      <c r="AS55" s="6">
        <f t="shared" si="49"/>
        <v>0</v>
      </c>
      <c r="AT55" s="4"/>
      <c r="AU55" s="5">
        <f>375</f>
        <v>375</v>
      </c>
      <c r="AV55" s="5">
        <f t="shared" si="50"/>
        <v>-375</v>
      </c>
      <c r="AW55" s="6">
        <f t="shared" si="51"/>
        <v>0</v>
      </c>
      <c r="AX55" s="5">
        <f t="shared" si="52"/>
        <v>2672.61</v>
      </c>
      <c r="AY55" s="5">
        <f t="shared" si="53"/>
        <v>4500</v>
      </c>
      <c r="AZ55" s="5">
        <f t="shared" si="54"/>
        <v>-1827.3899999999999</v>
      </c>
      <c r="BA55" s="6">
        <f t="shared" si="55"/>
        <v>0.5939133333333334</v>
      </c>
    </row>
    <row r="56" spans="1:53" x14ac:dyDescent="0.3">
      <c r="A56" s="3" t="s">
        <v>66</v>
      </c>
      <c r="B56" s="4"/>
      <c r="C56" s="5">
        <f>208.33</f>
        <v>208.33</v>
      </c>
      <c r="D56" s="5">
        <f t="shared" si="28"/>
        <v>-208.33</v>
      </c>
      <c r="E56" s="6">
        <f t="shared" si="29"/>
        <v>0</v>
      </c>
      <c r="F56" s="5">
        <f>621.56</f>
        <v>621.55999999999995</v>
      </c>
      <c r="G56" s="5">
        <f>208.33</f>
        <v>208.33</v>
      </c>
      <c r="H56" s="5">
        <f t="shared" si="30"/>
        <v>413.2299999999999</v>
      </c>
      <c r="I56" s="6">
        <f t="shared" si="31"/>
        <v>2.9835357365717847</v>
      </c>
      <c r="J56" s="4"/>
      <c r="K56" s="5">
        <f>208.33</f>
        <v>208.33</v>
      </c>
      <c r="L56" s="5">
        <f t="shared" si="32"/>
        <v>-208.33</v>
      </c>
      <c r="M56" s="6">
        <f t="shared" si="33"/>
        <v>0</v>
      </c>
      <c r="N56" s="5">
        <f>130.21</f>
        <v>130.21</v>
      </c>
      <c r="O56" s="5">
        <f>208.33</f>
        <v>208.33</v>
      </c>
      <c r="P56" s="5">
        <f t="shared" si="34"/>
        <v>-78.12</v>
      </c>
      <c r="Q56" s="6">
        <f t="shared" si="35"/>
        <v>0.62501800028800458</v>
      </c>
      <c r="R56" s="4"/>
      <c r="S56" s="5">
        <f>208.33</f>
        <v>208.33</v>
      </c>
      <c r="T56" s="5">
        <f t="shared" si="36"/>
        <v>-208.33</v>
      </c>
      <c r="U56" s="6">
        <f t="shared" si="37"/>
        <v>0</v>
      </c>
      <c r="V56" s="5">
        <f>692.8</f>
        <v>692.8</v>
      </c>
      <c r="W56" s="5">
        <f>208.33</f>
        <v>208.33</v>
      </c>
      <c r="X56" s="5">
        <f t="shared" si="38"/>
        <v>484.46999999999991</v>
      </c>
      <c r="Y56" s="6">
        <f t="shared" si="39"/>
        <v>3.3254932078913257</v>
      </c>
      <c r="Z56" s="4"/>
      <c r="AA56" s="5">
        <f>208.33</f>
        <v>208.33</v>
      </c>
      <c r="AB56" s="5">
        <f t="shared" si="40"/>
        <v>-208.33</v>
      </c>
      <c r="AC56" s="6">
        <f t="shared" si="41"/>
        <v>0</v>
      </c>
      <c r="AD56" s="5">
        <f>10.48</f>
        <v>10.48</v>
      </c>
      <c r="AE56" s="5">
        <f>208.33</f>
        <v>208.33</v>
      </c>
      <c r="AF56" s="5">
        <f t="shared" si="42"/>
        <v>-197.85000000000002</v>
      </c>
      <c r="AG56" s="6">
        <f t="shared" si="43"/>
        <v>5.030480487687803E-2</v>
      </c>
      <c r="AH56" s="4"/>
      <c r="AI56" s="5">
        <f>208.33</f>
        <v>208.33</v>
      </c>
      <c r="AJ56" s="5">
        <f t="shared" si="44"/>
        <v>-208.33</v>
      </c>
      <c r="AK56" s="6">
        <f t="shared" si="45"/>
        <v>0</v>
      </c>
      <c r="AL56" s="5">
        <f>244</f>
        <v>244</v>
      </c>
      <c r="AM56" s="5">
        <f>208.33</f>
        <v>208.33</v>
      </c>
      <c r="AN56" s="5">
        <f t="shared" si="46"/>
        <v>35.669999999999987</v>
      </c>
      <c r="AO56" s="6">
        <f t="shared" si="47"/>
        <v>1.1712187394998319</v>
      </c>
      <c r="AP56" s="4"/>
      <c r="AQ56" s="5">
        <f>208.33</f>
        <v>208.33</v>
      </c>
      <c r="AR56" s="5">
        <f t="shared" si="48"/>
        <v>-208.33</v>
      </c>
      <c r="AS56" s="6">
        <f t="shared" si="49"/>
        <v>0</v>
      </c>
      <c r="AT56" s="4"/>
      <c r="AU56" s="5">
        <f>208.37</f>
        <v>208.37</v>
      </c>
      <c r="AV56" s="5">
        <f t="shared" si="50"/>
        <v>-208.37</v>
      </c>
      <c r="AW56" s="6">
        <f t="shared" si="51"/>
        <v>0</v>
      </c>
      <c r="AX56" s="5">
        <f t="shared" si="52"/>
        <v>1699.05</v>
      </c>
      <c r="AY56" s="5">
        <f t="shared" si="53"/>
        <v>2499.9999999999995</v>
      </c>
      <c r="AZ56" s="5">
        <f t="shared" si="54"/>
        <v>-800.94999999999959</v>
      </c>
      <c r="BA56" s="6">
        <f t="shared" si="55"/>
        <v>0.67962000000000011</v>
      </c>
    </row>
    <row r="57" spans="1:53" x14ac:dyDescent="0.3">
      <c r="A57" s="3" t="s">
        <v>67</v>
      </c>
      <c r="B57" s="5">
        <f>100</f>
        <v>100</v>
      </c>
      <c r="C57" s="5">
        <f>166.67</f>
        <v>166.67</v>
      </c>
      <c r="D57" s="5">
        <f t="shared" si="28"/>
        <v>-66.669999999999987</v>
      </c>
      <c r="E57" s="6">
        <f t="shared" si="29"/>
        <v>0.59998800023999521</v>
      </c>
      <c r="F57" s="5">
        <f>100</f>
        <v>100</v>
      </c>
      <c r="G57" s="5">
        <f>166.67</f>
        <v>166.67</v>
      </c>
      <c r="H57" s="5">
        <f t="shared" si="30"/>
        <v>-66.669999999999987</v>
      </c>
      <c r="I57" s="6">
        <f t="shared" si="31"/>
        <v>0.59998800023999521</v>
      </c>
      <c r="J57" s="5">
        <f>100</f>
        <v>100</v>
      </c>
      <c r="K57" s="5">
        <f>166.67</f>
        <v>166.67</v>
      </c>
      <c r="L57" s="5">
        <f t="shared" si="32"/>
        <v>-66.669999999999987</v>
      </c>
      <c r="M57" s="6">
        <f t="shared" si="33"/>
        <v>0.59998800023999521</v>
      </c>
      <c r="N57" s="5">
        <f>3448</f>
        <v>3448</v>
      </c>
      <c r="O57" s="5">
        <f>166.67</f>
        <v>166.67</v>
      </c>
      <c r="P57" s="5">
        <f t="shared" si="34"/>
        <v>3281.33</v>
      </c>
      <c r="Q57" s="6">
        <f t="shared" si="35"/>
        <v>20.687586248275036</v>
      </c>
      <c r="R57" s="4"/>
      <c r="S57" s="5">
        <f>166.67</f>
        <v>166.67</v>
      </c>
      <c r="T57" s="5">
        <f t="shared" si="36"/>
        <v>-166.67</v>
      </c>
      <c r="U57" s="6">
        <f t="shared" si="37"/>
        <v>0</v>
      </c>
      <c r="V57" s="5">
        <f>296</f>
        <v>296</v>
      </c>
      <c r="W57" s="5">
        <f>166.67</f>
        <v>166.67</v>
      </c>
      <c r="X57" s="5">
        <f t="shared" si="38"/>
        <v>129.33000000000001</v>
      </c>
      <c r="Y57" s="6">
        <f t="shared" si="39"/>
        <v>1.7759644807103858</v>
      </c>
      <c r="Z57" s="5">
        <f>100</f>
        <v>100</v>
      </c>
      <c r="AA57" s="5">
        <f>166.67</f>
        <v>166.67</v>
      </c>
      <c r="AB57" s="5">
        <f t="shared" si="40"/>
        <v>-66.669999999999987</v>
      </c>
      <c r="AC57" s="6">
        <f t="shared" si="41"/>
        <v>0.59998800023999521</v>
      </c>
      <c r="AD57" s="5">
        <f>100</f>
        <v>100</v>
      </c>
      <c r="AE57" s="5">
        <f>166.67</f>
        <v>166.67</v>
      </c>
      <c r="AF57" s="5">
        <f t="shared" si="42"/>
        <v>-66.669999999999987</v>
      </c>
      <c r="AG57" s="6">
        <f t="shared" si="43"/>
        <v>0.59998800023999521</v>
      </c>
      <c r="AH57" s="4"/>
      <c r="AI57" s="5">
        <f>166.67</f>
        <v>166.67</v>
      </c>
      <c r="AJ57" s="5">
        <f t="shared" si="44"/>
        <v>-166.67</v>
      </c>
      <c r="AK57" s="6">
        <f t="shared" si="45"/>
        <v>0</v>
      </c>
      <c r="AL57" s="5">
        <f>575.87</f>
        <v>575.87</v>
      </c>
      <c r="AM57" s="5">
        <f>166.67</f>
        <v>166.67</v>
      </c>
      <c r="AN57" s="5">
        <f t="shared" si="46"/>
        <v>409.20000000000005</v>
      </c>
      <c r="AO57" s="6">
        <f t="shared" si="47"/>
        <v>3.4551508969820608</v>
      </c>
      <c r="AP57" s="4"/>
      <c r="AQ57" s="5">
        <f>166.67</f>
        <v>166.67</v>
      </c>
      <c r="AR57" s="5">
        <f t="shared" si="48"/>
        <v>-166.67</v>
      </c>
      <c r="AS57" s="6">
        <f t="shared" si="49"/>
        <v>0</v>
      </c>
      <c r="AT57" s="4"/>
      <c r="AU57" s="5">
        <f>166.63</f>
        <v>166.63</v>
      </c>
      <c r="AV57" s="5">
        <f t="shared" si="50"/>
        <v>-166.63</v>
      </c>
      <c r="AW57" s="6">
        <f t="shared" si="51"/>
        <v>0</v>
      </c>
      <c r="AX57" s="5">
        <f t="shared" si="52"/>
        <v>4819.87</v>
      </c>
      <c r="AY57" s="5">
        <f t="shared" si="53"/>
        <v>2000</v>
      </c>
      <c r="AZ57" s="5">
        <f t="shared" si="54"/>
        <v>2819.87</v>
      </c>
      <c r="BA57" s="6">
        <f t="shared" si="55"/>
        <v>2.4099349999999999</v>
      </c>
    </row>
    <row r="58" spans="1:53" x14ac:dyDescent="0.3">
      <c r="A58" s="3" t="s">
        <v>68</v>
      </c>
      <c r="B58" s="4"/>
      <c r="C58" s="5">
        <f>125</f>
        <v>125</v>
      </c>
      <c r="D58" s="5">
        <f t="shared" si="28"/>
        <v>-125</v>
      </c>
      <c r="E58" s="6">
        <f t="shared" si="29"/>
        <v>0</v>
      </c>
      <c r="F58" s="5">
        <f>3850</f>
        <v>3850</v>
      </c>
      <c r="G58" s="5">
        <f>125</f>
        <v>125</v>
      </c>
      <c r="H58" s="5">
        <f t="shared" si="30"/>
        <v>3725</v>
      </c>
      <c r="I58" s="6">
        <f t="shared" si="31"/>
        <v>30.8</v>
      </c>
      <c r="J58" s="4"/>
      <c r="K58" s="5">
        <f>125</f>
        <v>125</v>
      </c>
      <c r="L58" s="5">
        <f t="shared" si="32"/>
        <v>-125</v>
      </c>
      <c r="M58" s="6">
        <f t="shared" si="33"/>
        <v>0</v>
      </c>
      <c r="N58" s="4"/>
      <c r="O58" s="5">
        <f>125</f>
        <v>125</v>
      </c>
      <c r="P58" s="5">
        <f t="shared" si="34"/>
        <v>-125</v>
      </c>
      <c r="Q58" s="6">
        <f t="shared" si="35"/>
        <v>0</v>
      </c>
      <c r="R58" s="4"/>
      <c r="S58" s="5">
        <f>125</f>
        <v>125</v>
      </c>
      <c r="T58" s="5">
        <f t="shared" si="36"/>
        <v>-125</v>
      </c>
      <c r="U58" s="6">
        <f t="shared" si="37"/>
        <v>0</v>
      </c>
      <c r="V58" s="4"/>
      <c r="W58" s="5">
        <f>125</f>
        <v>125</v>
      </c>
      <c r="X58" s="5">
        <f t="shared" si="38"/>
        <v>-125</v>
      </c>
      <c r="Y58" s="6">
        <f t="shared" si="39"/>
        <v>0</v>
      </c>
      <c r="Z58" s="4"/>
      <c r="AA58" s="5">
        <f>125</f>
        <v>125</v>
      </c>
      <c r="AB58" s="5">
        <f t="shared" si="40"/>
        <v>-125</v>
      </c>
      <c r="AC58" s="6">
        <f t="shared" si="41"/>
        <v>0</v>
      </c>
      <c r="AD58" s="4"/>
      <c r="AE58" s="5">
        <f>125</f>
        <v>125</v>
      </c>
      <c r="AF58" s="5">
        <f t="shared" si="42"/>
        <v>-125</v>
      </c>
      <c r="AG58" s="6">
        <f t="shared" si="43"/>
        <v>0</v>
      </c>
      <c r="AH58" s="4"/>
      <c r="AI58" s="5">
        <f>125</f>
        <v>125</v>
      </c>
      <c r="AJ58" s="5">
        <f t="shared" si="44"/>
        <v>-125</v>
      </c>
      <c r="AK58" s="6">
        <f t="shared" si="45"/>
        <v>0</v>
      </c>
      <c r="AL58" s="4"/>
      <c r="AM58" s="5">
        <f>125</f>
        <v>125</v>
      </c>
      <c r="AN58" s="5">
        <f t="shared" si="46"/>
        <v>-125</v>
      </c>
      <c r="AO58" s="6">
        <f t="shared" si="47"/>
        <v>0</v>
      </c>
      <c r="AP58" s="4"/>
      <c r="AQ58" s="5">
        <f>125</f>
        <v>125</v>
      </c>
      <c r="AR58" s="5">
        <f t="shared" si="48"/>
        <v>-125</v>
      </c>
      <c r="AS58" s="6">
        <f t="shared" si="49"/>
        <v>0</v>
      </c>
      <c r="AT58" s="4"/>
      <c r="AU58" s="5">
        <f>125</f>
        <v>125</v>
      </c>
      <c r="AV58" s="5">
        <f t="shared" si="50"/>
        <v>-125</v>
      </c>
      <c r="AW58" s="6">
        <f t="shared" si="51"/>
        <v>0</v>
      </c>
      <c r="AX58" s="5">
        <f t="shared" si="52"/>
        <v>3850</v>
      </c>
      <c r="AY58" s="5">
        <f t="shared" si="53"/>
        <v>1500</v>
      </c>
      <c r="AZ58" s="5">
        <f t="shared" si="54"/>
        <v>2350</v>
      </c>
      <c r="BA58" s="6">
        <f t="shared" si="55"/>
        <v>2.5666666666666669</v>
      </c>
    </row>
    <row r="59" spans="1:53" x14ac:dyDescent="0.3">
      <c r="A59" s="3" t="s">
        <v>69</v>
      </c>
      <c r="B59" s="4"/>
      <c r="C59" s="5">
        <f>75</f>
        <v>75</v>
      </c>
      <c r="D59" s="5">
        <f t="shared" si="28"/>
        <v>-75</v>
      </c>
      <c r="E59" s="6">
        <f t="shared" si="29"/>
        <v>0</v>
      </c>
      <c r="F59" s="4"/>
      <c r="G59" s="5">
        <f>75</f>
        <v>75</v>
      </c>
      <c r="H59" s="5">
        <f t="shared" si="30"/>
        <v>-75</v>
      </c>
      <c r="I59" s="6">
        <f t="shared" si="31"/>
        <v>0</v>
      </c>
      <c r="J59" s="5">
        <f>119.97</f>
        <v>119.97</v>
      </c>
      <c r="K59" s="5">
        <f>75</f>
        <v>75</v>
      </c>
      <c r="L59" s="5">
        <f t="shared" si="32"/>
        <v>44.97</v>
      </c>
      <c r="M59" s="6">
        <f t="shared" si="33"/>
        <v>1.5995999999999999</v>
      </c>
      <c r="N59" s="4"/>
      <c r="O59" s="5">
        <f>75</f>
        <v>75</v>
      </c>
      <c r="P59" s="5">
        <f t="shared" si="34"/>
        <v>-75</v>
      </c>
      <c r="Q59" s="6">
        <f t="shared" si="35"/>
        <v>0</v>
      </c>
      <c r="R59" s="4"/>
      <c r="S59" s="5">
        <f>75</f>
        <v>75</v>
      </c>
      <c r="T59" s="5">
        <f t="shared" si="36"/>
        <v>-75</v>
      </c>
      <c r="U59" s="6">
        <f t="shared" si="37"/>
        <v>0</v>
      </c>
      <c r="V59" s="5">
        <f>119.97</f>
        <v>119.97</v>
      </c>
      <c r="W59" s="5">
        <f>75</f>
        <v>75</v>
      </c>
      <c r="X59" s="5">
        <f t="shared" si="38"/>
        <v>44.97</v>
      </c>
      <c r="Y59" s="6">
        <f t="shared" si="39"/>
        <v>1.5995999999999999</v>
      </c>
      <c r="Z59" s="4"/>
      <c r="AA59" s="5">
        <f>75</f>
        <v>75</v>
      </c>
      <c r="AB59" s="5">
        <f t="shared" si="40"/>
        <v>-75</v>
      </c>
      <c r="AC59" s="6">
        <f t="shared" si="41"/>
        <v>0</v>
      </c>
      <c r="AD59" s="4"/>
      <c r="AE59" s="5">
        <f>75</f>
        <v>75</v>
      </c>
      <c r="AF59" s="5">
        <f t="shared" si="42"/>
        <v>-75</v>
      </c>
      <c r="AG59" s="6">
        <f t="shared" si="43"/>
        <v>0</v>
      </c>
      <c r="AH59" s="5">
        <f>119.97</f>
        <v>119.97</v>
      </c>
      <c r="AI59" s="5">
        <f>75</f>
        <v>75</v>
      </c>
      <c r="AJ59" s="5">
        <f t="shared" si="44"/>
        <v>44.97</v>
      </c>
      <c r="AK59" s="6">
        <f t="shared" si="45"/>
        <v>1.5995999999999999</v>
      </c>
      <c r="AL59" s="4"/>
      <c r="AM59" s="5">
        <f>75</f>
        <v>75</v>
      </c>
      <c r="AN59" s="5">
        <f t="shared" si="46"/>
        <v>-75</v>
      </c>
      <c r="AO59" s="6">
        <f t="shared" si="47"/>
        <v>0</v>
      </c>
      <c r="AP59" s="4"/>
      <c r="AQ59" s="5">
        <f>75</f>
        <v>75</v>
      </c>
      <c r="AR59" s="5">
        <f t="shared" si="48"/>
        <v>-75</v>
      </c>
      <c r="AS59" s="6">
        <f t="shared" si="49"/>
        <v>0</v>
      </c>
      <c r="AT59" s="4"/>
      <c r="AU59" s="5">
        <f>75</f>
        <v>75</v>
      </c>
      <c r="AV59" s="5">
        <f t="shared" si="50"/>
        <v>-75</v>
      </c>
      <c r="AW59" s="6">
        <f t="shared" si="51"/>
        <v>0</v>
      </c>
      <c r="AX59" s="5">
        <f t="shared" si="52"/>
        <v>359.90999999999997</v>
      </c>
      <c r="AY59" s="5">
        <f t="shared" si="53"/>
        <v>900</v>
      </c>
      <c r="AZ59" s="5">
        <f t="shared" si="54"/>
        <v>-540.09</v>
      </c>
      <c r="BA59" s="6">
        <f t="shared" si="55"/>
        <v>0.39989999999999998</v>
      </c>
    </row>
    <row r="60" spans="1:53" x14ac:dyDescent="0.3">
      <c r="A60" s="3" t="s">
        <v>70</v>
      </c>
      <c r="B60" s="7">
        <f>(B58)+(B59)</f>
        <v>0</v>
      </c>
      <c r="C60" s="7">
        <f>(C58)+(C59)</f>
        <v>200</v>
      </c>
      <c r="D60" s="7">
        <f t="shared" si="28"/>
        <v>-200</v>
      </c>
      <c r="E60" s="8">
        <f t="shared" si="29"/>
        <v>0</v>
      </c>
      <c r="F60" s="7">
        <f>(F58)+(F59)</f>
        <v>3850</v>
      </c>
      <c r="G60" s="7">
        <f>(G58)+(G59)</f>
        <v>200</v>
      </c>
      <c r="H60" s="7">
        <f t="shared" si="30"/>
        <v>3650</v>
      </c>
      <c r="I60" s="8">
        <f t="shared" si="31"/>
        <v>19.25</v>
      </c>
      <c r="J60" s="7">
        <f>(J58)+(J59)</f>
        <v>119.97</v>
      </c>
      <c r="K60" s="7">
        <f>(K58)+(K59)</f>
        <v>200</v>
      </c>
      <c r="L60" s="7">
        <f t="shared" si="32"/>
        <v>-80.03</v>
      </c>
      <c r="M60" s="8">
        <f t="shared" si="33"/>
        <v>0.59984999999999999</v>
      </c>
      <c r="N60" s="7">
        <f>(N58)+(N59)</f>
        <v>0</v>
      </c>
      <c r="O60" s="7">
        <f>(O58)+(O59)</f>
        <v>200</v>
      </c>
      <c r="P60" s="7">
        <f t="shared" si="34"/>
        <v>-200</v>
      </c>
      <c r="Q60" s="8">
        <f t="shared" si="35"/>
        <v>0</v>
      </c>
      <c r="R60" s="7">
        <f>(R58)+(R59)</f>
        <v>0</v>
      </c>
      <c r="S60" s="7">
        <f>(S58)+(S59)</f>
        <v>200</v>
      </c>
      <c r="T60" s="7">
        <f t="shared" si="36"/>
        <v>-200</v>
      </c>
      <c r="U60" s="8">
        <f t="shared" si="37"/>
        <v>0</v>
      </c>
      <c r="V60" s="7">
        <f>(V58)+(V59)</f>
        <v>119.97</v>
      </c>
      <c r="W60" s="7">
        <f>(W58)+(W59)</f>
        <v>200</v>
      </c>
      <c r="X60" s="7">
        <f t="shared" si="38"/>
        <v>-80.03</v>
      </c>
      <c r="Y60" s="8">
        <f t="shared" si="39"/>
        <v>0.59984999999999999</v>
      </c>
      <c r="Z60" s="7">
        <f>(Z58)+(Z59)</f>
        <v>0</v>
      </c>
      <c r="AA60" s="7">
        <f>(AA58)+(AA59)</f>
        <v>200</v>
      </c>
      <c r="AB60" s="7">
        <f t="shared" si="40"/>
        <v>-200</v>
      </c>
      <c r="AC60" s="8">
        <f t="shared" si="41"/>
        <v>0</v>
      </c>
      <c r="AD60" s="7">
        <f>(AD58)+(AD59)</f>
        <v>0</v>
      </c>
      <c r="AE60" s="7">
        <f>(AE58)+(AE59)</f>
        <v>200</v>
      </c>
      <c r="AF60" s="7">
        <f t="shared" si="42"/>
        <v>-200</v>
      </c>
      <c r="AG60" s="8">
        <f t="shared" si="43"/>
        <v>0</v>
      </c>
      <c r="AH60" s="7">
        <f>(AH58)+(AH59)</f>
        <v>119.97</v>
      </c>
      <c r="AI60" s="7">
        <f>(AI58)+(AI59)</f>
        <v>200</v>
      </c>
      <c r="AJ60" s="7">
        <f t="shared" si="44"/>
        <v>-80.03</v>
      </c>
      <c r="AK60" s="8">
        <f t="shared" si="45"/>
        <v>0.59984999999999999</v>
      </c>
      <c r="AL60" s="7">
        <f>(AL58)+(AL59)</f>
        <v>0</v>
      </c>
      <c r="AM60" s="7">
        <f>(AM58)+(AM59)</f>
        <v>200</v>
      </c>
      <c r="AN60" s="7">
        <f t="shared" si="46"/>
        <v>-200</v>
      </c>
      <c r="AO60" s="8">
        <f t="shared" si="47"/>
        <v>0</v>
      </c>
      <c r="AP60" s="7">
        <f>(AP58)+(AP59)</f>
        <v>0</v>
      </c>
      <c r="AQ60" s="7">
        <f>(AQ58)+(AQ59)</f>
        <v>200</v>
      </c>
      <c r="AR60" s="7">
        <f t="shared" si="48"/>
        <v>-200</v>
      </c>
      <c r="AS60" s="8">
        <f t="shared" si="49"/>
        <v>0</v>
      </c>
      <c r="AT60" s="7">
        <f>(AT58)+(AT59)</f>
        <v>0</v>
      </c>
      <c r="AU60" s="7">
        <f>(AU58)+(AU59)</f>
        <v>200</v>
      </c>
      <c r="AV60" s="7">
        <f t="shared" si="50"/>
        <v>-200</v>
      </c>
      <c r="AW60" s="8">
        <f t="shared" si="51"/>
        <v>0</v>
      </c>
      <c r="AX60" s="7">
        <f t="shared" si="52"/>
        <v>4209.91</v>
      </c>
      <c r="AY60" s="7">
        <f t="shared" si="53"/>
        <v>2400</v>
      </c>
      <c r="AZ60" s="7">
        <f t="shared" si="54"/>
        <v>1809.9099999999999</v>
      </c>
      <c r="BA60" s="8">
        <f t="shared" si="55"/>
        <v>1.7541291666666665</v>
      </c>
    </row>
    <row r="61" spans="1:53" x14ac:dyDescent="0.3">
      <c r="A61" s="3" t="s">
        <v>71</v>
      </c>
      <c r="B61" s="5">
        <f>17849.75</f>
        <v>17849.75</v>
      </c>
      <c r="C61" s="4"/>
      <c r="D61" s="5">
        <f t="shared" si="28"/>
        <v>17849.75</v>
      </c>
      <c r="E61" s="6" t="str">
        <f t="shared" si="29"/>
        <v/>
      </c>
      <c r="F61" s="5">
        <f>306667.97</f>
        <v>306667.96999999997</v>
      </c>
      <c r="G61" s="4"/>
      <c r="H61" s="5">
        <f t="shared" si="30"/>
        <v>306667.96999999997</v>
      </c>
      <c r="I61" s="6" t="str">
        <f t="shared" si="31"/>
        <v/>
      </c>
      <c r="J61" s="5">
        <f>853777.8</f>
        <v>853777.8</v>
      </c>
      <c r="K61" s="4"/>
      <c r="L61" s="5">
        <f t="shared" si="32"/>
        <v>853777.8</v>
      </c>
      <c r="M61" s="6" t="str">
        <f t="shared" si="33"/>
        <v/>
      </c>
      <c r="N61" s="4"/>
      <c r="O61" s="4"/>
      <c r="P61" s="5">
        <f t="shared" si="34"/>
        <v>0</v>
      </c>
      <c r="Q61" s="6" t="str">
        <f t="shared" si="35"/>
        <v/>
      </c>
      <c r="R61" s="5">
        <f>78402.89</f>
        <v>78402.89</v>
      </c>
      <c r="S61" s="4"/>
      <c r="T61" s="5">
        <f t="shared" si="36"/>
        <v>78402.89</v>
      </c>
      <c r="U61" s="6" t="str">
        <f t="shared" si="37"/>
        <v/>
      </c>
      <c r="V61" s="5">
        <f>80696.9</f>
        <v>80696.899999999994</v>
      </c>
      <c r="W61" s="4"/>
      <c r="X61" s="5">
        <f t="shared" si="38"/>
        <v>80696.899999999994</v>
      </c>
      <c r="Y61" s="6" t="str">
        <f t="shared" si="39"/>
        <v/>
      </c>
      <c r="Z61" s="4"/>
      <c r="AA61" s="4"/>
      <c r="AB61" s="5">
        <f t="shared" si="40"/>
        <v>0</v>
      </c>
      <c r="AC61" s="6" t="str">
        <f t="shared" si="41"/>
        <v/>
      </c>
      <c r="AD61" s="4"/>
      <c r="AE61" s="4"/>
      <c r="AF61" s="5">
        <f t="shared" si="42"/>
        <v>0</v>
      </c>
      <c r="AG61" s="6" t="str">
        <f t="shared" si="43"/>
        <v/>
      </c>
      <c r="AH61" s="4"/>
      <c r="AI61" s="4"/>
      <c r="AJ61" s="5">
        <f t="shared" si="44"/>
        <v>0</v>
      </c>
      <c r="AK61" s="6" t="str">
        <f t="shared" si="45"/>
        <v/>
      </c>
      <c r="AL61" s="4"/>
      <c r="AM61" s="4"/>
      <c r="AN61" s="5">
        <f t="shared" si="46"/>
        <v>0</v>
      </c>
      <c r="AO61" s="6" t="str">
        <f t="shared" si="47"/>
        <v/>
      </c>
      <c r="AP61" s="4"/>
      <c r="AQ61" s="4"/>
      <c r="AR61" s="5">
        <f t="shared" si="48"/>
        <v>0</v>
      </c>
      <c r="AS61" s="6" t="str">
        <f t="shared" si="49"/>
        <v/>
      </c>
      <c r="AT61" s="4"/>
      <c r="AU61" s="4"/>
      <c r="AV61" s="5">
        <f t="shared" si="50"/>
        <v>0</v>
      </c>
      <c r="AW61" s="6" t="str">
        <f t="shared" si="51"/>
        <v/>
      </c>
      <c r="AX61" s="5">
        <f t="shared" si="52"/>
        <v>1337395.3099999998</v>
      </c>
      <c r="AY61" s="5">
        <f t="shared" si="53"/>
        <v>0</v>
      </c>
      <c r="AZ61" s="5">
        <f t="shared" si="54"/>
        <v>1337395.3099999998</v>
      </c>
      <c r="BA61" s="6" t="str">
        <f t="shared" si="55"/>
        <v/>
      </c>
    </row>
    <row r="62" spans="1:53" x14ac:dyDescent="0.3">
      <c r="A62" s="3" t="s">
        <v>72</v>
      </c>
      <c r="B62" s="5">
        <f>1143.84</f>
        <v>1143.8399999999999</v>
      </c>
      <c r="C62" s="5">
        <f>1666.67</f>
        <v>1666.67</v>
      </c>
      <c r="D62" s="5">
        <f t="shared" si="28"/>
        <v>-522.83000000000015</v>
      </c>
      <c r="E62" s="6">
        <f t="shared" si="29"/>
        <v>0.68630262739474512</v>
      </c>
      <c r="F62" s="5">
        <f>196.75</f>
        <v>196.75</v>
      </c>
      <c r="G62" s="5">
        <f>1666.67</f>
        <v>1666.67</v>
      </c>
      <c r="H62" s="5">
        <f t="shared" si="30"/>
        <v>-1469.92</v>
      </c>
      <c r="I62" s="6">
        <f t="shared" si="31"/>
        <v>0.1180497639004722</v>
      </c>
      <c r="J62" s="5">
        <f>4896.75</f>
        <v>4896.75</v>
      </c>
      <c r="K62" s="5">
        <f>1666.67</f>
        <v>1666.67</v>
      </c>
      <c r="L62" s="5">
        <f t="shared" si="32"/>
        <v>3230.08</v>
      </c>
      <c r="M62" s="6">
        <f t="shared" si="33"/>
        <v>2.9380441239117521</v>
      </c>
      <c r="N62" s="5">
        <f>400.28</f>
        <v>400.28</v>
      </c>
      <c r="O62" s="5">
        <f>1666.67</f>
        <v>1666.67</v>
      </c>
      <c r="P62" s="5">
        <f t="shared" si="34"/>
        <v>-1266.3900000000001</v>
      </c>
      <c r="Q62" s="6">
        <f t="shared" si="35"/>
        <v>0.24016751966496064</v>
      </c>
      <c r="R62" s="5">
        <f>1135.87</f>
        <v>1135.8699999999999</v>
      </c>
      <c r="S62" s="5">
        <f>1666.67</f>
        <v>1666.67</v>
      </c>
      <c r="T62" s="5">
        <f t="shared" si="36"/>
        <v>-530.80000000000018</v>
      </c>
      <c r="U62" s="6">
        <f t="shared" si="37"/>
        <v>0.681520636958726</v>
      </c>
      <c r="V62" s="5">
        <f>633.52</f>
        <v>633.52</v>
      </c>
      <c r="W62" s="5">
        <f>1666.67</f>
        <v>1666.67</v>
      </c>
      <c r="X62" s="5">
        <f t="shared" si="38"/>
        <v>-1033.1500000000001</v>
      </c>
      <c r="Y62" s="6">
        <f t="shared" si="39"/>
        <v>0.38011123977752043</v>
      </c>
      <c r="Z62" s="4"/>
      <c r="AA62" s="5">
        <f>1666.67</f>
        <v>1666.67</v>
      </c>
      <c r="AB62" s="5">
        <f t="shared" si="40"/>
        <v>-1666.67</v>
      </c>
      <c r="AC62" s="6">
        <f t="shared" si="41"/>
        <v>0</v>
      </c>
      <c r="AD62" s="5">
        <f>1187.16</f>
        <v>1187.1600000000001</v>
      </c>
      <c r="AE62" s="5">
        <f>1666.67</f>
        <v>1666.67</v>
      </c>
      <c r="AF62" s="5">
        <f t="shared" si="42"/>
        <v>-479.51</v>
      </c>
      <c r="AG62" s="6">
        <f t="shared" si="43"/>
        <v>0.71229457541084917</v>
      </c>
      <c r="AH62" s="4"/>
      <c r="AI62" s="5">
        <f>1666.67</f>
        <v>1666.67</v>
      </c>
      <c r="AJ62" s="5">
        <f t="shared" si="44"/>
        <v>-1666.67</v>
      </c>
      <c r="AK62" s="6">
        <f t="shared" si="45"/>
        <v>0</v>
      </c>
      <c r="AL62" s="4"/>
      <c r="AM62" s="5">
        <f>1666.67</f>
        <v>1666.67</v>
      </c>
      <c r="AN62" s="5">
        <f t="shared" si="46"/>
        <v>-1666.67</v>
      </c>
      <c r="AO62" s="6">
        <f t="shared" si="47"/>
        <v>0</v>
      </c>
      <c r="AP62" s="4"/>
      <c r="AQ62" s="5">
        <f>1666.67</f>
        <v>1666.67</v>
      </c>
      <c r="AR62" s="5">
        <f t="shared" si="48"/>
        <v>-1666.67</v>
      </c>
      <c r="AS62" s="6">
        <f t="shared" si="49"/>
        <v>0</v>
      </c>
      <c r="AT62" s="4"/>
      <c r="AU62" s="5">
        <f>1666.63</f>
        <v>1666.63</v>
      </c>
      <c r="AV62" s="5">
        <f t="shared" si="50"/>
        <v>-1666.63</v>
      </c>
      <c r="AW62" s="6">
        <f t="shared" si="51"/>
        <v>0</v>
      </c>
      <c r="AX62" s="5">
        <f t="shared" si="52"/>
        <v>9594.17</v>
      </c>
      <c r="AY62" s="5">
        <f t="shared" si="53"/>
        <v>20000.000000000004</v>
      </c>
      <c r="AZ62" s="5">
        <f t="shared" si="54"/>
        <v>-10405.830000000004</v>
      </c>
      <c r="BA62" s="6">
        <f t="shared" si="55"/>
        <v>0.47970849999999993</v>
      </c>
    </row>
    <row r="63" spans="1:53" x14ac:dyDescent="0.3">
      <c r="A63" s="3" t="s">
        <v>73</v>
      </c>
      <c r="B63" s="4"/>
      <c r="C63" s="5">
        <f>275</f>
        <v>275</v>
      </c>
      <c r="D63" s="5">
        <f t="shared" si="28"/>
        <v>-275</v>
      </c>
      <c r="E63" s="6">
        <f t="shared" si="29"/>
        <v>0</v>
      </c>
      <c r="F63" s="4"/>
      <c r="G63" s="5">
        <f>275</f>
        <v>275</v>
      </c>
      <c r="H63" s="5">
        <f t="shared" si="30"/>
        <v>-275</v>
      </c>
      <c r="I63" s="6">
        <f t="shared" si="31"/>
        <v>0</v>
      </c>
      <c r="J63" s="4"/>
      <c r="K63" s="5">
        <f>275</f>
        <v>275</v>
      </c>
      <c r="L63" s="5">
        <f t="shared" si="32"/>
        <v>-275</v>
      </c>
      <c r="M63" s="6">
        <f t="shared" si="33"/>
        <v>0</v>
      </c>
      <c r="N63" s="4"/>
      <c r="O63" s="5">
        <f>275</f>
        <v>275</v>
      </c>
      <c r="P63" s="5">
        <f t="shared" si="34"/>
        <v>-275</v>
      </c>
      <c r="Q63" s="6">
        <f t="shared" si="35"/>
        <v>0</v>
      </c>
      <c r="R63" s="5">
        <f>618.02</f>
        <v>618.02</v>
      </c>
      <c r="S63" s="5">
        <f>275</f>
        <v>275</v>
      </c>
      <c r="T63" s="5">
        <f t="shared" si="36"/>
        <v>343.02</v>
      </c>
      <c r="U63" s="6">
        <f t="shared" si="37"/>
        <v>2.2473454545454543</v>
      </c>
      <c r="V63" s="5">
        <f>2162.12</f>
        <v>2162.12</v>
      </c>
      <c r="W63" s="5">
        <f>275</f>
        <v>275</v>
      </c>
      <c r="X63" s="5">
        <f t="shared" si="38"/>
        <v>1887.12</v>
      </c>
      <c r="Y63" s="6">
        <f t="shared" si="39"/>
        <v>7.8622545454545447</v>
      </c>
      <c r="Z63" s="4"/>
      <c r="AA63" s="5">
        <f>275</f>
        <v>275</v>
      </c>
      <c r="AB63" s="5">
        <f t="shared" si="40"/>
        <v>-275</v>
      </c>
      <c r="AC63" s="6">
        <f t="shared" si="41"/>
        <v>0</v>
      </c>
      <c r="AD63" s="4"/>
      <c r="AE63" s="5">
        <f>275</f>
        <v>275</v>
      </c>
      <c r="AF63" s="5">
        <f t="shared" si="42"/>
        <v>-275</v>
      </c>
      <c r="AG63" s="6">
        <f t="shared" si="43"/>
        <v>0</v>
      </c>
      <c r="AH63" s="4"/>
      <c r="AI63" s="5">
        <f>275</f>
        <v>275</v>
      </c>
      <c r="AJ63" s="5">
        <f t="shared" si="44"/>
        <v>-275</v>
      </c>
      <c r="AK63" s="6">
        <f t="shared" si="45"/>
        <v>0</v>
      </c>
      <c r="AL63" s="4"/>
      <c r="AM63" s="5">
        <f>275</f>
        <v>275</v>
      </c>
      <c r="AN63" s="5">
        <f t="shared" si="46"/>
        <v>-275</v>
      </c>
      <c r="AO63" s="6">
        <f t="shared" si="47"/>
        <v>0</v>
      </c>
      <c r="AP63" s="4"/>
      <c r="AQ63" s="5">
        <f>275</f>
        <v>275</v>
      </c>
      <c r="AR63" s="5">
        <f t="shared" si="48"/>
        <v>-275</v>
      </c>
      <c r="AS63" s="6">
        <f t="shared" si="49"/>
        <v>0</v>
      </c>
      <c r="AT63" s="4"/>
      <c r="AU63" s="5">
        <f>275</f>
        <v>275</v>
      </c>
      <c r="AV63" s="5">
        <f t="shared" si="50"/>
        <v>-275</v>
      </c>
      <c r="AW63" s="6">
        <f t="shared" si="51"/>
        <v>0</v>
      </c>
      <c r="AX63" s="5">
        <f t="shared" si="52"/>
        <v>2780.14</v>
      </c>
      <c r="AY63" s="5">
        <f t="shared" si="53"/>
        <v>3300</v>
      </c>
      <c r="AZ63" s="5">
        <f t="shared" si="54"/>
        <v>-519.86000000000013</v>
      </c>
      <c r="BA63" s="6">
        <f t="shared" si="55"/>
        <v>0.84246666666666659</v>
      </c>
    </row>
    <row r="64" spans="1:53" x14ac:dyDescent="0.3">
      <c r="A64" s="3" t="s">
        <v>74</v>
      </c>
      <c r="B64" s="4"/>
      <c r="C64" s="5">
        <f>62.5</f>
        <v>62.5</v>
      </c>
      <c r="D64" s="5">
        <f t="shared" si="28"/>
        <v>-62.5</v>
      </c>
      <c r="E64" s="6">
        <f t="shared" si="29"/>
        <v>0</v>
      </c>
      <c r="F64" s="4"/>
      <c r="G64" s="5">
        <f>62.5</f>
        <v>62.5</v>
      </c>
      <c r="H64" s="5">
        <f t="shared" si="30"/>
        <v>-62.5</v>
      </c>
      <c r="I64" s="6">
        <f t="shared" si="31"/>
        <v>0</v>
      </c>
      <c r="J64" s="4"/>
      <c r="K64" s="5">
        <f>62.5</f>
        <v>62.5</v>
      </c>
      <c r="L64" s="5">
        <f t="shared" si="32"/>
        <v>-62.5</v>
      </c>
      <c r="M64" s="6">
        <f t="shared" si="33"/>
        <v>0</v>
      </c>
      <c r="N64" s="4"/>
      <c r="O64" s="5">
        <f>62.5</f>
        <v>62.5</v>
      </c>
      <c r="P64" s="5">
        <f t="shared" si="34"/>
        <v>-62.5</v>
      </c>
      <c r="Q64" s="6">
        <f t="shared" si="35"/>
        <v>0</v>
      </c>
      <c r="R64" s="4"/>
      <c r="S64" s="5">
        <f>62.5</f>
        <v>62.5</v>
      </c>
      <c r="T64" s="5">
        <f t="shared" si="36"/>
        <v>-62.5</v>
      </c>
      <c r="U64" s="6">
        <f t="shared" si="37"/>
        <v>0</v>
      </c>
      <c r="V64" s="4"/>
      <c r="W64" s="5">
        <f>62.5</f>
        <v>62.5</v>
      </c>
      <c r="X64" s="5">
        <f t="shared" si="38"/>
        <v>-62.5</v>
      </c>
      <c r="Y64" s="6">
        <f t="shared" si="39"/>
        <v>0</v>
      </c>
      <c r="Z64" s="4"/>
      <c r="AA64" s="5">
        <f>62.5</f>
        <v>62.5</v>
      </c>
      <c r="AB64" s="5">
        <f t="shared" si="40"/>
        <v>-62.5</v>
      </c>
      <c r="AC64" s="6">
        <f t="shared" si="41"/>
        <v>0</v>
      </c>
      <c r="AD64" s="4"/>
      <c r="AE64" s="5">
        <f>62.5</f>
        <v>62.5</v>
      </c>
      <c r="AF64" s="5">
        <f t="shared" si="42"/>
        <v>-62.5</v>
      </c>
      <c r="AG64" s="6">
        <f t="shared" si="43"/>
        <v>0</v>
      </c>
      <c r="AH64" s="4"/>
      <c r="AI64" s="5">
        <f>62.5</f>
        <v>62.5</v>
      </c>
      <c r="AJ64" s="5">
        <f t="shared" si="44"/>
        <v>-62.5</v>
      </c>
      <c r="AK64" s="6">
        <f t="shared" si="45"/>
        <v>0</v>
      </c>
      <c r="AL64" s="4"/>
      <c r="AM64" s="5">
        <f>62.5</f>
        <v>62.5</v>
      </c>
      <c r="AN64" s="5">
        <f t="shared" si="46"/>
        <v>-62.5</v>
      </c>
      <c r="AO64" s="6">
        <f t="shared" si="47"/>
        <v>0</v>
      </c>
      <c r="AP64" s="4"/>
      <c r="AQ64" s="5">
        <f>62.5</f>
        <v>62.5</v>
      </c>
      <c r="AR64" s="5">
        <f t="shared" si="48"/>
        <v>-62.5</v>
      </c>
      <c r="AS64" s="6">
        <f t="shared" si="49"/>
        <v>0</v>
      </c>
      <c r="AT64" s="4"/>
      <c r="AU64" s="5">
        <f>62.5</f>
        <v>62.5</v>
      </c>
      <c r="AV64" s="5">
        <f t="shared" si="50"/>
        <v>-62.5</v>
      </c>
      <c r="AW64" s="6">
        <f t="shared" si="51"/>
        <v>0</v>
      </c>
      <c r="AX64" s="5">
        <f t="shared" si="52"/>
        <v>0</v>
      </c>
      <c r="AY64" s="5">
        <f t="shared" si="53"/>
        <v>750</v>
      </c>
      <c r="AZ64" s="5">
        <f t="shared" si="54"/>
        <v>-750</v>
      </c>
      <c r="BA64" s="6">
        <f t="shared" si="55"/>
        <v>0</v>
      </c>
    </row>
    <row r="65" spans="1:53" x14ac:dyDescent="0.3">
      <c r="A65" s="3" t="s">
        <v>75</v>
      </c>
      <c r="B65" s="5">
        <f>230.16</f>
        <v>230.16</v>
      </c>
      <c r="C65" s="5">
        <f>233.33</f>
        <v>233.33</v>
      </c>
      <c r="D65" s="5">
        <f t="shared" si="28"/>
        <v>-3.1700000000000159</v>
      </c>
      <c r="E65" s="6">
        <f t="shared" si="29"/>
        <v>0.98641409162988036</v>
      </c>
      <c r="F65" s="5">
        <f>229.95</f>
        <v>229.95</v>
      </c>
      <c r="G65" s="5">
        <f>233.33</f>
        <v>233.33</v>
      </c>
      <c r="H65" s="5">
        <f t="shared" si="30"/>
        <v>-3.3800000000000239</v>
      </c>
      <c r="I65" s="6">
        <f t="shared" si="31"/>
        <v>0.98551407877255381</v>
      </c>
      <c r="J65" s="5">
        <f>228.93</f>
        <v>228.93</v>
      </c>
      <c r="K65" s="5">
        <f>233.33</f>
        <v>233.33</v>
      </c>
      <c r="L65" s="5">
        <f t="shared" si="32"/>
        <v>-4.4000000000000057</v>
      </c>
      <c r="M65" s="6">
        <f t="shared" si="33"/>
        <v>0.98114258775125351</v>
      </c>
      <c r="N65" s="5">
        <f>459.53</f>
        <v>459.53</v>
      </c>
      <c r="O65" s="5">
        <f>233.33</f>
        <v>233.33</v>
      </c>
      <c r="P65" s="5">
        <f t="shared" si="34"/>
        <v>226.19999999999996</v>
      </c>
      <c r="Q65" s="6">
        <f t="shared" si="35"/>
        <v>1.9694424206060084</v>
      </c>
      <c r="R65" s="5">
        <f>231.33</f>
        <v>231.33</v>
      </c>
      <c r="S65" s="5">
        <f>233.33</f>
        <v>233.33</v>
      </c>
      <c r="T65" s="5">
        <f t="shared" si="36"/>
        <v>-2</v>
      </c>
      <c r="U65" s="6">
        <f t="shared" si="37"/>
        <v>0.99142844897784255</v>
      </c>
      <c r="V65" s="5">
        <f>231.12</f>
        <v>231.12</v>
      </c>
      <c r="W65" s="5">
        <f>233.33</f>
        <v>233.33</v>
      </c>
      <c r="X65" s="5">
        <f t="shared" si="38"/>
        <v>-2.210000000000008</v>
      </c>
      <c r="Y65" s="6">
        <f t="shared" si="39"/>
        <v>0.990528436120516</v>
      </c>
      <c r="Z65" s="4"/>
      <c r="AA65" s="5">
        <f>233.33</f>
        <v>233.33</v>
      </c>
      <c r="AB65" s="5">
        <f t="shared" si="40"/>
        <v>-233.33</v>
      </c>
      <c r="AC65" s="6">
        <f t="shared" si="41"/>
        <v>0</v>
      </c>
      <c r="AD65" s="5">
        <f>231.57</f>
        <v>231.57</v>
      </c>
      <c r="AE65" s="5">
        <f>233.33</f>
        <v>233.33</v>
      </c>
      <c r="AF65" s="5">
        <f t="shared" si="42"/>
        <v>-1.7600000000000193</v>
      </c>
      <c r="AG65" s="6">
        <f t="shared" si="43"/>
        <v>0.99245703510050132</v>
      </c>
      <c r="AH65" s="5">
        <f>229.89</f>
        <v>229.89</v>
      </c>
      <c r="AI65" s="5">
        <f>233.33</f>
        <v>233.33</v>
      </c>
      <c r="AJ65" s="5">
        <f t="shared" si="44"/>
        <v>-3.4400000000000261</v>
      </c>
      <c r="AK65" s="6">
        <f t="shared" si="45"/>
        <v>0.98525693224188904</v>
      </c>
      <c r="AL65" s="5">
        <f>231.39</f>
        <v>231.39</v>
      </c>
      <c r="AM65" s="5">
        <f>233.33</f>
        <v>233.33</v>
      </c>
      <c r="AN65" s="5">
        <f t="shared" si="46"/>
        <v>-1.9400000000000261</v>
      </c>
      <c r="AO65" s="6">
        <f t="shared" si="47"/>
        <v>0.9916855955085071</v>
      </c>
      <c r="AP65" s="4"/>
      <c r="AQ65" s="5">
        <f>233.33</f>
        <v>233.33</v>
      </c>
      <c r="AR65" s="5">
        <f t="shared" si="48"/>
        <v>-233.33</v>
      </c>
      <c r="AS65" s="6">
        <f t="shared" si="49"/>
        <v>0</v>
      </c>
      <c r="AT65" s="4"/>
      <c r="AU65" s="5">
        <f>233.37</f>
        <v>233.37</v>
      </c>
      <c r="AV65" s="5">
        <f t="shared" si="50"/>
        <v>-233.37</v>
      </c>
      <c r="AW65" s="6">
        <f t="shared" si="51"/>
        <v>0</v>
      </c>
      <c r="AX65" s="5">
        <f t="shared" si="52"/>
        <v>2303.87</v>
      </c>
      <c r="AY65" s="5">
        <f t="shared" si="53"/>
        <v>2799.9999999999995</v>
      </c>
      <c r="AZ65" s="5">
        <f t="shared" si="54"/>
        <v>-496.12999999999965</v>
      </c>
      <c r="BA65" s="6">
        <f t="shared" si="55"/>
        <v>0.8228107142857144</v>
      </c>
    </row>
    <row r="66" spans="1:53" x14ac:dyDescent="0.3">
      <c r="A66" s="3" t="s">
        <v>76</v>
      </c>
      <c r="B66" s="5">
        <f>1608.41</f>
        <v>1608.41</v>
      </c>
      <c r="C66" s="5">
        <f>1833.33</f>
        <v>1833.33</v>
      </c>
      <c r="D66" s="5">
        <f t="shared" si="28"/>
        <v>-224.91999999999985</v>
      </c>
      <c r="E66" s="6">
        <f t="shared" si="29"/>
        <v>0.87731614057480112</v>
      </c>
      <c r="F66" s="5">
        <f>2076.19</f>
        <v>2076.19</v>
      </c>
      <c r="G66" s="5">
        <f>1833.33</f>
        <v>1833.33</v>
      </c>
      <c r="H66" s="5">
        <f t="shared" si="30"/>
        <v>242.86000000000013</v>
      </c>
      <c r="I66" s="6">
        <f t="shared" si="31"/>
        <v>1.1324693317624215</v>
      </c>
      <c r="J66" s="5">
        <f>1768.73</f>
        <v>1768.73</v>
      </c>
      <c r="K66" s="5">
        <f>1833.33</f>
        <v>1833.33</v>
      </c>
      <c r="L66" s="5">
        <f t="shared" si="32"/>
        <v>-64.599999999999909</v>
      </c>
      <c r="M66" s="6">
        <f t="shared" si="33"/>
        <v>0.96476357229740417</v>
      </c>
      <c r="N66" s="5">
        <f>2771.7</f>
        <v>2771.7</v>
      </c>
      <c r="O66" s="5">
        <f>1833.33</f>
        <v>1833.33</v>
      </c>
      <c r="P66" s="5">
        <f t="shared" si="34"/>
        <v>938.36999999999989</v>
      </c>
      <c r="Q66" s="6">
        <f t="shared" si="35"/>
        <v>1.5118391124347499</v>
      </c>
      <c r="R66" s="4"/>
      <c r="S66" s="5">
        <f>1833.33</f>
        <v>1833.33</v>
      </c>
      <c r="T66" s="5">
        <f t="shared" si="36"/>
        <v>-1833.33</v>
      </c>
      <c r="U66" s="6">
        <f t="shared" si="37"/>
        <v>0</v>
      </c>
      <c r="V66" s="5">
        <f>1179.09</f>
        <v>1179.0899999999999</v>
      </c>
      <c r="W66" s="5">
        <f>1833.33</f>
        <v>1833.33</v>
      </c>
      <c r="X66" s="5">
        <f t="shared" si="38"/>
        <v>-654.24</v>
      </c>
      <c r="Y66" s="6">
        <f t="shared" si="39"/>
        <v>0.64314116934758059</v>
      </c>
      <c r="Z66" s="5">
        <f>1049.39</f>
        <v>1049.3900000000001</v>
      </c>
      <c r="AA66" s="5">
        <f>1833.33</f>
        <v>1833.33</v>
      </c>
      <c r="AB66" s="5">
        <f t="shared" si="40"/>
        <v>-783.93999999999983</v>
      </c>
      <c r="AC66" s="6">
        <f t="shared" si="41"/>
        <v>0.57239558617379316</v>
      </c>
      <c r="AD66" s="5">
        <f>3736.16</f>
        <v>3736.16</v>
      </c>
      <c r="AE66" s="5">
        <f>1833.33</f>
        <v>1833.33</v>
      </c>
      <c r="AF66" s="5">
        <f t="shared" si="42"/>
        <v>1902.83</v>
      </c>
      <c r="AG66" s="6">
        <f t="shared" si="43"/>
        <v>2.037909159834836</v>
      </c>
      <c r="AH66" s="5">
        <f>1127.37</f>
        <v>1127.3699999999999</v>
      </c>
      <c r="AI66" s="5">
        <f>1833.33</f>
        <v>1833.33</v>
      </c>
      <c r="AJ66" s="5">
        <f t="shared" si="44"/>
        <v>-705.96</v>
      </c>
      <c r="AK66" s="6">
        <f t="shared" si="45"/>
        <v>0.61493020896401629</v>
      </c>
      <c r="AL66" s="5">
        <f>1116.11</f>
        <v>1116.1099999999999</v>
      </c>
      <c r="AM66" s="5">
        <f>1833.33</f>
        <v>1833.33</v>
      </c>
      <c r="AN66" s="5">
        <f t="shared" si="46"/>
        <v>-717.22</v>
      </c>
      <c r="AO66" s="6">
        <f t="shared" si="47"/>
        <v>0.60878837961523569</v>
      </c>
      <c r="AP66" s="4"/>
      <c r="AQ66" s="5">
        <f>1833.33</f>
        <v>1833.33</v>
      </c>
      <c r="AR66" s="5">
        <f t="shared" si="48"/>
        <v>-1833.33</v>
      </c>
      <c r="AS66" s="6">
        <f t="shared" si="49"/>
        <v>0</v>
      </c>
      <c r="AT66" s="4"/>
      <c r="AU66" s="5">
        <f>1833.37</f>
        <v>1833.37</v>
      </c>
      <c r="AV66" s="5">
        <f t="shared" si="50"/>
        <v>-1833.37</v>
      </c>
      <c r="AW66" s="6">
        <f t="shared" si="51"/>
        <v>0</v>
      </c>
      <c r="AX66" s="5">
        <f t="shared" si="52"/>
        <v>16433.149999999998</v>
      </c>
      <c r="AY66" s="5">
        <f t="shared" si="53"/>
        <v>22000.000000000004</v>
      </c>
      <c r="AZ66" s="5">
        <f t="shared" si="54"/>
        <v>-5566.8500000000058</v>
      </c>
      <c r="BA66" s="6">
        <f t="shared" si="55"/>
        <v>0.74696136363636345</v>
      </c>
    </row>
    <row r="67" spans="1:53" x14ac:dyDescent="0.3">
      <c r="A67" s="3" t="s">
        <v>77</v>
      </c>
      <c r="B67" s="4"/>
      <c r="C67" s="4"/>
      <c r="D67" s="5">
        <f t="shared" si="28"/>
        <v>0</v>
      </c>
      <c r="E67" s="6" t="str">
        <f t="shared" si="29"/>
        <v/>
      </c>
      <c r="F67" s="4"/>
      <c r="G67" s="4"/>
      <c r="H67" s="5">
        <f t="shared" si="30"/>
        <v>0</v>
      </c>
      <c r="I67" s="6" t="str">
        <f t="shared" si="31"/>
        <v/>
      </c>
      <c r="J67" s="4"/>
      <c r="K67" s="4"/>
      <c r="L67" s="5">
        <f t="shared" si="32"/>
        <v>0</v>
      </c>
      <c r="M67" s="6" t="str">
        <f t="shared" si="33"/>
        <v/>
      </c>
      <c r="N67" s="4"/>
      <c r="O67" s="4"/>
      <c r="P67" s="5">
        <f t="shared" si="34"/>
        <v>0</v>
      </c>
      <c r="Q67" s="6" t="str">
        <f t="shared" si="35"/>
        <v/>
      </c>
      <c r="R67" s="4"/>
      <c r="S67" s="4"/>
      <c r="T67" s="5">
        <f t="shared" si="36"/>
        <v>0</v>
      </c>
      <c r="U67" s="6" t="str">
        <f t="shared" si="37"/>
        <v/>
      </c>
      <c r="V67" s="4"/>
      <c r="W67" s="4"/>
      <c r="X67" s="5">
        <f t="shared" si="38"/>
        <v>0</v>
      </c>
      <c r="Y67" s="6" t="str">
        <f t="shared" si="39"/>
        <v/>
      </c>
      <c r="Z67" s="4"/>
      <c r="AA67" s="4"/>
      <c r="AB67" s="5">
        <f t="shared" si="40"/>
        <v>0</v>
      </c>
      <c r="AC67" s="6" t="str">
        <f t="shared" si="41"/>
        <v/>
      </c>
      <c r="AD67" s="4"/>
      <c r="AE67" s="4"/>
      <c r="AF67" s="5">
        <f t="shared" si="42"/>
        <v>0</v>
      </c>
      <c r="AG67" s="6" t="str">
        <f t="shared" si="43"/>
        <v/>
      </c>
      <c r="AH67" s="4"/>
      <c r="AI67" s="4"/>
      <c r="AJ67" s="5">
        <f t="shared" si="44"/>
        <v>0</v>
      </c>
      <c r="AK67" s="6" t="str">
        <f t="shared" si="45"/>
        <v/>
      </c>
      <c r="AL67" s="4"/>
      <c r="AM67" s="4"/>
      <c r="AN67" s="5">
        <f t="shared" si="46"/>
        <v>0</v>
      </c>
      <c r="AO67" s="6" t="str">
        <f t="shared" si="47"/>
        <v/>
      </c>
      <c r="AP67" s="4"/>
      <c r="AQ67" s="4"/>
      <c r="AR67" s="5">
        <f t="shared" si="48"/>
        <v>0</v>
      </c>
      <c r="AS67" s="6" t="str">
        <f t="shared" si="49"/>
        <v/>
      </c>
      <c r="AT67" s="4"/>
      <c r="AU67" s="4"/>
      <c r="AV67" s="5">
        <f t="shared" si="50"/>
        <v>0</v>
      </c>
      <c r="AW67" s="6" t="str">
        <f t="shared" si="51"/>
        <v/>
      </c>
      <c r="AX67" s="5">
        <f t="shared" si="52"/>
        <v>0</v>
      </c>
      <c r="AY67" s="5">
        <f t="shared" si="53"/>
        <v>0</v>
      </c>
      <c r="AZ67" s="5">
        <f t="shared" si="54"/>
        <v>0</v>
      </c>
      <c r="BA67" s="6" t="str">
        <f t="shared" si="55"/>
        <v/>
      </c>
    </row>
    <row r="68" spans="1:53" x14ac:dyDescent="0.3">
      <c r="A68" s="3" t="s">
        <v>78</v>
      </c>
      <c r="B68" s="5">
        <f>949.55</f>
        <v>949.55</v>
      </c>
      <c r="C68" s="5">
        <f>1288.36</f>
        <v>1288.3599999999999</v>
      </c>
      <c r="D68" s="5">
        <f t="shared" si="28"/>
        <v>-338.80999999999995</v>
      </c>
      <c r="E68" s="6">
        <f t="shared" si="29"/>
        <v>0.73702226085876621</v>
      </c>
      <c r="F68" s="5">
        <f>841.41</f>
        <v>841.41</v>
      </c>
      <c r="G68" s="5">
        <f>1288.36</f>
        <v>1288.3599999999999</v>
      </c>
      <c r="H68" s="5">
        <f t="shared" si="30"/>
        <v>-446.94999999999993</v>
      </c>
      <c r="I68" s="6">
        <f t="shared" si="31"/>
        <v>0.65308609394889627</v>
      </c>
      <c r="J68" s="5">
        <f>794.35</f>
        <v>794.35</v>
      </c>
      <c r="K68" s="5">
        <f>1288.36</f>
        <v>1288.3599999999999</v>
      </c>
      <c r="L68" s="5">
        <f t="shared" si="32"/>
        <v>-494.00999999999988</v>
      </c>
      <c r="M68" s="6">
        <f t="shared" si="33"/>
        <v>0.6165590362942035</v>
      </c>
      <c r="N68" s="5">
        <f>810.23</f>
        <v>810.23</v>
      </c>
      <c r="O68" s="5">
        <f>1288.36</f>
        <v>1288.3599999999999</v>
      </c>
      <c r="P68" s="5">
        <f t="shared" si="34"/>
        <v>-478.12999999999988</v>
      </c>
      <c r="Q68" s="6">
        <f t="shared" si="35"/>
        <v>0.62888478375609314</v>
      </c>
      <c r="R68" s="5">
        <f>815.11</f>
        <v>815.11</v>
      </c>
      <c r="S68" s="5">
        <f>1288.36</f>
        <v>1288.3599999999999</v>
      </c>
      <c r="T68" s="5">
        <f t="shared" si="36"/>
        <v>-473.24999999999989</v>
      </c>
      <c r="U68" s="6">
        <f t="shared" si="37"/>
        <v>0.63267254494085512</v>
      </c>
      <c r="V68" s="5">
        <f>1397.8</f>
        <v>1397.8</v>
      </c>
      <c r="W68" s="5">
        <f>1288.36</f>
        <v>1288.3599999999999</v>
      </c>
      <c r="X68" s="5">
        <f t="shared" si="38"/>
        <v>109.44000000000005</v>
      </c>
      <c r="Y68" s="6">
        <f t="shared" si="39"/>
        <v>1.0849452016517123</v>
      </c>
      <c r="Z68" s="5">
        <f>986.23</f>
        <v>986.23</v>
      </c>
      <c r="AA68" s="5">
        <f>1288.36</f>
        <v>1288.3599999999999</v>
      </c>
      <c r="AB68" s="5">
        <f t="shared" si="40"/>
        <v>-302.12999999999988</v>
      </c>
      <c r="AC68" s="6">
        <f t="shared" si="41"/>
        <v>0.76549256419013323</v>
      </c>
      <c r="AD68" s="5">
        <f>826.68</f>
        <v>826.68</v>
      </c>
      <c r="AE68" s="5">
        <f>1288.36</f>
        <v>1288.3599999999999</v>
      </c>
      <c r="AF68" s="5">
        <f t="shared" si="42"/>
        <v>-461.67999999999995</v>
      </c>
      <c r="AG68" s="6">
        <f t="shared" si="43"/>
        <v>0.64165295414325185</v>
      </c>
      <c r="AH68" s="5">
        <f>855.65</f>
        <v>855.65</v>
      </c>
      <c r="AI68" s="5">
        <f>1288.36</f>
        <v>1288.3599999999999</v>
      </c>
      <c r="AJ68" s="5">
        <f t="shared" si="44"/>
        <v>-432.70999999999992</v>
      </c>
      <c r="AK68" s="6">
        <f t="shared" si="45"/>
        <v>0.66413890527492314</v>
      </c>
      <c r="AL68" s="5">
        <f>1260.33</f>
        <v>1260.33</v>
      </c>
      <c r="AM68" s="5">
        <f>1288.36</f>
        <v>1288.3599999999999</v>
      </c>
      <c r="AN68" s="5">
        <f t="shared" si="46"/>
        <v>-28.029999999999973</v>
      </c>
      <c r="AO68" s="6">
        <f t="shared" si="47"/>
        <v>0.97824365860473783</v>
      </c>
      <c r="AP68" s="5">
        <f>458.51</f>
        <v>458.51</v>
      </c>
      <c r="AQ68" s="5">
        <f>1288.36</f>
        <v>1288.3599999999999</v>
      </c>
      <c r="AR68" s="5">
        <f t="shared" si="48"/>
        <v>-829.84999999999991</v>
      </c>
      <c r="AS68" s="6">
        <f t="shared" si="49"/>
        <v>0.35588655344779413</v>
      </c>
      <c r="AT68" s="4"/>
      <c r="AU68" s="5">
        <f>1288.33</f>
        <v>1288.33</v>
      </c>
      <c r="AV68" s="5">
        <f t="shared" si="50"/>
        <v>-1288.33</v>
      </c>
      <c r="AW68" s="6">
        <f t="shared" si="51"/>
        <v>0</v>
      </c>
      <c r="AX68" s="5">
        <f t="shared" si="52"/>
        <v>9995.85</v>
      </c>
      <c r="AY68" s="5">
        <f t="shared" si="53"/>
        <v>15460.29</v>
      </c>
      <c r="AZ68" s="5">
        <f t="shared" si="54"/>
        <v>-5464.4400000000005</v>
      </c>
      <c r="BA68" s="6">
        <f t="shared" si="55"/>
        <v>0.64654996769142103</v>
      </c>
    </row>
    <row r="69" spans="1:53" x14ac:dyDescent="0.3">
      <c r="A69" s="3" t="s">
        <v>79</v>
      </c>
      <c r="B69" s="5">
        <f>12412.3</f>
        <v>12412.3</v>
      </c>
      <c r="C69" s="5">
        <f>14408.56</f>
        <v>14408.56</v>
      </c>
      <c r="D69" s="5">
        <f t="shared" si="28"/>
        <v>-1996.2600000000002</v>
      </c>
      <c r="E69" s="6">
        <f t="shared" si="29"/>
        <v>0.86145319171381451</v>
      </c>
      <c r="F69" s="5">
        <f>10998.75</f>
        <v>10998.75</v>
      </c>
      <c r="G69" s="5">
        <f>14408.56</f>
        <v>14408.56</v>
      </c>
      <c r="H69" s="5">
        <f t="shared" si="30"/>
        <v>-3409.8099999999995</v>
      </c>
      <c r="I69" s="6">
        <f t="shared" si="31"/>
        <v>0.76334831516820556</v>
      </c>
      <c r="J69" s="5">
        <f>10383.75</f>
        <v>10383.75</v>
      </c>
      <c r="K69" s="5">
        <f>14408.56</f>
        <v>14408.56</v>
      </c>
      <c r="L69" s="5">
        <f t="shared" si="32"/>
        <v>-4024.8099999999995</v>
      </c>
      <c r="M69" s="6">
        <f t="shared" si="33"/>
        <v>0.7206653544837236</v>
      </c>
      <c r="N69" s="5">
        <f>10591.25</f>
        <v>10591.25</v>
      </c>
      <c r="O69" s="5">
        <f>14408.56</f>
        <v>14408.56</v>
      </c>
      <c r="P69" s="5">
        <f t="shared" si="34"/>
        <v>-3817.3099999999995</v>
      </c>
      <c r="Q69" s="6">
        <f t="shared" si="35"/>
        <v>0.73506651601547968</v>
      </c>
      <c r="R69" s="5">
        <f>10655</f>
        <v>10655</v>
      </c>
      <c r="S69" s="5">
        <f>14408.56</f>
        <v>14408.56</v>
      </c>
      <c r="T69" s="5">
        <f t="shared" si="36"/>
        <v>-3753.5599999999995</v>
      </c>
      <c r="U69" s="6">
        <f t="shared" si="37"/>
        <v>0.73949096925716384</v>
      </c>
      <c r="V69" s="5">
        <f>16354.5</f>
        <v>16354.5</v>
      </c>
      <c r="W69" s="5">
        <f>14408.56</f>
        <v>14408.56</v>
      </c>
      <c r="X69" s="5">
        <f t="shared" si="38"/>
        <v>1945.9400000000005</v>
      </c>
      <c r="Y69" s="6">
        <f t="shared" si="39"/>
        <v>1.1350544398607494</v>
      </c>
      <c r="Z69" s="5">
        <f>12891.83</f>
        <v>12891.83</v>
      </c>
      <c r="AA69" s="5">
        <f>14408.56</f>
        <v>14408.56</v>
      </c>
      <c r="AB69" s="5">
        <f t="shared" si="40"/>
        <v>-1516.7299999999996</v>
      </c>
      <c r="AC69" s="6">
        <f t="shared" si="41"/>
        <v>0.89473410250573271</v>
      </c>
      <c r="AD69" s="5">
        <f>10806.25</f>
        <v>10806.25</v>
      </c>
      <c r="AE69" s="5">
        <f>14408.56</f>
        <v>14408.56</v>
      </c>
      <c r="AF69" s="5">
        <f t="shared" si="42"/>
        <v>-3602.3099999999995</v>
      </c>
      <c r="AG69" s="6">
        <f t="shared" si="43"/>
        <v>0.74998820145802225</v>
      </c>
      <c r="AH69" s="5">
        <f>11185</f>
        <v>11185</v>
      </c>
      <c r="AI69" s="5">
        <f>14408.56</f>
        <v>14408.56</v>
      </c>
      <c r="AJ69" s="5">
        <f t="shared" si="44"/>
        <v>-3223.5599999999995</v>
      </c>
      <c r="AK69" s="6">
        <f t="shared" si="45"/>
        <v>0.77627465895273373</v>
      </c>
      <c r="AL69" s="5">
        <f>16474.75</f>
        <v>16474.75</v>
      </c>
      <c r="AM69" s="5">
        <f>14408.56</f>
        <v>14408.56</v>
      </c>
      <c r="AN69" s="5">
        <f t="shared" si="46"/>
        <v>2066.1900000000005</v>
      </c>
      <c r="AO69" s="6">
        <f t="shared" si="47"/>
        <v>1.1434001732303576</v>
      </c>
      <c r="AP69" s="5">
        <f>5993.75</f>
        <v>5993.75</v>
      </c>
      <c r="AQ69" s="5">
        <f>14408.56</f>
        <v>14408.56</v>
      </c>
      <c r="AR69" s="5">
        <f t="shared" si="48"/>
        <v>-8414.81</v>
      </c>
      <c r="AS69" s="6">
        <f t="shared" si="49"/>
        <v>0.41598535870343739</v>
      </c>
      <c r="AT69" s="4"/>
      <c r="AU69" s="5">
        <f>14408.57</f>
        <v>14408.57</v>
      </c>
      <c r="AV69" s="5">
        <f t="shared" si="50"/>
        <v>-14408.57</v>
      </c>
      <c r="AW69" s="6">
        <f t="shared" si="51"/>
        <v>0</v>
      </c>
      <c r="AX69" s="5">
        <f t="shared" si="52"/>
        <v>128747.13</v>
      </c>
      <c r="AY69" s="5">
        <f t="shared" si="53"/>
        <v>172902.73</v>
      </c>
      <c r="AZ69" s="5">
        <f t="shared" si="54"/>
        <v>-44155.600000000006</v>
      </c>
      <c r="BA69" s="6">
        <f t="shared" si="55"/>
        <v>0.74462173037985002</v>
      </c>
    </row>
    <row r="70" spans="1:53" x14ac:dyDescent="0.3">
      <c r="A70" s="3" t="s">
        <v>80</v>
      </c>
      <c r="B70" s="7">
        <f>((B67)+(B68))+(B69)</f>
        <v>13361.849999999999</v>
      </c>
      <c r="C70" s="7">
        <f>((C67)+(C68))+(C69)</f>
        <v>15696.92</v>
      </c>
      <c r="D70" s="7">
        <f t="shared" si="28"/>
        <v>-2335.0700000000015</v>
      </c>
      <c r="E70" s="8">
        <f t="shared" si="29"/>
        <v>0.85124024330887837</v>
      </c>
      <c r="F70" s="7">
        <f>((F67)+(F68))+(F69)</f>
        <v>11840.16</v>
      </c>
      <c r="G70" s="7">
        <f>((G67)+(G68))+(G69)</f>
        <v>15696.92</v>
      </c>
      <c r="H70" s="7">
        <f t="shared" si="30"/>
        <v>-3856.76</v>
      </c>
      <c r="I70" s="8">
        <f t="shared" si="31"/>
        <v>0.75429829546178484</v>
      </c>
      <c r="J70" s="7">
        <f>((J67)+(J68))+(J69)</f>
        <v>11178.1</v>
      </c>
      <c r="K70" s="7">
        <f>((K67)+(K68))+(K69)</f>
        <v>15696.92</v>
      </c>
      <c r="L70" s="7">
        <f t="shared" si="32"/>
        <v>-4518.82</v>
      </c>
      <c r="M70" s="8">
        <f t="shared" si="33"/>
        <v>0.7121205943586385</v>
      </c>
      <c r="N70" s="7">
        <f>((N67)+(N68))+(N69)</f>
        <v>11401.48</v>
      </c>
      <c r="O70" s="7">
        <f>((O67)+(O68))+(O69)</f>
        <v>15696.92</v>
      </c>
      <c r="P70" s="7">
        <f t="shared" si="34"/>
        <v>-4295.4400000000005</v>
      </c>
      <c r="Q70" s="8">
        <f t="shared" si="35"/>
        <v>0.72635141161450778</v>
      </c>
      <c r="R70" s="7">
        <f>((R67)+(R68))+(R69)</f>
        <v>11470.11</v>
      </c>
      <c r="S70" s="7">
        <f>((S67)+(S68))+(S69)</f>
        <v>15696.92</v>
      </c>
      <c r="T70" s="7">
        <f t="shared" si="36"/>
        <v>-4226.8099999999995</v>
      </c>
      <c r="U70" s="8">
        <f t="shared" si="37"/>
        <v>0.73072360692416094</v>
      </c>
      <c r="V70" s="7">
        <f>((V67)+(V68))+(V69)</f>
        <v>17752.3</v>
      </c>
      <c r="W70" s="7">
        <f>((W67)+(W68))+(W69)</f>
        <v>15696.92</v>
      </c>
      <c r="X70" s="7">
        <f t="shared" si="38"/>
        <v>2055.3799999999992</v>
      </c>
      <c r="Y70" s="8">
        <f t="shared" si="39"/>
        <v>1.1309416114753721</v>
      </c>
      <c r="Z70" s="7">
        <f>((Z67)+(Z68))+(Z69)</f>
        <v>13878.06</v>
      </c>
      <c r="AA70" s="7">
        <f>((AA67)+(AA68))+(AA69)</f>
        <v>15696.92</v>
      </c>
      <c r="AB70" s="7">
        <f t="shared" si="40"/>
        <v>-1818.8600000000006</v>
      </c>
      <c r="AC70" s="8">
        <f t="shared" si="41"/>
        <v>0.88412631267790109</v>
      </c>
      <c r="AD70" s="7">
        <f>((AD67)+(AD68))+(AD69)</f>
        <v>11632.93</v>
      </c>
      <c r="AE70" s="7">
        <f>((AE67)+(AE68))+(AE69)</f>
        <v>15696.92</v>
      </c>
      <c r="AF70" s="7">
        <f t="shared" si="42"/>
        <v>-4063.99</v>
      </c>
      <c r="AG70" s="8">
        <f t="shared" si="43"/>
        <v>0.7410963424671847</v>
      </c>
      <c r="AH70" s="7">
        <f>((AH67)+(AH68))+(AH69)</f>
        <v>12040.65</v>
      </c>
      <c r="AI70" s="7">
        <f>((AI67)+(AI68))+(AI69)</f>
        <v>15696.92</v>
      </c>
      <c r="AJ70" s="7">
        <f t="shared" si="44"/>
        <v>-3656.2700000000004</v>
      </c>
      <c r="AK70" s="8">
        <f t="shared" si="45"/>
        <v>0.76707086485756437</v>
      </c>
      <c r="AL70" s="7">
        <f>((AL67)+(AL68))+(AL69)</f>
        <v>17735.080000000002</v>
      </c>
      <c r="AM70" s="7">
        <f>((AM67)+(AM68))+(AM69)</f>
        <v>15696.92</v>
      </c>
      <c r="AN70" s="7">
        <f t="shared" si="46"/>
        <v>2038.1600000000017</v>
      </c>
      <c r="AO70" s="8">
        <f t="shared" si="47"/>
        <v>1.1298445809751214</v>
      </c>
      <c r="AP70" s="7">
        <f>((AP67)+(AP68))+(AP69)</f>
        <v>6452.26</v>
      </c>
      <c r="AQ70" s="7">
        <f>((AQ67)+(AQ68))+(AQ69)</f>
        <v>15696.92</v>
      </c>
      <c r="AR70" s="7">
        <f t="shared" si="48"/>
        <v>-9244.66</v>
      </c>
      <c r="AS70" s="8">
        <f t="shared" si="49"/>
        <v>0.4110526141434116</v>
      </c>
      <c r="AT70" s="7">
        <f>((AT67)+(AT68))+(AT69)</f>
        <v>0</v>
      </c>
      <c r="AU70" s="7">
        <f>((AU67)+(AU68))+(AU69)</f>
        <v>15696.9</v>
      </c>
      <c r="AV70" s="7">
        <f t="shared" si="50"/>
        <v>-15696.9</v>
      </c>
      <c r="AW70" s="8">
        <f t="shared" si="51"/>
        <v>0</v>
      </c>
      <c r="AX70" s="7">
        <f t="shared" si="52"/>
        <v>138742.97999999998</v>
      </c>
      <c r="AY70" s="7">
        <f t="shared" si="53"/>
        <v>188363.02000000002</v>
      </c>
      <c r="AZ70" s="7">
        <f t="shared" si="54"/>
        <v>-49620.040000000037</v>
      </c>
      <c r="BA70" s="8">
        <f t="shared" si="55"/>
        <v>0.73657228472977321</v>
      </c>
    </row>
    <row r="71" spans="1:53" x14ac:dyDescent="0.3">
      <c r="A71" s="3" t="s">
        <v>81</v>
      </c>
      <c r="B71" s="7">
        <f>(((((((((((((((((((B46)+(B47))+(B48))+(B49))+(B50))+(B51))+(B52))+(B53))+(B54))+(B55))+(B56))+(B57))+(B60))+(B61))+(B62))+(B63))+(B64))+(B65))+(B66))+(B70)</f>
        <v>35279.479999999996</v>
      </c>
      <c r="C71" s="7">
        <f>(((((((((((((((((((C46)+(C47))+(C48))+(C49))+(C50))+(C51))+(C52))+(C53))+(C54))+(C55))+(C56))+(C57))+(C60))+(C61))+(C62))+(C63))+(C64))+(C65))+(C66))+(C70)</f>
        <v>25392.739999999998</v>
      </c>
      <c r="D71" s="7">
        <f t="shared" si="28"/>
        <v>9886.739999999998</v>
      </c>
      <c r="E71" s="8">
        <f t="shared" si="29"/>
        <v>1.3893530198001476</v>
      </c>
      <c r="F71" s="7">
        <f>(((((((((((((((((((F46)+(F47))+(F48))+(F49))+(F50))+(F51))+(F52))+(F53))+(F54))+(F55))+(F56))+(F57))+(F60))+(F61))+(F62))+(F63))+(F64))+(F65))+(F66))+(F70)</f>
        <v>327654.25999999995</v>
      </c>
      <c r="G71" s="7">
        <f>(((((((((((((((((((G46)+(G47))+(G48))+(G49))+(G50))+(G51))+(G52))+(G53))+(G54))+(G55))+(G56))+(G57))+(G60))+(G61))+(G62))+(G63))+(G64))+(G65))+(G66))+(G70)</f>
        <v>25392.739999999998</v>
      </c>
      <c r="H71" s="7">
        <f t="shared" si="30"/>
        <v>302261.51999999996</v>
      </c>
      <c r="I71" s="8">
        <f t="shared" si="31"/>
        <v>12.903462170683431</v>
      </c>
      <c r="J71" s="7">
        <f>(((((((((((((((((((J46)+(J47))+(J48))+(J49))+(J50))+(J51))+(J52))+(J53))+(J54))+(J55))+(J56))+(J57))+(J60))+(J61))+(J62))+(J63))+(J64))+(J65))+(J66))+(J70)</f>
        <v>877103.09000000008</v>
      </c>
      <c r="K71" s="7">
        <f>(((((((((((((((((((K46)+(K47))+(K48))+(K49))+(K50))+(K51))+(K52))+(K53))+(K54))+(K55))+(K56))+(K57))+(K60))+(K61))+(K62))+(K63))+(K64))+(K65))+(K66))+(K70)</f>
        <v>25392.739999999998</v>
      </c>
      <c r="L71" s="7">
        <f t="shared" si="32"/>
        <v>851710.35000000009</v>
      </c>
      <c r="M71" s="8">
        <f t="shared" si="33"/>
        <v>34.541490599281531</v>
      </c>
      <c r="N71" s="7">
        <f>(((((((((((((((((((N46)+(N47))+(N48))+(N49))+(N50))+(N51))+(N52))+(N53))+(N54))+(N55))+(N56))+(N57))+(N60))+(N61))+(N62))+(N63))+(N64))+(N65))+(N66))+(N70)</f>
        <v>20495.259999999998</v>
      </c>
      <c r="O71" s="7">
        <f>(((((((((((((((((((O46)+(O47))+(O48))+(O49))+(O50))+(O51))+(O52))+(O53))+(O54))+(O55))+(O56))+(O57))+(O60))+(O61))+(O62))+(O63))+(O64))+(O65))+(O66))+(O70)</f>
        <v>25392.739999999998</v>
      </c>
      <c r="P71" s="7">
        <f t="shared" si="34"/>
        <v>-4897.4799999999996</v>
      </c>
      <c r="Q71" s="8">
        <f t="shared" si="35"/>
        <v>0.80713069956215833</v>
      </c>
      <c r="R71" s="7">
        <f>(((((((((((((((((((R46)+(R47))+(R48))+(R49))+(R50))+(R51))+(R52))+(R53))+(R54))+(R55))+(R56))+(R57))+(R60))+(R61))+(R62))+(R63))+(R64))+(R65))+(R66))+(R70)</f>
        <v>92893.17</v>
      </c>
      <c r="S71" s="7">
        <f>(((((((((((((((((((S46)+(S47))+(S48))+(S49))+(S50))+(S51))+(S52))+(S53))+(S54))+(S55))+(S56))+(S57))+(S60))+(S61))+(S62))+(S63))+(S64))+(S65))+(S66))+(S70)</f>
        <v>25392.739999999998</v>
      </c>
      <c r="T71" s="7">
        <f t="shared" si="36"/>
        <v>67500.429999999993</v>
      </c>
      <c r="U71" s="8">
        <f t="shared" si="37"/>
        <v>3.6582570451239214</v>
      </c>
      <c r="V71" s="7">
        <f>(((((((((((((((((((V46)+(V47))+(V48))+(V49))+(V50))+(V51))+(V52))+(V53))+(V54))+(V55))+(V56))+(V57))+(V60))+(V61))+(V62))+(V63))+(V64))+(V65))+(V66))+(V70)</f>
        <v>105827.91999999998</v>
      </c>
      <c r="W71" s="7">
        <f>(((((((((((((((((((W46)+(W47))+(W48))+(W49))+(W50))+(W51))+(W52))+(W53))+(W54))+(W55))+(W56))+(W57))+(W60))+(W61))+(W62))+(W63))+(W64))+(W65))+(W66))+(W70)</f>
        <v>25392.739999999998</v>
      </c>
      <c r="X71" s="7">
        <f t="shared" si="38"/>
        <v>80435.179999999993</v>
      </c>
      <c r="Y71" s="8">
        <f t="shared" si="39"/>
        <v>4.1676447677564532</v>
      </c>
      <c r="Z71" s="7">
        <f>(((((((((((((((((((Z46)+(Z47))+(Z48))+(Z49))+(Z50))+(Z51))+(Z52))+(Z53))+(Z54))+(Z55))+(Z56))+(Z57))+(Z60))+(Z61))+(Z62))+(Z63))+(Z64))+(Z65))+(Z66))+(Z70)</f>
        <v>16122.45</v>
      </c>
      <c r="AA71" s="7">
        <f>(((((((((((((((((((AA46)+(AA47))+(AA48))+(AA49))+(AA50))+(AA51))+(AA52))+(AA53))+(AA54))+(AA55))+(AA56))+(AA57))+(AA60))+(AA61))+(AA62))+(AA63))+(AA64))+(AA65))+(AA66))+(AA70)</f>
        <v>25392.739999999998</v>
      </c>
      <c r="AB71" s="7">
        <f t="shared" si="40"/>
        <v>-9270.2899999999972</v>
      </c>
      <c r="AC71" s="8">
        <f t="shared" si="41"/>
        <v>0.63492360414827242</v>
      </c>
      <c r="AD71" s="7">
        <f>(((((((((((((((((((AD46)+(AD47))+(AD48))+(AD49))+(AD50))+(AD51))+(AD52))+(AD53))+(AD54))+(AD55))+(AD56))+(AD57))+(AD60))+(AD61))+(AD62))+(AD63))+(AD64))+(AD65))+(AD66))+(AD70)</f>
        <v>19000.98</v>
      </c>
      <c r="AE71" s="7">
        <f>(((((((((((((((((((AE46)+(AE47))+(AE48))+(AE49))+(AE50))+(AE51))+(AE52))+(AE53))+(AE54))+(AE55))+(AE56))+(AE57))+(AE60))+(AE61))+(AE62))+(AE63))+(AE64))+(AE65))+(AE66))+(AE70)</f>
        <v>25392.739999999998</v>
      </c>
      <c r="AF71" s="7">
        <f t="shared" si="42"/>
        <v>-6391.7599999999984</v>
      </c>
      <c r="AG71" s="8">
        <f t="shared" si="43"/>
        <v>0.74828395832824657</v>
      </c>
      <c r="AH71" s="7">
        <f>(((((((((((((((((((AH46)+(AH47))+(AH48))+(AH49))+(AH50))+(AH51))+(AH52))+(AH53))+(AH54))+(AH55))+(AH56))+(AH57))+(AH60))+(AH61))+(AH62))+(AH63))+(AH64))+(AH65))+(AH66))+(AH70)</f>
        <v>14857.88</v>
      </c>
      <c r="AI71" s="7">
        <f>(((((((((((((((((((AI46)+(AI47))+(AI48))+(AI49))+(AI50))+(AI51))+(AI52))+(AI53))+(AI54))+(AI55))+(AI56))+(AI57))+(AI60))+(AI61))+(AI62))+(AI63))+(AI64))+(AI65))+(AI66))+(AI70)</f>
        <v>25392.739999999998</v>
      </c>
      <c r="AJ71" s="7">
        <f t="shared" si="44"/>
        <v>-10534.859999999999</v>
      </c>
      <c r="AK71" s="8">
        <f t="shared" si="45"/>
        <v>0.585123149372616</v>
      </c>
      <c r="AL71" s="7">
        <f>(((((((((((((((((((AL46)+(AL47))+(AL48))+(AL49))+(AL50))+(AL51))+(AL52))+(AL53))+(AL54))+(AL55))+(AL56))+(AL57))+(AL60))+(AL61))+(AL62))+(AL63))+(AL64))+(AL65))+(AL66))+(AL70)</f>
        <v>42309.81</v>
      </c>
      <c r="AM71" s="7">
        <f>(((((((((((((((((((AM46)+(AM47))+(AM48))+(AM49))+(AM50))+(AM51))+(AM52))+(AM53))+(AM54))+(AM55))+(AM56))+(AM57))+(AM60))+(AM61))+(AM62))+(AM63))+(AM64))+(AM65))+(AM66))+(AM70)</f>
        <v>25392.739999999998</v>
      </c>
      <c r="AN71" s="7">
        <f t="shared" si="46"/>
        <v>16917.07</v>
      </c>
      <c r="AO71" s="8">
        <f t="shared" si="47"/>
        <v>1.6662168005500786</v>
      </c>
      <c r="AP71" s="7">
        <f>(((((((((((((((((((AP46)+(AP47))+(AP48))+(AP49))+(AP50))+(AP51))+(AP52))+(AP53))+(AP54))+(AP55))+(AP56))+(AP57))+(AP60))+(AP61))+(AP62))+(AP63))+(AP64))+(AP65))+(AP66))+(AP70)</f>
        <v>6452.26</v>
      </c>
      <c r="AQ71" s="7">
        <f>(((((((((((((((((((AQ46)+(AQ47))+(AQ48))+(AQ49))+(AQ50))+(AQ51))+(AQ52))+(AQ53))+(AQ54))+(AQ55))+(AQ56))+(AQ57))+(AQ60))+(AQ61))+(AQ62))+(AQ63))+(AQ64))+(AQ65))+(AQ66))+(AQ70)</f>
        <v>25392.739999999998</v>
      </c>
      <c r="AR71" s="7">
        <f t="shared" si="48"/>
        <v>-18940.479999999996</v>
      </c>
      <c r="AS71" s="8">
        <f t="shared" si="49"/>
        <v>0.25409861243804333</v>
      </c>
      <c r="AT71" s="7">
        <f>(((((((((((((((((((AT46)+(AT47))+(AT48))+(AT49))+(AT50))+(AT51))+(AT52))+(AT53))+(AT54))+(AT55))+(AT56))+(AT57))+(AT60))+(AT61))+(AT62))+(AT63))+(AT64))+(AT65))+(AT66))+(AT70)</f>
        <v>0</v>
      </c>
      <c r="AU71" s="7">
        <f>(((((((((((((((((((AU46)+(AU47))+(AU48))+(AU49))+(AU50))+(AU51))+(AU52))+(AU53))+(AU54))+(AU55))+(AU56))+(AU57))+(AU60))+(AU61))+(AU62))+(AU63))+(AU64))+(AU65))+(AU66))+(AU70)</f>
        <v>25392.879999999997</v>
      </c>
      <c r="AV71" s="7">
        <f t="shared" si="50"/>
        <v>-25392.879999999997</v>
      </c>
      <c r="AW71" s="8">
        <f t="shared" si="51"/>
        <v>0</v>
      </c>
      <c r="AX71" s="7">
        <f t="shared" si="52"/>
        <v>1557996.5599999998</v>
      </c>
      <c r="AY71" s="7">
        <f t="shared" si="53"/>
        <v>304713.01999999996</v>
      </c>
      <c r="AZ71" s="7">
        <f t="shared" si="54"/>
        <v>1253283.5399999998</v>
      </c>
      <c r="BA71" s="8">
        <f t="shared" si="55"/>
        <v>5.1129963530931501</v>
      </c>
    </row>
    <row r="72" spans="1:53" x14ac:dyDescent="0.3">
      <c r="A72" s="3" t="s">
        <v>82</v>
      </c>
      <c r="B72" s="7">
        <f>(B44)-(B71)</f>
        <v>253736.86</v>
      </c>
      <c r="C72" s="7">
        <f>(C44)-(C71)</f>
        <v>-5919.4099999999962</v>
      </c>
      <c r="D72" s="7">
        <f t="shared" si="28"/>
        <v>259656.27</v>
      </c>
      <c r="E72" s="8">
        <f t="shared" si="29"/>
        <v>-42.865228122397362</v>
      </c>
      <c r="F72" s="7">
        <f>(F44)-(F71)</f>
        <v>-294962.10999999993</v>
      </c>
      <c r="G72" s="7">
        <f>(G44)-(G71)</f>
        <v>-5919.4099999999962</v>
      </c>
      <c r="H72" s="7">
        <f t="shared" si="30"/>
        <v>-289042.69999999995</v>
      </c>
      <c r="I72" s="8">
        <f t="shared" si="31"/>
        <v>49.829646873590463</v>
      </c>
      <c r="J72" s="7">
        <f>(J44)-(J71)</f>
        <v>-159.58000000007451</v>
      </c>
      <c r="K72" s="7">
        <f>(K44)-(K71)</f>
        <v>-5919.4099999999962</v>
      </c>
      <c r="L72" s="7">
        <f t="shared" si="32"/>
        <v>5759.8299999999217</v>
      </c>
      <c r="M72" s="8">
        <f t="shared" si="33"/>
        <v>2.695876785018686E-2</v>
      </c>
      <c r="N72" s="7">
        <f>(N44)-(N71)</f>
        <v>-1946.3500000000022</v>
      </c>
      <c r="O72" s="7">
        <f>(O44)-(O71)</f>
        <v>-5919.4099999999962</v>
      </c>
      <c r="P72" s="7">
        <f t="shared" si="34"/>
        <v>3973.059999999994</v>
      </c>
      <c r="Q72" s="8">
        <f t="shared" si="35"/>
        <v>0.3288081075647748</v>
      </c>
      <c r="R72" s="7">
        <f>(R44)-(R71)</f>
        <v>275622.92</v>
      </c>
      <c r="S72" s="7">
        <f>(S44)-(S71)</f>
        <v>-5919.4099999999962</v>
      </c>
      <c r="T72" s="7">
        <f t="shared" si="36"/>
        <v>281542.32999999996</v>
      </c>
      <c r="U72" s="8">
        <f t="shared" si="37"/>
        <v>-46.562566201699184</v>
      </c>
      <c r="V72" s="7">
        <f>(V44)-(V71)</f>
        <v>-57194.939999999988</v>
      </c>
      <c r="W72" s="7">
        <f>(W44)-(W71)</f>
        <v>-5919.4099999999962</v>
      </c>
      <c r="X72" s="7">
        <f t="shared" si="38"/>
        <v>-51275.529999999992</v>
      </c>
      <c r="Y72" s="8">
        <f t="shared" si="39"/>
        <v>9.6622703951914168</v>
      </c>
      <c r="Z72" s="7">
        <f>(Z44)-(Z71)</f>
        <v>89287.11</v>
      </c>
      <c r="AA72" s="7">
        <f>(AA44)-(AA71)</f>
        <v>-5919.4099999999962</v>
      </c>
      <c r="AB72" s="7">
        <f t="shared" si="40"/>
        <v>95206.51999999999</v>
      </c>
      <c r="AC72" s="8">
        <f t="shared" si="41"/>
        <v>-15.083785377258891</v>
      </c>
      <c r="AD72" s="7">
        <f>(AD44)-(AD71)</f>
        <v>-2917.6899999999987</v>
      </c>
      <c r="AE72" s="7">
        <f>(AE44)-(AE71)</f>
        <v>-5919.4099999999962</v>
      </c>
      <c r="AF72" s="7">
        <f t="shared" si="42"/>
        <v>3001.7199999999975</v>
      </c>
      <c r="AG72" s="8">
        <f t="shared" si="43"/>
        <v>0.49290216423596278</v>
      </c>
      <c r="AH72" s="7">
        <f>(AH44)-(AH71)</f>
        <v>2611.8700000000044</v>
      </c>
      <c r="AI72" s="7">
        <f>(AI44)-(AI71)</f>
        <v>-5919.4099999999962</v>
      </c>
      <c r="AJ72" s="7">
        <f t="shared" si="44"/>
        <v>8531.2800000000007</v>
      </c>
      <c r="AK72" s="8">
        <f t="shared" si="45"/>
        <v>-0.44123823151293895</v>
      </c>
      <c r="AL72" s="7">
        <f>(AL44)-(AL71)</f>
        <v>-24487.589999999997</v>
      </c>
      <c r="AM72" s="7">
        <f>(AM44)-(AM71)</f>
        <v>-5919.4099999999962</v>
      </c>
      <c r="AN72" s="7">
        <f t="shared" si="46"/>
        <v>-18568.18</v>
      </c>
      <c r="AO72" s="8">
        <f t="shared" si="47"/>
        <v>4.1368295151037033</v>
      </c>
      <c r="AP72" s="7">
        <f>(AP44)-(AP71)</f>
        <v>-6452.26</v>
      </c>
      <c r="AQ72" s="7">
        <f>(AQ44)-(AQ71)</f>
        <v>-5919.4099999999962</v>
      </c>
      <c r="AR72" s="7">
        <f t="shared" si="48"/>
        <v>-532.850000000004</v>
      </c>
      <c r="AS72" s="8">
        <f t="shared" si="49"/>
        <v>1.0900174172763848</v>
      </c>
      <c r="AT72" s="7">
        <f>(AT44)-(AT71)</f>
        <v>0</v>
      </c>
      <c r="AU72" s="7">
        <f>(AU44)-(AU71)</f>
        <v>-5919.5099999999948</v>
      </c>
      <c r="AV72" s="7">
        <f t="shared" si="50"/>
        <v>5919.5099999999948</v>
      </c>
      <c r="AW72" s="8">
        <f t="shared" si="51"/>
        <v>0</v>
      </c>
      <c r="AX72" s="7">
        <f t="shared" si="52"/>
        <v>233138.23999999996</v>
      </c>
      <c r="AY72" s="7">
        <f t="shared" si="53"/>
        <v>-71033.01999999996</v>
      </c>
      <c r="AZ72" s="7">
        <f t="shared" si="54"/>
        <v>304171.25999999989</v>
      </c>
      <c r="BA72" s="8">
        <f t="shared" si="55"/>
        <v>-3.2821107704557697</v>
      </c>
    </row>
    <row r="73" spans="1:53" x14ac:dyDescent="0.3">
      <c r="A73" s="3" t="s">
        <v>83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x14ac:dyDescent="0.3">
      <c r="A74" s="3" t="s">
        <v>84</v>
      </c>
      <c r="B74" s="5">
        <f>722.92</f>
        <v>722.92</v>
      </c>
      <c r="C74" s="5">
        <f>833.33</f>
        <v>833.33</v>
      </c>
      <c r="D74" s="5">
        <f>(B74)-(C74)</f>
        <v>-110.41000000000008</v>
      </c>
      <c r="E74" s="6">
        <f>IF(C74=0,"",(B74)/(C74))</f>
        <v>0.86750747002988005</v>
      </c>
      <c r="F74" s="5">
        <f>495.34</f>
        <v>495.34</v>
      </c>
      <c r="G74" s="5">
        <f>833.33</f>
        <v>833.33</v>
      </c>
      <c r="H74" s="5">
        <f>(F74)-(G74)</f>
        <v>-337.99000000000007</v>
      </c>
      <c r="I74" s="6">
        <f>IF(G74=0,"",(F74)/(G74))</f>
        <v>0.5944103776415105</v>
      </c>
      <c r="J74" s="5">
        <f>703.18</f>
        <v>703.18</v>
      </c>
      <c r="K74" s="5">
        <f>833.33</f>
        <v>833.33</v>
      </c>
      <c r="L74" s="5">
        <f>(J74)-(K74)</f>
        <v>-130.15000000000009</v>
      </c>
      <c r="M74" s="6">
        <f>IF(K74=0,"",(J74)/(K74))</f>
        <v>0.84381937527750106</v>
      </c>
      <c r="N74" s="5">
        <f>2279.94</f>
        <v>2279.94</v>
      </c>
      <c r="O74" s="5">
        <f>833.33</f>
        <v>833.33</v>
      </c>
      <c r="P74" s="5">
        <f>(N74)-(O74)</f>
        <v>1446.6100000000001</v>
      </c>
      <c r="Q74" s="6">
        <f>IF(O74=0,"",(N74)/(O74))</f>
        <v>2.7359389437557748</v>
      </c>
      <c r="R74" s="5">
        <f>706.34</f>
        <v>706.34</v>
      </c>
      <c r="S74" s="5">
        <f>833.33</f>
        <v>833.33</v>
      </c>
      <c r="T74" s="5">
        <f>(R74)-(S74)</f>
        <v>-126.99000000000001</v>
      </c>
      <c r="U74" s="6">
        <f>IF(S74=0,"",(R74)/(S74))</f>
        <v>0.84761139044556177</v>
      </c>
      <c r="V74" s="5">
        <f>731.7</f>
        <v>731.7</v>
      </c>
      <c r="W74" s="5">
        <f>833.33</f>
        <v>833.33</v>
      </c>
      <c r="X74" s="5">
        <f>(V74)-(W74)</f>
        <v>-101.63</v>
      </c>
      <c r="Y74" s="6">
        <f>IF(W74=0,"",(V74)/(W74))</f>
        <v>0.87804351217404875</v>
      </c>
      <c r="Z74" s="5">
        <f>2251.78</f>
        <v>2251.7800000000002</v>
      </c>
      <c r="AA74" s="5">
        <f>833.33</f>
        <v>833.33</v>
      </c>
      <c r="AB74" s="5">
        <f>(Z74)-(AA74)</f>
        <v>1418.4500000000003</v>
      </c>
      <c r="AC74" s="6">
        <f>IF(AA74=0,"",(Z74)/(AA74))</f>
        <v>2.7021468085872344</v>
      </c>
      <c r="AD74" s="5">
        <f>658.76</f>
        <v>658.76</v>
      </c>
      <c r="AE74" s="5">
        <f>833.33</f>
        <v>833.33</v>
      </c>
      <c r="AF74" s="5">
        <f>(AD74)-(AE74)</f>
        <v>-174.57000000000005</v>
      </c>
      <c r="AG74" s="6">
        <f>IF(AE74=0,"",(AD74)/(AE74))</f>
        <v>0.7905151620606482</v>
      </c>
      <c r="AH74" s="5">
        <f>-554.42</f>
        <v>-554.41999999999996</v>
      </c>
      <c r="AI74" s="5">
        <f>833.33</f>
        <v>833.33</v>
      </c>
      <c r="AJ74" s="5">
        <f>(AH74)-(AI74)</f>
        <v>-1387.75</v>
      </c>
      <c r="AK74" s="6">
        <f>IF(AI74=0,"",(AH74)/(AI74))</f>
        <v>-0.66530666122664484</v>
      </c>
      <c r="AL74" s="5">
        <f>417.58</f>
        <v>417.58</v>
      </c>
      <c r="AM74" s="5">
        <f>833.33</f>
        <v>833.33</v>
      </c>
      <c r="AN74" s="5">
        <f>(AL74)-(AM74)</f>
        <v>-415.75000000000006</v>
      </c>
      <c r="AO74" s="6">
        <f>IF(AM74=0,"",(AL74)/(AM74))</f>
        <v>0.50109800439201757</v>
      </c>
      <c r="AP74" s="4"/>
      <c r="AQ74" s="5">
        <f>833.33</f>
        <v>833.33</v>
      </c>
      <c r="AR74" s="5">
        <f>(AP74)-(AQ74)</f>
        <v>-833.33</v>
      </c>
      <c r="AS74" s="6">
        <f>IF(AQ74=0,"",(AP74)/(AQ74))</f>
        <v>0</v>
      </c>
      <c r="AT74" s="4"/>
      <c r="AU74" s="5">
        <f>833.37</f>
        <v>833.37</v>
      </c>
      <c r="AV74" s="5">
        <f>(AT74)-(AU74)</f>
        <v>-833.37</v>
      </c>
      <c r="AW74" s="6">
        <f>IF(AU74=0,"",(AT74)/(AU74))</f>
        <v>0</v>
      </c>
      <c r="AX74" s="5">
        <f>(((((((((((B74)+(F74))+(J74))+(N74))+(R74))+(V74))+(Z74))+(AD74))+(AH74))+(AL74))+(AP74))+(AT74)</f>
        <v>8413.1200000000008</v>
      </c>
      <c r="AY74" s="5">
        <f>(((((((((((C74)+(G74))+(K74))+(O74))+(S74))+(W74))+(AA74))+(AE74))+(AI74))+(AM74))+(AQ74))+(AU74)</f>
        <v>10000.000000000002</v>
      </c>
      <c r="AZ74" s="5">
        <f>(AX74)-(AY74)</f>
        <v>-1586.880000000001</v>
      </c>
      <c r="BA74" s="6">
        <f>IF(AY74=0,"",(AX74)/(AY74))</f>
        <v>0.84131199999999995</v>
      </c>
    </row>
    <row r="75" spans="1:53" x14ac:dyDescent="0.3">
      <c r="A75" s="3" t="s">
        <v>85</v>
      </c>
      <c r="B75" s="7">
        <f>B74</f>
        <v>722.92</v>
      </c>
      <c r="C75" s="7">
        <f>C74</f>
        <v>833.33</v>
      </c>
      <c r="D75" s="7">
        <f>(B75)-(C75)</f>
        <v>-110.41000000000008</v>
      </c>
      <c r="E75" s="8">
        <f>IF(C75=0,"",(B75)/(C75))</f>
        <v>0.86750747002988005</v>
      </c>
      <c r="F75" s="7">
        <f>F74</f>
        <v>495.34</v>
      </c>
      <c r="G75" s="7">
        <f>G74</f>
        <v>833.33</v>
      </c>
      <c r="H75" s="7">
        <f>(F75)-(G75)</f>
        <v>-337.99000000000007</v>
      </c>
      <c r="I75" s="8">
        <f>IF(G75=0,"",(F75)/(G75))</f>
        <v>0.5944103776415105</v>
      </c>
      <c r="J75" s="7">
        <f>J74</f>
        <v>703.18</v>
      </c>
      <c r="K75" s="7">
        <f>K74</f>
        <v>833.33</v>
      </c>
      <c r="L75" s="7">
        <f>(J75)-(K75)</f>
        <v>-130.15000000000009</v>
      </c>
      <c r="M75" s="8">
        <f>IF(K75=0,"",(J75)/(K75))</f>
        <v>0.84381937527750106</v>
      </c>
      <c r="N75" s="7">
        <f>N74</f>
        <v>2279.94</v>
      </c>
      <c r="O75" s="7">
        <f>O74</f>
        <v>833.33</v>
      </c>
      <c r="P75" s="7">
        <f>(N75)-(O75)</f>
        <v>1446.6100000000001</v>
      </c>
      <c r="Q75" s="8">
        <f>IF(O75=0,"",(N75)/(O75))</f>
        <v>2.7359389437557748</v>
      </c>
      <c r="R75" s="7">
        <f>R74</f>
        <v>706.34</v>
      </c>
      <c r="S75" s="7">
        <f>S74</f>
        <v>833.33</v>
      </c>
      <c r="T75" s="7">
        <f>(R75)-(S75)</f>
        <v>-126.99000000000001</v>
      </c>
      <c r="U75" s="8">
        <f>IF(S75=0,"",(R75)/(S75))</f>
        <v>0.84761139044556177</v>
      </c>
      <c r="V75" s="7">
        <f>V74</f>
        <v>731.7</v>
      </c>
      <c r="W75" s="7">
        <f>W74</f>
        <v>833.33</v>
      </c>
      <c r="X75" s="7">
        <f>(V75)-(W75)</f>
        <v>-101.63</v>
      </c>
      <c r="Y75" s="8">
        <f>IF(W75=0,"",(V75)/(W75))</f>
        <v>0.87804351217404875</v>
      </c>
      <c r="Z75" s="7">
        <f>Z74</f>
        <v>2251.7800000000002</v>
      </c>
      <c r="AA75" s="7">
        <f>AA74</f>
        <v>833.33</v>
      </c>
      <c r="AB75" s="7">
        <f>(Z75)-(AA75)</f>
        <v>1418.4500000000003</v>
      </c>
      <c r="AC75" s="8">
        <f>IF(AA75=0,"",(Z75)/(AA75))</f>
        <v>2.7021468085872344</v>
      </c>
      <c r="AD75" s="7">
        <f>AD74</f>
        <v>658.76</v>
      </c>
      <c r="AE75" s="7">
        <f>AE74</f>
        <v>833.33</v>
      </c>
      <c r="AF75" s="7">
        <f>(AD75)-(AE75)</f>
        <v>-174.57000000000005</v>
      </c>
      <c r="AG75" s="8">
        <f>IF(AE75=0,"",(AD75)/(AE75))</f>
        <v>0.7905151620606482</v>
      </c>
      <c r="AH75" s="7">
        <f>AH74</f>
        <v>-554.41999999999996</v>
      </c>
      <c r="AI75" s="7">
        <f>AI74</f>
        <v>833.33</v>
      </c>
      <c r="AJ75" s="7">
        <f>(AH75)-(AI75)</f>
        <v>-1387.75</v>
      </c>
      <c r="AK75" s="8">
        <f>IF(AI75=0,"",(AH75)/(AI75))</f>
        <v>-0.66530666122664484</v>
      </c>
      <c r="AL75" s="7">
        <f>AL74</f>
        <v>417.58</v>
      </c>
      <c r="AM75" s="7">
        <f>AM74</f>
        <v>833.33</v>
      </c>
      <c r="AN75" s="7">
        <f>(AL75)-(AM75)</f>
        <v>-415.75000000000006</v>
      </c>
      <c r="AO75" s="8">
        <f>IF(AM75=0,"",(AL75)/(AM75))</f>
        <v>0.50109800439201757</v>
      </c>
      <c r="AP75" s="7">
        <f>AP74</f>
        <v>0</v>
      </c>
      <c r="AQ75" s="7">
        <f>AQ74</f>
        <v>833.33</v>
      </c>
      <c r="AR75" s="7">
        <f>(AP75)-(AQ75)</f>
        <v>-833.33</v>
      </c>
      <c r="AS75" s="8">
        <f>IF(AQ75=0,"",(AP75)/(AQ75))</f>
        <v>0</v>
      </c>
      <c r="AT75" s="7">
        <f>AT74</f>
        <v>0</v>
      </c>
      <c r="AU75" s="7">
        <f>AU74</f>
        <v>833.37</v>
      </c>
      <c r="AV75" s="7">
        <f>(AT75)-(AU75)</f>
        <v>-833.37</v>
      </c>
      <c r="AW75" s="8">
        <f>IF(AU75=0,"",(AT75)/(AU75))</f>
        <v>0</v>
      </c>
      <c r="AX75" s="7">
        <f>(((((((((((B75)+(F75))+(J75))+(N75))+(R75))+(V75))+(Z75))+(AD75))+(AH75))+(AL75))+(AP75))+(AT75)</f>
        <v>8413.1200000000008</v>
      </c>
      <c r="AY75" s="7">
        <f>(((((((((((C75)+(G75))+(K75))+(O75))+(S75))+(W75))+(AA75))+(AE75))+(AI75))+(AM75))+(AQ75))+(AU75)</f>
        <v>10000.000000000002</v>
      </c>
      <c r="AZ75" s="7">
        <f>(AX75)-(AY75)</f>
        <v>-1586.880000000001</v>
      </c>
      <c r="BA75" s="8">
        <f>IF(AY75=0,"",(AX75)/(AY75))</f>
        <v>0.84131199999999995</v>
      </c>
    </row>
    <row r="76" spans="1:53" x14ac:dyDescent="0.3">
      <c r="A76" s="3" t="s">
        <v>86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x14ac:dyDescent="0.3">
      <c r="A77" s="3" t="s">
        <v>87</v>
      </c>
      <c r="B77" s="5">
        <f>3500</f>
        <v>3500</v>
      </c>
      <c r="C77" s="5">
        <f>3500</f>
        <v>3500</v>
      </c>
      <c r="D77" s="5">
        <f>(B77)-(C77)</f>
        <v>0</v>
      </c>
      <c r="E77" s="6">
        <f>IF(C77=0,"",(B77)/(C77))</f>
        <v>1</v>
      </c>
      <c r="F77" s="5">
        <f>3500</f>
        <v>3500</v>
      </c>
      <c r="G77" s="5">
        <f>3500</f>
        <v>3500</v>
      </c>
      <c r="H77" s="5">
        <f>(F77)-(G77)</f>
        <v>0</v>
      </c>
      <c r="I77" s="6">
        <f>IF(G77=0,"",(F77)/(G77))</f>
        <v>1</v>
      </c>
      <c r="J77" s="5">
        <f>3500</f>
        <v>3500</v>
      </c>
      <c r="K77" s="5">
        <f>3500</f>
        <v>3500</v>
      </c>
      <c r="L77" s="5">
        <f>(J77)-(K77)</f>
        <v>0</v>
      </c>
      <c r="M77" s="6">
        <f>IF(K77=0,"",(J77)/(K77))</f>
        <v>1</v>
      </c>
      <c r="N77" s="5">
        <f>3500</f>
        <v>3500</v>
      </c>
      <c r="O77" s="5">
        <f>3500</f>
        <v>3500</v>
      </c>
      <c r="P77" s="5">
        <f>(N77)-(O77)</f>
        <v>0</v>
      </c>
      <c r="Q77" s="6">
        <f>IF(O77=0,"",(N77)/(O77))</f>
        <v>1</v>
      </c>
      <c r="R77" s="5">
        <f>3500</f>
        <v>3500</v>
      </c>
      <c r="S77" s="5">
        <f>3500</f>
        <v>3500</v>
      </c>
      <c r="T77" s="5">
        <f>(R77)-(S77)</f>
        <v>0</v>
      </c>
      <c r="U77" s="6">
        <f>IF(S77=0,"",(R77)/(S77))</f>
        <v>1</v>
      </c>
      <c r="V77" s="5">
        <f>3500</f>
        <v>3500</v>
      </c>
      <c r="W77" s="5">
        <f>3500</f>
        <v>3500</v>
      </c>
      <c r="X77" s="5">
        <f>(V77)-(W77)</f>
        <v>0</v>
      </c>
      <c r="Y77" s="6">
        <f>IF(W77=0,"",(V77)/(W77))</f>
        <v>1</v>
      </c>
      <c r="Z77" s="5">
        <f>3500</f>
        <v>3500</v>
      </c>
      <c r="AA77" s="5">
        <f>3500</f>
        <v>3500</v>
      </c>
      <c r="AB77" s="5">
        <f>(Z77)-(AA77)</f>
        <v>0</v>
      </c>
      <c r="AC77" s="6">
        <f>IF(AA77=0,"",(Z77)/(AA77))</f>
        <v>1</v>
      </c>
      <c r="AD77" s="5">
        <f>3500</f>
        <v>3500</v>
      </c>
      <c r="AE77" s="5">
        <f>3500</f>
        <v>3500</v>
      </c>
      <c r="AF77" s="5">
        <f>(AD77)-(AE77)</f>
        <v>0</v>
      </c>
      <c r="AG77" s="6">
        <f>IF(AE77=0,"",(AD77)/(AE77))</f>
        <v>1</v>
      </c>
      <c r="AH77" s="5">
        <f>3530</f>
        <v>3530</v>
      </c>
      <c r="AI77" s="5">
        <f>3500</f>
        <v>3500</v>
      </c>
      <c r="AJ77" s="5">
        <f>(AH77)-(AI77)</f>
        <v>30</v>
      </c>
      <c r="AK77" s="6">
        <f>IF(AI77=0,"",(AH77)/(AI77))</f>
        <v>1.0085714285714287</v>
      </c>
      <c r="AL77" s="5">
        <f>3500</f>
        <v>3500</v>
      </c>
      <c r="AM77" s="5">
        <f>3500</f>
        <v>3500</v>
      </c>
      <c r="AN77" s="5">
        <f>(AL77)-(AM77)</f>
        <v>0</v>
      </c>
      <c r="AO77" s="6">
        <f>IF(AM77=0,"",(AL77)/(AM77))</f>
        <v>1</v>
      </c>
      <c r="AP77" s="4"/>
      <c r="AQ77" s="5">
        <f>3500</f>
        <v>3500</v>
      </c>
      <c r="AR77" s="5">
        <f>(AP77)-(AQ77)</f>
        <v>-3500</v>
      </c>
      <c r="AS77" s="6">
        <f>IF(AQ77=0,"",(AP77)/(AQ77))</f>
        <v>0</v>
      </c>
      <c r="AT77" s="4"/>
      <c r="AU77" s="5">
        <f>3500</f>
        <v>3500</v>
      </c>
      <c r="AV77" s="5">
        <f>(AT77)-(AU77)</f>
        <v>-3500</v>
      </c>
      <c r="AW77" s="6">
        <f>IF(AU77=0,"",(AT77)/(AU77))</f>
        <v>0</v>
      </c>
      <c r="AX77" s="5">
        <f t="shared" ref="AX77:AY81" si="56">(((((((((((B77)+(F77))+(J77))+(N77))+(R77))+(V77))+(Z77))+(AD77))+(AH77))+(AL77))+(AP77))+(AT77)</f>
        <v>35030</v>
      </c>
      <c r="AY77" s="5">
        <f t="shared" si="56"/>
        <v>42000</v>
      </c>
      <c r="AZ77" s="5">
        <f>(AX77)-(AY77)</f>
        <v>-6970</v>
      </c>
      <c r="BA77" s="6">
        <f>IF(AY77=0,"",(AX77)/(AY77))</f>
        <v>0.83404761904761904</v>
      </c>
    </row>
    <row r="78" spans="1:53" x14ac:dyDescent="0.3">
      <c r="A78" s="3" t="s">
        <v>88</v>
      </c>
      <c r="B78" s="5">
        <f>1125.01</f>
        <v>1125.01</v>
      </c>
      <c r="C78" s="5">
        <f>250</f>
        <v>250</v>
      </c>
      <c r="D78" s="5">
        <f>(B78)-(C78)</f>
        <v>875.01</v>
      </c>
      <c r="E78" s="6">
        <f>IF(C78=0,"",(B78)/(C78))</f>
        <v>4.5000400000000003</v>
      </c>
      <c r="F78" s="5">
        <f>1162.51</f>
        <v>1162.51</v>
      </c>
      <c r="G78" s="5">
        <f>250</f>
        <v>250</v>
      </c>
      <c r="H78" s="5">
        <f>(F78)-(G78)</f>
        <v>912.51</v>
      </c>
      <c r="I78" s="6">
        <f>IF(G78=0,"",(F78)/(G78))</f>
        <v>4.6500399999999997</v>
      </c>
      <c r="J78" s="5">
        <f>1204.73</f>
        <v>1204.73</v>
      </c>
      <c r="K78" s="5">
        <f>250</f>
        <v>250</v>
      </c>
      <c r="L78" s="5">
        <f>(J78)-(K78)</f>
        <v>954.73</v>
      </c>
      <c r="M78" s="6">
        <f>IF(K78=0,"",(J78)/(K78))</f>
        <v>4.8189200000000003</v>
      </c>
      <c r="N78" s="5">
        <f>1165.28</f>
        <v>1165.28</v>
      </c>
      <c r="O78" s="5">
        <f>250</f>
        <v>250</v>
      </c>
      <c r="P78" s="5">
        <f>(N78)-(O78)</f>
        <v>915.28</v>
      </c>
      <c r="Q78" s="6">
        <f>IF(O78=0,"",(N78)/(O78))</f>
        <v>4.6611199999999995</v>
      </c>
      <c r="R78" s="4"/>
      <c r="S78" s="5">
        <f>250</f>
        <v>250</v>
      </c>
      <c r="T78" s="5">
        <f>(R78)-(S78)</f>
        <v>-250</v>
      </c>
      <c r="U78" s="6">
        <f>IF(S78=0,"",(R78)/(S78))</f>
        <v>0</v>
      </c>
      <c r="V78" s="5">
        <f>2317.43</f>
        <v>2317.4299999999998</v>
      </c>
      <c r="W78" s="5">
        <f>250</f>
        <v>250</v>
      </c>
      <c r="X78" s="5">
        <f>(V78)-(W78)</f>
        <v>2067.4299999999998</v>
      </c>
      <c r="Y78" s="6">
        <f>IF(W78=0,"",(V78)/(W78))</f>
        <v>9.2697199999999995</v>
      </c>
      <c r="Z78" s="4"/>
      <c r="AA78" s="5">
        <f>250</f>
        <v>250</v>
      </c>
      <c r="AB78" s="5">
        <f>(Z78)-(AA78)</f>
        <v>-250</v>
      </c>
      <c r="AC78" s="6">
        <f>IF(AA78=0,"",(Z78)/(AA78))</f>
        <v>0</v>
      </c>
      <c r="AD78" s="5">
        <f>-2.16</f>
        <v>-2.16</v>
      </c>
      <c r="AE78" s="5">
        <f>250</f>
        <v>250</v>
      </c>
      <c r="AF78" s="5">
        <f>(AD78)-(AE78)</f>
        <v>-252.16</v>
      </c>
      <c r="AG78" s="6">
        <f>IF(AE78=0,"",(AD78)/(AE78))</f>
        <v>-8.6400000000000001E-3</v>
      </c>
      <c r="AH78" s="4"/>
      <c r="AI78" s="5">
        <f>250</f>
        <v>250</v>
      </c>
      <c r="AJ78" s="5">
        <f>(AH78)-(AI78)</f>
        <v>-250</v>
      </c>
      <c r="AK78" s="6">
        <f>IF(AI78=0,"",(AH78)/(AI78))</f>
        <v>0</v>
      </c>
      <c r="AL78" s="5">
        <f>47.45</f>
        <v>47.45</v>
      </c>
      <c r="AM78" s="5">
        <f>250</f>
        <v>250</v>
      </c>
      <c r="AN78" s="5">
        <f>(AL78)-(AM78)</f>
        <v>-202.55</v>
      </c>
      <c r="AO78" s="6">
        <f>IF(AM78=0,"",(AL78)/(AM78))</f>
        <v>0.18980000000000002</v>
      </c>
      <c r="AP78" s="4"/>
      <c r="AQ78" s="5">
        <f>250</f>
        <v>250</v>
      </c>
      <c r="AR78" s="5">
        <f>(AP78)-(AQ78)</f>
        <v>-250</v>
      </c>
      <c r="AS78" s="6">
        <f>IF(AQ78=0,"",(AP78)/(AQ78))</f>
        <v>0</v>
      </c>
      <c r="AT78" s="4"/>
      <c r="AU78" s="5">
        <f>250</f>
        <v>250</v>
      </c>
      <c r="AV78" s="5">
        <f>(AT78)-(AU78)</f>
        <v>-250</v>
      </c>
      <c r="AW78" s="6">
        <f>IF(AU78=0,"",(AT78)/(AU78))</f>
        <v>0</v>
      </c>
      <c r="AX78" s="5">
        <f t="shared" si="56"/>
        <v>7020.2499999999991</v>
      </c>
      <c r="AY78" s="5">
        <f t="shared" si="56"/>
        <v>3000</v>
      </c>
      <c r="AZ78" s="5">
        <f>(AX78)-(AY78)</f>
        <v>4020.2499999999991</v>
      </c>
      <c r="BA78" s="6">
        <f>IF(AY78=0,"",(AX78)/(AY78))</f>
        <v>2.3400833333333328</v>
      </c>
    </row>
    <row r="79" spans="1:53" x14ac:dyDescent="0.3">
      <c r="A79" s="3" t="s">
        <v>89</v>
      </c>
      <c r="B79" s="7">
        <f>(B77)+(B78)</f>
        <v>4625.01</v>
      </c>
      <c r="C79" s="7">
        <f>(C77)+(C78)</f>
        <v>3750</v>
      </c>
      <c r="D79" s="7">
        <f>(B79)-(C79)</f>
        <v>875.01000000000022</v>
      </c>
      <c r="E79" s="8">
        <f>IF(C79=0,"",(B79)/(C79))</f>
        <v>1.233336</v>
      </c>
      <c r="F79" s="7">
        <f>(F77)+(F78)</f>
        <v>4662.51</v>
      </c>
      <c r="G79" s="7">
        <f>(G77)+(G78)</f>
        <v>3750</v>
      </c>
      <c r="H79" s="7">
        <f>(F79)-(G79)</f>
        <v>912.51000000000022</v>
      </c>
      <c r="I79" s="8">
        <f>IF(G79=0,"",(F79)/(G79))</f>
        <v>1.243336</v>
      </c>
      <c r="J79" s="7">
        <f>(J77)+(J78)</f>
        <v>4704.7299999999996</v>
      </c>
      <c r="K79" s="7">
        <f>(K77)+(K78)</f>
        <v>3750</v>
      </c>
      <c r="L79" s="7">
        <f>(J79)-(K79)</f>
        <v>954.72999999999956</v>
      </c>
      <c r="M79" s="8">
        <f>IF(K79=0,"",(J79)/(K79))</f>
        <v>1.2545946666666665</v>
      </c>
      <c r="N79" s="7">
        <f>(N77)+(N78)</f>
        <v>4665.28</v>
      </c>
      <c r="O79" s="7">
        <f>(O77)+(O78)</f>
        <v>3750</v>
      </c>
      <c r="P79" s="7">
        <f>(N79)-(O79)</f>
        <v>915.27999999999975</v>
      </c>
      <c r="Q79" s="8">
        <f>IF(O79=0,"",(N79)/(O79))</f>
        <v>1.2440746666666667</v>
      </c>
      <c r="R79" s="7">
        <f>(R77)+(R78)</f>
        <v>3500</v>
      </c>
      <c r="S79" s="7">
        <f>(S77)+(S78)</f>
        <v>3750</v>
      </c>
      <c r="T79" s="7">
        <f>(R79)-(S79)</f>
        <v>-250</v>
      </c>
      <c r="U79" s="8">
        <f>IF(S79=0,"",(R79)/(S79))</f>
        <v>0.93333333333333335</v>
      </c>
      <c r="V79" s="7">
        <f>(V77)+(V78)</f>
        <v>5817.43</v>
      </c>
      <c r="W79" s="7">
        <f>(W77)+(W78)</f>
        <v>3750</v>
      </c>
      <c r="X79" s="7">
        <f>(V79)-(W79)</f>
        <v>2067.4300000000003</v>
      </c>
      <c r="Y79" s="8">
        <f>IF(W79=0,"",(V79)/(W79))</f>
        <v>1.5513146666666668</v>
      </c>
      <c r="Z79" s="7">
        <f>(Z77)+(Z78)</f>
        <v>3500</v>
      </c>
      <c r="AA79" s="7">
        <f>(AA77)+(AA78)</f>
        <v>3750</v>
      </c>
      <c r="AB79" s="7">
        <f>(Z79)-(AA79)</f>
        <v>-250</v>
      </c>
      <c r="AC79" s="8">
        <f>IF(AA79=0,"",(Z79)/(AA79))</f>
        <v>0.93333333333333335</v>
      </c>
      <c r="AD79" s="7">
        <f>(AD77)+(AD78)</f>
        <v>3497.84</v>
      </c>
      <c r="AE79" s="7">
        <f>(AE77)+(AE78)</f>
        <v>3750</v>
      </c>
      <c r="AF79" s="7">
        <f>(AD79)-(AE79)</f>
        <v>-252.15999999999985</v>
      </c>
      <c r="AG79" s="8">
        <f>IF(AE79=0,"",(AD79)/(AE79))</f>
        <v>0.93275733333333333</v>
      </c>
      <c r="AH79" s="7">
        <f>(AH77)+(AH78)</f>
        <v>3530</v>
      </c>
      <c r="AI79" s="7">
        <f>(AI77)+(AI78)</f>
        <v>3750</v>
      </c>
      <c r="AJ79" s="7">
        <f>(AH79)-(AI79)</f>
        <v>-220</v>
      </c>
      <c r="AK79" s="8">
        <f>IF(AI79=0,"",(AH79)/(AI79))</f>
        <v>0.94133333333333336</v>
      </c>
      <c r="AL79" s="7">
        <f>(AL77)+(AL78)</f>
        <v>3547.45</v>
      </c>
      <c r="AM79" s="7">
        <f>(AM77)+(AM78)</f>
        <v>3750</v>
      </c>
      <c r="AN79" s="7">
        <f>(AL79)-(AM79)</f>
        <v>-202.55000000000018</v>
      </c>
      <c r="AO79" s="8">
        <f>IF(AM79=0,"",(AL79)/(AM79))</f>
        <v>0.94598666666666664</v>
      </c>
      <c r="AP79" s="7">
        <f>(AP77)+(AP78)</f>
        <v>0</v>
      </c>
      <c r="AQ79" s="7">
        <f>(AQ77)+(AQ78)</f>
        <v>3750</v>
      </c>
      <c r="AR79" s="7">
        <f>(AP79)-(AQ79)</f>
        <v>-3750</v>
      </c>
      <c r="AS79" s="8">
        <f>IF(AQ79=0,"",(AP79)/(AQ79))</f>
        <v>0</v>
      </c>
      <c r="AT79" s="7">
        <f>(AT77)+(AT78)</f>
        <v>0</v>
      </c>
      <c r="AU79" s="7">
        <f>(AU77)+(AU78)</f>
        <v>3750</v>
      </c>
      <c r="AV79" s="7">
        <f>(AT79)-(AU79)</f>
        <v>-3750</v>
      </c>
      <c r="AW79" s="8">
        <f>IF(AU79=0,"",(AT79)/(AU79))</f>
        <v>0</v>
      </c>
      <c r="AX79" s="7">
        <f t="shared" si="56"/>
        <v>42050.25</v>
      </c>
      <c r="AY79" s="7">
        <f t="shared" si="56"/>
        <v>45000</v>
      </c>
      <c r="AZ79" s="7">
        <f>(AX79)-(AY79)</f>
        <v>-2949.75</v>
      </c>
      <c r="BA79" s="8">
        <f>IF(AY79=0,"",(AX79)/(AY79))</f>
        <v>0.93445</v>
      </c>
    </row>
    <row r="80" spans="1:53" x14ac:dyDescent="0.3">
      <c r="A80" s="3" t="s">
        <v>90</v>
      </c>
      <c r="B80" s="7">
        <f>(B75)-(B79)</f>
        <v>-3902.09</v>
      </c>
      <c r="C80" s="7">
        <f>(C75)-(C79)</f>
        <v>-2916.67</v>
      </c>
      <c r="D80" s="7">
        <f>(B80)-(C80)</f>
        <v>-985.42000000000007</v>
      </c>
      <c r="E80" s="8">
        <f>IF(C80=0,"",(B80)/(C80))</f>
        <v>1.337857899590972</v>
      </c>
      <c r="F80" s="7">
        <f>(F75)-(F79)</f>
        <v>-4167.17</v>
      </c>
      <c r="G80" s="7">
        <f>(G75)-(G79)</f>
        <v>-2916.67</v>
      </c>
      <c r="H80" s="7">
        <f>(F80)-(G80)</f>
        <v>-1250.5</v>
      </c>
      <c r="I80" s="8">
        <f>IF(G80=0,"",(F80)/(G80))</f>
        <v>1.4287423671515804</v>
      </c>
      <c r="J80" s="7">
        <f>(J75)-(J79)</f>
        <v>-4001.5499999999997</v>
      </c>
      <c r="K80" s="7">
        <f>(K75)-(K79)</f>
        <v>-2916.67</v>
      </c>
      <c r="L80" s="7">
        <f>(J80)-(K80)</f>
        <v>-1084.8799999999997</v>
      </c>
      <c r="M80" s="8">
        <f>IF(K80=0,"",(J80)/(K80))</f>
        <v>1.371958432047506</v>
      </c>
      <c r="N80" s="7">
        <f>(N75)-(N79)</f>
        <v>-2385.3399999999997</v>
      </c>
      <c r="O80" s="7">
        <f>(O75)-(O79)</f>
        <v>-2916.67</v>
      </c>
      <c r="P80" s="7">
        <f>(N80)-(O80)</f>
        <v>531.33000000000038</v>
      </c>
      <c r="Q80" s="8">
        <f>IF(O80=0,"",(N80)/(O80))</f>
        <v>0.81782992248008846</v>
      </c>
      <c r="R80" s="7">
        <f>(R75)-(R79)</f>
        <v>-2793.66</v>
      </c>
      <c r="S80" s="7">
        <f>(S75)-(S79)</f>
        <v>-2916.67</v>
      </c>
      <c r="T80" s="7">
        <f>(R80)-(S80)</f>
        <v>123.01000000000022</v>
      </c>
      <c r="U80" s="8">
        <f>IF(S80=0,"",(R80)/(S80))</f>
        <v>0.95782519105692443</v>
      </c>
      <c r="V80" s="7">
        <f>(V75)-(V79)</f>
        <v>-5085.7300000000005</v>
      </c>
      <c r="W80" s="7">
        <f>(W75)-(W79)</f>
        <v>-2916.67</v>
      </c>
      <c r="X80" s="7">
        <f>(V80)-(W80)</f>
        <v>-2169.0600000000004</v>
      </c>
      <c r="Y80" s="8">
        <f>IF(W80=0,"",(V80)/(W80))</f>
        <v>1.7436768643692979</v>
      </c>
      <c r="Z80" s="7">
        <f>(Z75)-(Z79)</f>
        <v>-1248.2199999999998</v>
      </c>
      <c r="AA80" s="7">
        <f>(AA75)-(AA79)</f>
        <v>-2916.67</v>
      </c>
      <c r="AB80" s="7">
        <f>(Z80)-(AA80)</f>
        <v>1668.4500000000003</v>
      </c>
      <c r="AC80" s="8">
        <f>IF(AA80=0,"",(Z80)/(AA80))</f>
        <v>0.42796065375925274</v>
      </c>
      <c r="AD80" s="7">
        <f>(AD75)-(AD79)</f>
        <v>-2839.08</v>
      </c>
      <c r="AE80" s="7">
        <f>(AE75)-(AE79)</f>
        <v>-2916.67</v>
      </c>
      <c r="AF80" s="7">
        <f>(AD80)-(AE80)</f>
        <v>77.590000000000146</v>
      </c>
      <c r="AG80" s="8">
        <f>IF(AE80=0,"",(AD80)/(AE80))</f>
        <v>0.97339774468829177</v>
      </c>
      <c r="AH80" s="7">
        <f>(AH75)-(AH79)</f>
        <v>-4084.42</v>
      </c>
      <c r="AI80" s="7">
        <f>(AI75)-(AI79)</f>
        <v>-2916.67</v>
      </c>
      <c r="AJ80" s="7">
        <f>(AH80)-(AI80)</f>
        <v>-1167.75</v>
      </c>
      <c r="AK80" s="8">
        <f>IF(AI80=0,"",(AH80)/(AI80))</f>
        <v>1.4003709710046046</v>
      </c>
      <c r="AL80" s="7">
        <f>(AL75)-(AL79)</f>
        <v>-3129.87</v>
      </c>
      <c r="AM80" s="7">
        <f>(AM75)-(AM79)</f>
        <v>-2916.67</v>
      </c>
      <c r="AN80" s="7">
        <f>(AL80)-(AM80)</f>
        <v>-213.19999999999982</v>
      </c>
      <c r="AO80" s="8">
        <f>IF(AM80=0,"",(AL80)/(AM80))</f>
        <v>1.0730970593176465</v>
      </c>
      <c r="AP80" s="7">
        <f>(AP75)-(AP79)</f>
        <v>0</v>
      </c>
      <c r="AQ80" s="7">
        <f>(AQ75)-(AQ79)</f>
        <v>-2916.67</v>
      </c>
      <c r="AR80" s="7">
        <f>(AP80)-(AQ80)</f>
        <v>2916.67</v>
      </c>
      <c r="AS80" s="8">
        <f>IF(AQ80=0,"",(AP80)/(AQ80))</f>
        <v>0</v>
      </c>
      <c r="AT80" s="7">
        <f>(AT75)-(AT79)</f>
        <v>0</v>
      </c>
      <c r="AU80" s="7">
        <f>(AU75)-(AU79)</f>
        <v>-2916.63</v>
      </c>
      <c r="AV80" s="7">
        <f>(AT80)-(AU80)</f>
        <v>2916.63</v>
      </c>
      <c r="AW80" s="8">
        <f>IF(AU80=0,"",(AT80)/(AU80))</f>
        <v>0</v>
      </c>
      <c r="AX80" s="7">
        <f t="shared" si="56"/>
        <v>-33637.129999999997</v>
      </c>
      <c r="AY80" s="7">
        <f t="shared" si="56"/>
        <v>-34999.999999999993</v>
      </c>
      <c r="AZ80" s="7">
        <f>(AX80)-(AY80)</f>
        <v>1362.8699999999953</v>
      </c>
      <c r="BA80" s="8">
        <f>IF(AY80=0,"",(AX80)/(AY80))</f>
        <v>0.96106085714285727</v>
      </c>
    </row>
    <row r="81" spans="1:53" x14ac:dyDescent="0.3">
      <c r="A81" s="3" t="s">
        <v>91</v>
      </c>
      <c r="B81" s="9">
        <f>(B72)+(B80)</f>
        <v>249834.77</v>
      </c>
      <c r="C81" s="9">
        <f>(C72)+(C80)</f>
        <v>-8836.0799999999963</v>
      </c>
      <c r="D81" s="9">
        <f>(B81)-(C81)</f>
        <v>258670.84999999998</v>
      </c>
      <c r="E81" s="10">
        <f>IF(C81=0,"",(B81)/(C81))</f>
        <v>-28.274389774651212</v>
      </c>
      <c r="F81" s="9">
        <f>(F72)+(F80)</f>
        <v>-299129.27999999991</v>
      </c>
      <c r="G81" s="9">
        <f>(G72)+(G80)</f>
        <v>-8836.0799999999963</v>
      </c>
      <c r="H81" s="9">
        <f>(F81)-(G81)</f>
        <v>-290293.1999999999</v>
      </c>
      <c r="I81" s="10">
        <f>IF(G81=0,"",(F81)/(G81))</f>
        <v>33.853165657169249</v>
      </c>
      <c r="J81" s="9">
        <f>(J72)+(J80)</f>
        <v>-4161.1300000000738</v>
      </c>
      <c r="K81" s="9">
        <f>(K72)+(K80)</f>
        <v>-8836.0799999999963</v>
      </c>
      <c r="L81" s="9">
        <f>(J81)-(K81)</f>
        <v>4674.9499999999225</v>
      </c>
      <c r="M81" s="10">
        <f>IF(K81=0,"",(J81)/(K81))</f>
        <v>0.47092488977013286</v>
      </c>
      <c r="N81" s="9">
        <f>(N72)+(N80)</f>
        <v>-4331.6900000000023</v>
      </c>
      <c r="O81" s="9">
        <f>(O72)+(O80)</f>
        <v>-8836.0799999999963</v>
      </c>
      <c r="P81" s="9">
        <f>(N81)-(O81)</f>
        <v>4504.389999999994</v>
      </c>
      <c r="Q81" s="10">
        <f>IF(O81=0,"",(N81)/(O81))</f>
        <v>0.49022756697540132</v>
      </c>
      <c r="R81" s="9">
        <f>(R72)+(R80)</f>
        <v>272829.26</v>
      </c>
      <c r="S81" s="9">
        <f>(S72)+(S80)</f>
        <v>-8836.0799999999963</v>
      </c>
      <c r="T81" s="9">
        <f>(R81)-(S81)</f>
        <v>281665.34000000003</v>
      </c>
      <c r="U81" s="10">
        <f>IF(S81=0,"",(R81)/(S81))</f>
        <v>-30.87673040533813</v>
      </c>
      <c r="V81" s="9">
        <f>(V72)+(V80)</f>
        <v>-62280.669999999991</v>
      </c>
      <c r="W81" s="9">
        <f>(W72)+(W80)</f>
        <v>-8836.0799999999963</v>
      </c>
      <c r="X81" s="9">
        <f>(V81)-(W81)</f>
        <v>-53444.59</v>
      </c>
      <c r="Y81" s="10">
        <f>IF(W81=0,"",(V81)/(W81))</f>
        <v>7.0484502177436168</v>
      </c>
      <c r="Z81" s="9">
        <f>(Z72)+(Z80)</f>
        <v>88038.89</v>
      </c>
      <c r="AA81" s="9">
        <f>(AA72)+(AA80)</f>
        <v>-8836.0799999999963</v>
      </c>
      <c r="AB81" s="9">
        <f>(Z81)-(AA81)</f>
        <v>96874.97</v>
      </c>
      <c r="AC81" s="10">
        <f>IF(AA81=0,"",(Z81)/(AA81))</f>
        <v>-9.963568686566898</v>
      </c>
      <c r="AD81" s="9">
        <f>(AD72)+(AD80)</f>
        <v>-5756.7699999999986</v>
      </c>
      <c r="AE81" s="9">
        <f>(AE72)+(AE80)</f>
        <v>-8836.0799999999963</v>
      </c>
      <c r="AF81" s="9">
        <f>(AD81)-(AE81)</f>
        <v>3079.3099999999977</v>
      </c>
      <c r="AG81" s="10">
        <f>IF(AE81=0,"",(AD81)/(AE81))</f>
        <v>0.65150722945016348</v>
      </c>
      <c r="AH81" s="9">
        <f>(AH72)+(AH80)</f>
        <v>-1472.5499999999956</v>
      </c>
      <c r="AI81" s="9">
        <f>(AI72)+(AI80)</f>
        <v>-8836.0799999999963</v>
      </c>
      <c r="AJ81" s="9">
        <f>(AH81)-(AI81)</f>
        <v>7363.5300000000007</v>
      </c>
      <c r="AK81" s="10">
        <f>IF(AI81=0,"",(AH81)/(AI81))</f>
        <v>0.16665195426025978</v>
      </c>
      <c r="AL81" s="9">
        <f>(AL72)+(AL80)</f>
        <v>-27617.459999999995</v>
      </c>
      <c r="AM81" s="9">
        <f>(AM72)+(AM80)</f>
        <v>-8836.0799999999963</v>
      </c>
      <c r="AN81" s="9">
        <f>(AL81)-(AM81)</f>
        <v>-18781.379999999997</v>
      </c>
      <c r="AO81" s="10">
        <f>IF(AM81=0,"",(AL81)/(AM81))</f>
        <v>3.1255330418013427</v>
      </c>
      <c r="AP81" s="9">
        <f>(AP72)+(AP80)</f>
        <v>-6452.26</v>
      </c>
      <c r="AQ81" s="9">
        <f>(AQ72)+(AQ80)</f>
        <v>-8836.0799999999963</v>
      </c>
      <c r="AR81" s="9">
        <f>(AP81)-(AQ81)</f>
        <v>2383.8199999999961</v>
      </c>
      <c r="AS81" s="10">
        <f>IF(AQ81=0,"",(AP81)/(AQ81))</f>
        <v>0.73021747200115916</v>
      </c>
      <c r="AT81" s="9">
        <f>(AT72)+(AT80)</f>
        <v>0</v>
      </c>
      <c r="AU81" s="9">
        <f>(AU72)+(AU80)</f>
        <v>-8836.1399999999958</v>
      </c>
      <c r="AV81" s="9">
        <f>(AT81)-(AU81)</f>
        <v>8836.1399999999958</v>
      </c>
      <c r="AW81" s="10">
        <f>IF(AU81=0,"",(AT81)/(AU81))</f>
        <v>0</v>
      </c>
      <c r="AX81" s="9">
        <f t="shared" si="56"/>
        <v>199501.11000000004</v>
      </c>
      <c r="AY81" s="9">
        <f t="shared" si="56"/>
        <v>-106033.01999999997</v>
      </c>
      <c r="AZ81" s="9">
        <f>(AX81)-(AY81)</f>
        <v>305534.13</v>
      </c>
      <c r="BA81" s="10">
        <f>IF(AY81=0,"",(AX81)/(AY81))</f>
        <v>-1.8814998384465527</v>
      </c>
    </row>
    <row r="82" spans="1:53" x14ac:dyDescent="0.3">
      <c r="A82" s="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5" spans="1:53" x14ac:dyDescent="0.3">
      <c r="A85" s="13" t="s">
        <v>92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</sheetData>
  <mergeCells count="17">
    <mergeCell ref="AP5:AS5"/>
    <mergeCell ref="AT5:AW5"/>
    <mergeCell ref="AX5:BA5"/>
    <mergeCell ref="A85:BA85"/>
    <mergeCell ref="A1:BA1"/>
    <mergeCell ref="A2:BA2"/>
    <mergeCell ref="A3:BA3"/>
    <mergeCell ref="V5:Y5"/>
    <mergeCell ref="Z5:AC5"/>
    <mergeCell ref="AD5:AG5"/>
    <mergeCell ref="AH5:AK5"/>
    <mergeCell ref="AL5:AO5"/>
    <mergeCell ref="B5:E5"/>
    <mergeCell ref="F5:I5"/>
    <mergeCell ref="J5:M5"/>
    <mergeCell ref="N5:Q5"/>
    <mergeCell ref="R5:U5"/>
  </mergeCells>
  <pageMargins left="0.7" right="0.7" top="0.75" bottom="0.75" header="0.3" footer="0.3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Tai Bickert</cp:lastModifiedBy>
  <cp:lastPrinted>2026-05-04T23:38:14Z</cp:lastPrinted>
  <dcterms:created xsi:type="dcterms:W3CDTF">2026-05-04T23:36:13Z</dcterms:created>
  <dcterms:modified xsi:type="dcterms:W3CDTF">2026-05-04T23:39:39Z</dcterms:modified>
</cp:coreProperties>
</file>