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.hornsby\Desktop\"/>
    </mc:Choice>
  </mc:AlternateContent>
  <xr:revisionPtr revIDLastSave="0" documentId="13_ncr:1_{D64E57EA-A050-41B2-9EF5-1556122F8366}" xr6:coauthVersionLast="47" xr6:coauthVersionMax="47" xr10:uidLastSave="{00000000-0000-0000-0000-000000000000}"/>
  <workbookProtection workbookAlgorithmName="SHA-512" workbookHashValue="NBwwOVWY/gTKPKK/82JKMnf7YhuXc1TjVxuHKM0eSoCONzziEhEnGXr5PAtXQ744O/PdmaVDkMMdr3585DdQ5g==" workbookSaltValue="LQeN1PaNRNu2mvREbMHQiw==" workbookSpinCount="100000" lockStructure="1"/>
  <bookViews>
    <workbookView xWindow="28680" yWindow="-120" windowWidth="29040" windowHeight="17640" xr2:uid="{0374B990-66D1-4641-A2ED-A232C315E16F}"/>
  </bookViews>
  <sheets>
    <sheet name="Calculator" sheetId="1" r:id="rId1"/>
    <sheet name="Calculations" sheetId="5" state="hidden" r:id="rId2"/>
    <sheet name="Price List" sheetId="2" state="hidden" r:id="rId3"/>
    <sheet name="Product List" sheetId="3" state="hidden" r:id="rId4"/>
  </sheets>
  <definedNames>
    <definedName name="EnhancedGrain">Calculations!$B$6:$B$7</definedName>
    <definedName name="LastaGrip">Calculations!$D$6:$D$7</definedName>
    <definedName name="No">Calculations!$C$11</definedName>
    <definedName name="WeatheredOak">Calculations!$C$6:$C$7</definedName>
    <definedName name="Yes">Calculations!$B$11:$B$14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1" l="1"/>
  <c r="N26" i="1"/>
  <c r="M26" i="1"/>
  <c r="N24" i="1"/>
  <c r="O23" i="1"/>
  <c r="N23" i="1"/>
  <c r="M23" i="1"/>
  <c r="O22" i="1"/>
  <c r="M22" i="1"/>
  <c r="N22" i="1" s="1"/>
  <c r="O21" i="1"/>
  <c r="M21" i="1"/>
  <c r="N21" i="1" s="1"/>
  <c r="O20" i="1"/>
  <c r="M20" i="1"/>
  <c r="N20" i="1" s="1"/>
  <c r="O19" i="1"/>
  <c r="N19" i="1"/>
  <c r="M19" i="1"/>
  <c r="O16" i="1"/>
  <c r="N16" i="1"/>
  <c r="M16" i="1"/>
  <c r="M15" i="1"/>
  <c r="O15" i="1" s="1"/>
  <c r="M14" i="1"/>
  <c r="O14" i="1" s="1"/>
  <c r="O13" i="1"/>
  <c r="M13" i="1"/>
  <c r="N13" i="1" s="1"/>
  <c r="O12" i="1"/>
  <c r="N12" i="1"/>
  <c r="M12" i="1"/>
  <c r="M11" i="1"/>
  <c r="N11" i="1" s="1"/>
  <c r="O10" i="1"/>
  <c r="N10" i="1"/>
  <c r="M10" i="1"/>
  <c r="O9" i="1"/>
  <c r="M18" i="1" s="1"/>
  <c r="N9" i="1"/>
  <c r="M9" i="1"/>
  <c r="O8" i="1"/>
  <c r="N8" i="1"/>
  <c r="M8" i="1"/>
  <c r="O7" i="1"/>
  <c r="N7" i="1"/>
  <c r="M7" i="1"/>
  <c r="O6" i="1"/>
  <c r="N6" i="1"/>
  <c r="O5" i="1"/>
  <c r="N5" i="1"/>
  <c r="M5" i="1"/>
  <c r="O27" i="1"/>
  <c r="N27" i="1"/>
  <c r="M27" i="1"/>
  <c r="M6" i="1"/>
  <c r="J8" i="5"/>
  <c r="M7" i="5"/>
  <c r="J7" i="5" s="1"/>
  <c r="K8" i="5"/>
  <c r="L8" i="5"/>
  <c r="J9" i="5"/>
  <c r="K9" i="5" s="1"/>
  <c r="L9" i="5"/>
  <c r="M9" i="5"/>
  <c r="J10" i="5"/>
  <c r="L10" i="5"/>
  <c r="M10" i="5"/>
  <c r="M12" i="5"/>
  <c r="Q7" i="5"/>
  <c r="N7" i="5" s="1"/>
  <c r="E2" i="5"/>
  <c r="N22" i="5"/>
  <c r="M22" i="5"/>
  <c r="L22" i="5"/>
  <c r="K22" i="5"/>
  <c r="J22" i="5"/>
  <c r="N21" i="5"/>
  <c r="M21" i="5"/>
  <c r="L21" i="5"/>
  <c r="K21" i="5"/>
  <c r="J21" i="5"/>
  <c r="N20" i="5"/>
  <c r="M20" i="5"/>
  <c r="L16" i="5"/>
  <c r="L15" i="5"/>
  <c r="Q14" i="5"/>
  <c r="P14" i="5"/>
  <c r="O14" i="5"/>
  <c r="M14" i="5"/>
  <c r="L14" i="5"/>
  <c r="P13" i="5"/>
  <c r="O13" i="5"/>
  <c r="M13" i="5"/>
  <c r="L13" i="5"/>
  <c r="P12" i="5"/>
  <c r="L12" i="5"/>
  <c r="L17" i="5"/>
  <c r="J15" i="5"/>
  <c r="N14" i="5"/>
  <c r="K14" i="5"/>
  <c r="R7" i="5"/>
  <c r="I3" i="5"/>
  <c r="A2" i="5"/>
  <c r="D2" i="5"/>
  <c r="C2" i="5"/>
  <c r="Q16" i="5"/>
  <c r="P16" i="5"/>
  <c r="O16" i="5"/>
  <c r="N16" i="5"/>
  <c r="M16" i="5"/>
  <c r="K16" i="5"/>
  <c r="J16" i="5"/>
  <c r="Q15" i="5"/>
  <c r="P15" i="5"/>
  <c r="O15" i="5"/>
  <c r="N15" i="5"/>
  <c r="M15" i="5"/>
  <c r="K15" i="5"/>
  <c r="J14" i="5"/>
  <c r="Q13" i="5"/>
  <c r="N13" i="5"/>
  <c r="K13" i="5"/>
  <c r="J13" i="5"/>
  <c r="Q12" i="5"/>
  <c r="N12" i="5"/>
  <c r="K12" i="5"/>
  <c r="J12" i="5"/>
  <c r="G12" i="5"/>
  <c r="G11" i="5"/>
  <c r="G10" i="5"/>
  <c r="G9" i="5"/>
  <c r="G8" i="5"/>
  <c r="G7" i="5"/>
  <c r="G6" i="5"/>
  <c r="G5" i="5"/>
  <c r="K3" i="5"/>
  <c r="J2" i="5"/>
  <c r="O18" i="1" l="1"/>
  <c r="N18" i="1"/>
  <c r="O11" i="1"/>
  <c r="N14" i="1"/>
  <c r="N15" i="1"/>
  <c r="M17" i="1"/>
  <c r="M8" i="5"/>
  <c r="L7" i="5"/>
  <c r="K7" i="5"/>
  <c r="O12" i="5"/>
  <c r="P7" i="5"/>
  <c r="O7" i="5"/>
  <c r="O17" i="1" l="1"/>
  <c r="N17" i="1"/>
  <c r="J3" i="5"/>
  <c r="Q14" i="1" l="1"/>
  <c r="Q13" i="1"/>
  <c r="Q12" i="1"/>
  <c r="Q11" i="1"/>
  <c r="T10" i="1"/>
  <c r="Q10" i="1"/>
  <c r="T9" i="1"/>
  <c r="Q9" i="1"/>
  <c r="T8" i="1"/>
  <c r="Q8" i="1"/>
  <c r="T7" i="1"/>
  <c r="Q7" i="1"/>
  <c r="H38" i="5" l="1"/>
  <c r="H35" i="5"/>
  <c r="H37" i="5"/>
  <c r="H42" i="5"/>
  <c r="H30" i="5"/>
  <c r="H33" i="5"/>
  <c r="H29" i="5"/>
  <c r="H27" i="5"/>
  <c r="H40" i="5" s="1"/>
  <c r="I4" i="5"/>
  <c r="I5" i="5" s="1"/>
  <c r="H34" i="5" l="1"/>
  <c r="H44" i="5"/>
  <c r="H43" i="5"/>
  <c r="H39" i="5"/>
  <c r="H28" i="5"/>
  <c r="H31" i="5"/>
  <c r="H32" i="5"/>
  <c r="H41" i="5"/>
  <c r="J23" i="5" l="1"/>
  <c r="J20" i="5" s="1"/>
  <c r="K23" i="5"/>
  <c r="M23" i="5"/>
  <c r="N23" i="5"/>
  <c r="L23" i="5"/>
  <c r="L20" i="5" l="1"/>
  <c r="K2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2" authorId="0" shapeId="0" xr:uid="{A37F9ED6-D3D1-4810-A168-4DDB6022D3B1}">
      <text>
        <r>
          <rPr>
            <sz val="10"/>
            <color rgb="FF000000"/>
            <rFont val="Arial"/>
            <family val="2"/>
          </rPr>
          <t>Min Height for plas pro 50x50 or Duospan 51mm with DuoLift is   100mm 
Min Height for DuoSpan 99mm with Duolift is 150mm</t>
        </r>
      </text>
    </comment>
  </commentList>
</comments>
</file>

<file path=xl/sharedStrings.xml><?xml version="1.0" encoding="utf-8"?>
<sst xmlns="http://schemas.openxmlformats.org/spreadsheetml/2006/main" count="594" uniqueCount="337">
  <si>
    <t>SB Boards</t>
  </si>
  <si>
    <t>Code</t>
  </si>
  <si>
    <t>Quantity</t>
  </si>
  <si>
    <t>Boards Required</t>
  </si>
  <si>
    <t>MDE176B</t>
  </si>
  <si>
    <t>EnhancedGrain</t>
  </si>
  <si>
    <t>WeatheredOak</t>
  </si>
  <si>
    <t>LastaGrip</t>
  </si>
  <si>
    <t>Residential</t>
  </si>
  <si>
    <t>Brushed Basalt</t>
  </si>
  <si>
    <t>Height</t>
  </si>
  <si>
    <t>Yes</t>
  </si>
  <si>
    <t>No</t>
  </si>
  <si>
    <t>Commercial</t>
  </si>
  <si>
    <t>Coppered Oak</t>
  </si>
  <si>
    <t>SB</t>
  </si>
  <si>
    <t>PlasPro to Duospan Screws</t>
  </si>
  <si>
    <t>Fascia Screws</t>
  </si>
  <si>
    <t>Hexhead Screws</t>
  </si>
  <si>
    <t>PlasPro fascia Support</t>
  </si>
  <si>
    <t>25mm Plas Pro Fixings</t>
  </si>
  <si>
    <t>Project Type</t>
  </si>
  <si>
    <t>Board Type</t>
  </si>
  <si>
    <t>Colour</t>
  </si>
  <si>
    <t>Screws Required (Boxes)</t>
  </si>
  <si>
    <t>FT60P250</t>
  </si>
  <si>
    <t>Golden Oak</t>
  </si>
  <si>
    <t>Edging</t>
  </si>
  <si>
    <t>MEBB360B</t>
  </si>
  <si>
    <t>Limed Oak</t>
  </si>
  <si>
    <t>Fascia</t>
  </si>
  <si>
    <t>MFN360B</t>
  </si>
  <si>
    <t>Smoked Oak</t>
  </si>
  <si>
    <t>Joists</t>
  </si>
  <si>
    <t>P1205B300</t>
  </si>
  <si>
    <t>Stockist</t>
  </si>
  <si>
    <t>Jarrah</t>
  </si>
  <si>
    <t>SB Board?</t>
  </si>
  <si>
    <t>SB Coverage Type</t>
  </si>
  <si>
    <t>Posts</t>
  </si>
  <si>
    <t>P1010B300</t>
  </si>
  <si>
    <t>N/A</t>
  </si>
  <si>
    <t>Non Stockist</t>
  </si>
  <si>
    <t>Burnt Cedar</t>
  </si>
  <si>
    <t>Beams</t>
  </si>
  <si>
    <t>Joist Inserts</t>
  </si>
  <si>
    <t>Hold Down Clips</t>
  </si>
  <si>
    <t>90° Brackets</t>
  </si>
  <si>
    <t>Straight Brackets</t>
  </si>
  <si>
    <t>Flexi Brackets</t>
  </si>
  <si>
    <t>FH90P050</t>
  </si>
  <si>
    <t>Every 2nd Board</t>
  </si>
  <si>
    <t>Antique Oak</t>
  </si>
  <si>
    <t>DuoSpan - 51mm Joist + Duo Lift</t>
  </si>
  <si>
    <t>Every 3rd Board</t>
  </si>
  <si>
    <t>DuoSpan - 99mm Joist + Duolift</t>
  </si>
  <si>
    <t>Every 4th Board</t>
  </si>
  <si>
    <t>Bullnosed Board</t>
  </si>
  <si>
    <t>DuoSpan - 99mm Joist + Posts</t>
  </si>
  <si>
    <t>Flexi Square</t>
  </si>
  <si>
    <t>PlasPro - 125x50 Joist + Posts</t>
  </si>
  <si>
    <t>Flexi Bullnose</t>
  </si>
  <si>
    <t>PlasPro - 50x50 Joist + Duolift</t>
  </si>
  <si>
    <t>FT35P100</t>
  </si>
  <si>
    <t xml:space="preserve">Plas Pro - 60x30 </t>
  </si>
  <si>
    <t>No Subframe</t>
  </si>
  <si>
    <t>Decking Waste %</t>
  </si>
  <si>
    <t>Edging Waste %</t>
  </si>
  <si>
    <t>Fascia Waste %</t>
  </si>
  <si>
    <t>Lengths</t>
  </si>
  <si>
    <t>15-60mm Cradle</t>
  </si>
  <si>
    <t>20mm Joint</t>
  </si>
  <si>
    <t>45mm Riser</t>
  </si>
  <si>
    <t>45mm Feet</t>
  </si>
  <si>
    <t>Pads</t>
  </si>
  <si>
    <t>%</t>
  </si>
  <si>
    <t>Vintage</t>
  </si>
  <si>
    <t>Driftwood</t>
  </si>
  <si>
    <t>Embered</t>
  </si>
  <si>
    <t>FFL Height from Sub-base (in mm)</t>
  </si>
  <si>
    <t>Subframe type</t>
  </si>
  <si>
    <t>Paint</t>
  </si>
  <si>
    <t>AP500B</t>
  </si>
  <si>
    <t>Spacers</t>
  </si>
  <si>
    <t>FP36P010</t>
  </si>
  <si>
    <t>Side-Fixing Guide Kit</t>
  </si>
  <si>
    <t>FPFGK</t>
  </si>
  <si>
    <t>MDE126B</t>
  </si>
  <si>
    <t>FT45P250</t>
  </si>
  <si>
    <t>K9968J360</t>
  </si>
  <si>
    <t>K1363B360</t>
  </si>
  <si>
    <t>K48CP030</t>
  </si>
  <si>
    <t>FD50P100</t>
  </si>
  <si>
    <t>K2554B240</t>
  </si>
  <si>
    <t>K99RP010</t>
  </si>
  <si>
    <t>K99LP010</t>
  </si>
  <si>
    <t>K99FP010</t>
  </si>
  <si>
    <t>FHD0855</t>
  </si>
  <si>
    <t>Millboard®</t>
  </si>
  <si>
    <t>Merchant</t>
  </si>
  <si>
    <t>Trade</t>
  </si>
  <si>
    <t>Special Net</t>
  </si>
  <si>
    <t>Internet Trader</t>
  </si>
  <si>
    <t>RRP</t>
  </si>
  <si>
    <t>MDE176A</t>
  </si>
  <si>
    <t>MDE176C</t>
  </si>
  <si>
    <t>MDE176D</t>
  </si>
  <si>
    <t>MDE176G</t>
  </si>
  <si>
    <t>MDE176J</t>
  </si>
  <si>
    <t>MDE176L</t>
  </si>
  <si>
    <t>MDE176R</t>
  </si>
  <si>
    <t>MDW200D</t>
  </si>
  <si>
    <t>MDW200R</t>
  </si>
  <si>
    <t>MDW200V</t>
  </si>
  <si>
    <t>MDL200C</t>
  </si>
  <si>
    <t>MDL200G</t>
  </si>
  <si>
    <t>MEBB360A</t>
  </si>
  <si>
    <t>MEBB360C</t>
  </si>
  <si>
    <t>MEBB360D</t>
  </si>
  <si>
    <t>MEBB360G</t>
  </si>
  <si>
    <t>MEBB360J</t>
  </si>
  <si>
    <t>MEBB360L</t>
  </si>
  <si>
    <t>MEBB360R</t>
  </si>
  <si>
    <t>MEBB360V</t>
  </si>
  <si>
    <t>Fascia Board</t>
  </si>
  <si>
    <t>MFN360A</t>
  </si>
  <si>
    <t>MFN360C</t>
  </si>
  <si>
    <t>MFN360D</t>
  </si>
  <si>
    <t>MFN360G</t>
  </si>
  <si>
    <t>MFN360J</t>
  </si>
  <si>
    <t>MFN360L</t>
  </si>
  <si>
    <t>MFN360R</t>
  </si>
  <si>
    <t>MFN360V</t>
  </si>
  <si>
    <t>MEBF50A</t>
  </si>
  <si>
    <t>MEBF50B</t>
  </si>
  <si>
    <t>MEBF50C</t>
  </si>
  <si>
    <t>MEBF50D</t>
  </si>
  <si>
    <t>MEBF50G</t>
  </si>
  <si>
    <t>MEBF50J</t>
  </si>
  <si>
    <t>MEBF50L</t>
  </si>
  <si>
    <t>MEBF50R</t>
  </si>
  <si>
    <t>MEBF50V</t>
  </si>
  <si>
    <t>MEUF24A</t>
  </si>
  <si>
    <t>MEUF24B</t>
  </si>
  <si>
    <t>MEUF24C</t>
  </si>
  <si>
    <t>MEUF24D</t>
  </si>
  <si>
    <t>MEUF24G</t>
  </si>
  <si>
    <t>MEUF24J</t>
  </si>
  <si>
    <t>MEUF24L</t>
  </si>
  <si>
    <t>MEUF24R</t>
  </si>
  <si>
    <t>MEUF24V</t>
  </si>
  <si>
    <t>Durafix® Trimhead S/S Screw SKU: Box of 250</t>
  </si>
  <si>
    <t>45mm</t>
  </si>
  <si>
    <t>60mm</t>
  </si>
  <si>
    <t>Durafix® Fascia S/S Screw SKU: Box of 100</t>
  </si>
  <si>
    <t>Multispacer SKU: Box of 100</t>
  </si>
  <si>
    <t>Green</t>
  </si>
  <si>
    <t>Plas-Pro Subframe</t>
  </si>
  <si>
    <t>25x100</t>
  </si>
  <si>
    <t>P0210B300</t>
  </si>
  <si>
    <t>50x50</t>
  </si>
  <si>
    <t>P0505B240</t>
  </si>
  <si>
    <t>100x100 Posts</t>
  </si>
  <si>
    <t>125x50</t>
  </si>
  <si>
    <t>Grey</t>
  </si>
  <si>
    <t>P0603H280</t>
  </si>
  <si>
    <t>Subframe Hexhead Screw SKU: Box of 50</t>
  </si>
  <si>
    <t>Touch Up Paint 500ml</t>
  </si>
  <si>
    <t>AP500A</t>
  </si>
  <si>
    <t>AP500C</t>
  </si>
  <si>
    <t>AP500D</t>
  </si>
  <si>
    <t>AP500G</t>
  </si>
  <si>
    <t>AP500J</t>
  </si>
  <si>
    <t>AP500L</t>
  </si>
  <si>
    <t>AP500R</t>
  </si>
  <si>
    <t>AP500V</t>
  </si>
  <si>
    <t>DuoSpan 51mm Joist 51x68x3600mm</t>
  </si>
  <si>
    <t>51mm</t>
  </si>
  <si>
    <t>K5168J360</t>
  </si>
  <si>
    <t>DuoSpan 99mm Joist 99x68x3600mm</t>
  </si>
  <si>
    <t>99mm</t>
  </si>
  <si>
    <t>DuoSpan Beam 136x63x3600mm</t>
  </si>
  <si>
    <t>DuoSpan Joist Insert 25x50x2400mm</t>
  </si>
  <si>
    <t>Joist Insert</t>
  </si>
  <si>
    <t>Box of 10 DuoSpan 51 90degree Bracket Sets</t>
  </si>
  <si>
    <t>5190Bracket</t>
  </si>
  <si>
    <t>K51RP010</t>
  </si>
  <si>
    <t>Box of 10 DuoSpan 99 90degree Bracket Sets</t>
  </si>
  <si>
    <t>9990Bracket</t>
  </si>
  <si>
    <t>Box of 10 DuoSpan 51 Straight Connector Sets</t>
  </si>
  <si>
    <t>51Straight</t>
  </si>
  <si>
    <t>K51LP010</t>
  </si>
  <si>
    <t>Box of 10 DuoSpan 99 Straight Connector Sets</t>
  </si>
  <si>
    <t>99Straight</t>
  </si>
  <si>
    <t>Box of 10 DuoSpan 51 Flexible Bracket Sets</t>
  </si>
  <si>
    <t>51Flex</t>
  </si>
  <si>
    <t>K51FP010</t>
  </si>
  <si>
    <t>Box of 10 DuoSpan 99 Flexible Bracket Sets</t>
  </si>
  <si>
    <t>99Flex</t>
  </si>
  <si>
    <t>Box of 30 DuoSpan Hold Down Clip Sets</t>
  </si>
  <si>
    <t>Box of 100 DuoSpan Bracket to PlasPro Screws</t>
  </si>
  <si>
    <t>B2P Screws</t>
  </si>
  <si>
    <t>FD25P100</t>
  </si>
  <si>
    <t>Box of 100 PlasPro to DuoSpan Screws</t>
  </si>
  <si>
    <t>P2D Screws</t>
  </si>
  <si>
    <t>Box of 10 DuoLift Joist Cradle Sets 15-60mm</t>
  </si>
  <si>
    <t>PMCP010</t>
  </si>
  <si>
    <t>Box of 10 DuoLift Self Levelling Joint Sets 20mm</t>
  </si>
  <si>
    <t>PMLP010</t>
  </si>
  <si>
    <t>Box of 10 DuoLift Risers 45mm</t>
  </si>
  <si>
    <t>PMRP010</t>
  </si>
  <si>
    <t>Box of 10 DuoLift Feet 45mm</t>
  </si>
  <si>
    <t>45mm Foot</t>
  </si>
  <si>
    <t>PMFP010</t>
  </si>
  <si>
    <t>Packet of 10 DuoLift Acoustic Separation Pads</t>
  </si>
  <si>
    <t>PMAP010</t>
  </si>
  <si>
    <t>DuoFix™</t>
  </si>
  <si>
    <t>Spare Driver Bit kit</t>
  </si>
  <si>
    <t>FPFGDB2</t>
  </si>
  <si>
    <t>Spring-Grip Hexhead Driver Tool 8mm</t>
  </si>
  <si>
    <t>MDE126A</t>
  </si>
  <si>
    <t>MDE126C</t>
  </si>
  <si>
    <t>MDE126D</t>
  </si>
  <si>
    <t>MDE126G</t>
  </si>
  <si>
    <t>MDE126L</t>
  </si>
  <si>
    <t>MDE126R</t>
  </si>
  <si>
    <t xml:space="preserve"> Envello Cladding </t>
  </si>
  <si>
    <t xml:space="preserve"> Antique Oak </t>
  </si>
  <si>
    <t xml:space="preserve"> MCG360A</t>
  </si>
  <si>
    <t xml:space="preserve"> Shadow Line</t>
  </si>
  <si>
    <t xml:space="preserve"> Smoked Oak</t>
  </si>
  <si>
    <t xml:space="preserve"> MCG360D</t>
  </si>
  <si>
    <t xml:space="preserve"> SKU: Board </t>
  </si>
  <si>
    <t xml:space="preserve"> Golden Oak</t>
  </si>
  <si>
    <t xml:space="preserve"> MCG360G</t>
  </si>
  <si>
    <t> </t>
  </si>
  <si>
    <t xml:space="preserve"> Burnt Cedar</t>
  </si>
  <si>
    <t xml:space="preserve"> MCG360R</t>
  </si>
  <si>
    <t xml:space="preserve"> MCB360A</t>
  </si>
  <si>
    <t xml:space="preserve"> Board &amp; Batten </t>
  </si>
  <si>
    <t xml:space="preserve"> MCB360D</t>
  </si>
  <si>
    <t xml:space="preserve"> SKU: Board</t>
  </si>
  <si>
    <t xml:space="preserve"> MCB360G</t>
  </si>
  <si>
    <t xml:space="preserve"> MCB360R</t>
  </si>
  <si>
    <t xml:space="preserve"> Envello Cladding</t>
  </si>
  <si>
    <t xml:space="preserve"> MCPE50A</t>
  </si>
  <si>
    <t xml:space="preserve"> MCPE50D</t>
  </si>
  <si>
    <t xml:space="preserve"> External Corner</t>
  </si>
  <si>
    <t xml:space="preserve"> MCPE50G</t>
  </si>
  <si>
    <t xml:space="preserve"> SKU: Each</t>
  </si>
  <si>
    <t xml:space="preserve"> MCPE50R</t>
  </si>
  <si>
    <t xml:space="preserve"> MCPH38A</t>
  </si>
  <si>
    <t xml:space="preserve"> MCPH38D</t>
  </si>
  <si>
    <t xml:space="preserve"> Internal Corner </t>
  </si>
  <si>
    <t xml:space="preserve"> MCPH38G</t>
  </si>
  <si>
    <t xml:space="preserve"> MCPH38R</t>
  </si>
  <si>
    <t>MCPT50A</t>
  </si>
  <si>
    <t xml:space="preserve"> Square Corner </t>
  </si>
  <si>
    <t>MCPT50D</t>
  </si>
  <si>
    <t>MCPT50G</t>
  </si>
  <si>
    <t>MCPT50R</t>
  </si>
  <si>
    <t xml:space="preserve"> Fascia Board </t>
  </si>
  <si>
    <t xml:space="preserve"> MFN360A</t>
  </si>
  <si>
    <t xml:space="preserve"> For Cladding Reveals </t>
  </si>
  <si>
    <t xml:space="preserve"> MFN360D</t>
  </si>
  <si>
    <t xml:space="preserve"> and Soffits </t>
  </si>
  <si>
    <t xml:space="preserve"> MFN360G</t>
  </si>
  <si>
    <t xml:space="preserve"> MFN360R</t>
  </si>
  <si>
    <t xml:space="preserve"> Perforated Closure</t>
  </si>
  <si>
    <t xml:space="preserve"> Aluminium</t>
  </si>
  <si>
    <t xml:space="preserve"> GP300L</t>
  </si>
  <si>
    <t xml:space="preserve"> Horizontal Starter Trim</t>
  </si>
  <si>
    <t xml:space="preserve"> Aluminium J Profile</t>
  </si>
  <si>
    <t xml:space="preserve"> GT250J</t>
  </si>
  <si>
    <t xml:space="preserve"> Vertical Starter Trim</t>
  </si>
  <si>
    <t xml:space="preserve"> Aluminium L Profile</t>
  </si>
  <si>
    <t xml:space="preserve"> GT250L</t>
  </si>
  <si>
    <t xml:space="preserve"> S/S Fixing </t>
  </si>
  <si>
    <t xml:space="preserve"> For Accessories </t>
  </si>
  <si>
    <t xml:space="preserve"> FC20P250</t>
  </si>
  <si>
    <t xml:space="preserve"> SKU: Box of 250</t>
  </si>
  <si>
    <t xml:space="preserve"> For Boards </t>
  </si>
  <si>
    <t xml:space="preserve"> FC30P250</t>
  </si>
  <si>
    <t xml:space="preserve"> Durafix® Trimhead</t>
  </si>
  <si>
    <t xml:space="preserve"> S/S Screw</t>
  </si>
  <si>
    <t xml:space="preserve"> For Fascia &amp; Boards</t>
  </si>
  <si>
    <t xml:space="preserve"> FT35P100</t>
  </si>
  <si>
    <t xml:space="preserve"> SKU: Box of 100</t>
  </si>
  <si>
    <t xml:space="preserve"> For Square Corners</t>
  </si>
  <si>
    <t xml:space="preserve"> FT45P250</t>
  </si>
  <si>
    <t xml:space="preserve"> Touch Up Paint</t>
  </si>
  <si>
    <t xml:space="preserve"> AP500A</t>
  </si>
  <si>
    <t xml:space="preserve"> 500ml</t>
  </si>
  <si>
    <t xml:space="preserve"> AP500D</t>
  </si>
  <si>
    <t xml:space="preserve"> SKU: Tin</t>
  </si>
  <si>
    <t xml:space="preserve"> AP500G</t>
  </si>
  <si>
    <t xml:space="preserve"> Limed Oak</t>
  </si>
  <si>
    <t xml:space="preserve"> AP500R</t>
  </si>
  <si>
    <t>Batten</t>
  </si>
  <si>
    <t xml:space="preserve"> P0255H300</t>
  </si>
  <si>
    <t xml:space="preserve"> MCL360A</t>
  </si>
  <si>
    <t xml:space="preserve"> Shadow Line+ </t>
  </si>
  <si>
    <t xml:space="preserve"> MCL360D</t>
  </si>
  <si>
    <t xml:space="preserve"> Fire Rating: D</t>
  </si>
  <si>
    <t xml:space="preserve"> MCL360G</t>
  </si>
  <si>
    <t xml:space="preserve"> MCL360L</t>
  </si>
  <si>
    <t xml:space="preserve"> MCL360R</t>
  </si>
  <si>
    <t xml:space="preserve"> MCFE50A</t>
  </si>
  <si>
    <t xml:space="preserve"> MCFE50D</t>
  </si>
  <si>
    <t xml:space="preserve"> MCFE50G</t>
  </si>
  <si>
    <t xml:space="preserve"> MCFE50L</t>
  </si>
  <si>
    <t xml:space="preserve"> MCFE50R</t>
  </si>
  <si>
    <t xml:space="preserve"> MCFH38A</t>
  </si>
  <si>
    <t xml:space="preserve"> MCFH38D</t>
  </si>
  <si>
    <t xml:space="preserve"> MCFH38G</t>
  </si>
  <si>
    <t xml:space="preserve"> MCFH38L</t>
  </si>
  <si>
    <t xml:space="preserve"> MCFH38R</t>
  </si>
  <si>
    <t xml:space="preserve"> MCR146A</t>
  </si>
  <si>
    <t xml:space="preserve"> MCR146D</t>
  </si>
  <si>
    <t xml:space="preserve"> Reveal Board</t>
  </si>
  <si>
    <t xml:space="preserve"> MCR146G</t>
  </si>
  <si>
    <t xml:space="preserve"> MCR146L</t>
  </si>
  <si>
    <t xml:space="preserve"> MCR146R</t>
  </si>
  <si>
    <t xml:space="preserve"> FC40P100A</t>
  </si>
  <si>
    <t xml:space="preserve"> Coloured Head Fixing </t>
  </si>
  <si>
    <t xml:space="preserve"> FC40P100D</t>
  </si>
  <si>
    <t xml:space="preserve"> FC40P100G</t>
  </si>
  <si>
    <t xml:space="preserve"> FC40P100L</t>
  </si>
  <si>
    <t xml:space="preserve"> FC40P100R</t>
  </si>
  <si>
    <t>decking m2</t>
  </si>
  <si>
    <t>Edging LM</t>
  </si>
  <si>
    <t>Fascia lm</t>
  </si>
  <si>
    <t>FFL (height in mm)</t>
  </si>
  <si>
    <t>Square Feet required</t>
  </si>
  <si>
    <t>ft2</t>
  </si>
  <si>
    <t>Lft</t>
  </si>
  <si>
    <t>Inches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</si>
</sst>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color rgb="FF444444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8000"/>
      <name val="Inconsolata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b/>
      <sz val="11"/>
      <name val="Arial"/>
      <family val="2"/>
    </font>
    <font>
      <sz val="13"/>
      <color rgb="FF00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55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/>
      <right/>
      <top style="medium">
        <color rgb="FF92D050"/>
      </top>
      <bottom/>
      <diagonal/>
    </border>
    <border>
      <left style="medium">
        <color rgb="FF92D050"/>
      </left>
      <right/>
      <top/>
      <bottom/>
      <diagonal/>
    </border>
    <border>
      <left/>
      <right style="medium">
        <color rgb="FF92D050"/>
      </right>
      <top/>
      <bottom/>
      <diagonal/>
    </border>
    <border>
      <left style="thin">
        <color rgb="FF92D050"/>
      </left>
      <right style="thin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 style="thin">
        <color rgb="FF000000"/>
      </left>
      <right/>
      <top/>
      <bottom/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 style="medium">
        <color rgb="FF92D050"/>
      </right>
      <top/>
      <bottom style="medium">
        <color rgb="FF92D050"/>
      </bottom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/>
      <right style="thin">
        <color rgb="FFCCCCCC"/>
      </right>
      <top style="thin">
        <color rgb="FF000000"/>
      </top>
      <bottom/>
      <diagonal/>
    </border>
    <border>
      <left/>
      <right style="thin">
        <color rgb="FFCCCCCC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2D050"/>
      </left>
      <right/>
      <top style="thin">
        <color rgb="FF92D050"/>
      </top>
      <bottom/>
      <diagonal/>
    </border>
    <border>
      <left style="thin">
        <color rgb="FF92D050"/>
      </left>
      <right/>
      <top/>
      <bottom style="thin">
        <color rgb="FF92D05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2" borderId="18" xfId="0" applyFont="1" applyFill="1" applyBorder="1"/>
    <xf numFmtId="0" fontId="8" fillId="2" borderId="19" xfId="0" applyFont="1" applyFill="1" applyBorder="1"/>
    <xf numFmtId="0" fontId="7" fillId="0" borderId="0" xfId="0" applyFont="1" applyAlignment="1">
      <alignment readingOrder="1"/>
    </xf>
    <xf numFmtId="0" fontId="9" fillId="3" borderId="18" xfId="0" applyFont="1" applyFill="1" applyBorder="1"/>
    <xf numFmtId="0" fontId="9" fillId="3" borderId="19" xfId="0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9" fillId="0" borderId="20" xfId="0" applyFont="1" applyBorder="1"/>
    <xf numFmtId="0" fontId="9" fillId="0" borderId="21" xfId="0" applyFont="1" applyBorder="1"/>
    <xf numFmtId="9" fontId="7" fillId="0" borderId="1" xfId="1" applyFont="1" applyBorder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readingOrder="1"/>
    </xf>
    <xf numFmtId="9" fontId="7" fillId="0" borderId="0" xfId="0" applyNumberFormat="1" applyFont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readingOrder="1"/>
    </xf>
    <xf numFmtId="0" fontId="7" fillId="0" borderId="1" xfId="0" applyFont="1" applyBorder="1" applyAlignment="1">
      <alignment horizontal="center" readingOrder="1"/>
    </xf>
    <xf numFmtId="0" fontId="7" fillId="0" borderId="8" xfId="0" applyFont="1" applyBorder="1" applyAlignment="1">
      <alignment readingOrder="1"/>
    </xf>
    <xf numFmtId="0" fontId="7" fillId="0" borderId="1" xfId="0" applyFont="1" applyBorder="1" applyAlignment="1">
      <alignment readingOrder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readingOrder="1"/>
    </xf>
    <xf numFmtId="1" fontId="7" fillId="0" borderId="0" xfId="0" applyNumberFormat="1" applyFont="1"/>
    <xf numFmtId="0" fontId="11" fillId="0" borderId="1" xfId="0" applyFont="1" applyBorder="1" applyAlignment="1">
      <alignment horizontal="center" readingOrder="1"/>
    </xf>
    <xf numFmtId="0" fontId="12" fillId="5" borderId="26" xfId="0" applyFont="1" applyFill="1" applyBorder="1" applyAlignment="1">
      <alignment readingOrder="1"/>
    </xf>
    <xf numFmtId="0" fontId="12" fillId="5" borderId="27" xfId="0" applyFont="1" applyFill="1" applyBorder="1" applyAlignment="1">
      <alignment readingOrder="1"/>
    </xf>
    <xf numFmtId="0" fontId="11" fillId="0" borderId="28" xfId="0" applyFont="1" applyBorder="1" applyAlignment="1">
      <alignment readingOrder="1"/>
    </xf>
    <xf numFmtId="0" fontId="11" fillId="0" borderId="29" xfId="0" applyFont="1" applyBorder="1" applyAlignment="1">
      <alignment readingOrder="1"/>
    </xf>
    <xf numFmtId="0" fontId="13" fillId="0" borderId="29" xfId="0" applyFont="1" applyBorder="1" applyAlignment="1">
      <alignment readingOrder="1"/>
    </xf>
    <xf numFmtId="0" fontId="13" fillId="6" borderId="29" xfId="0" applyFont="1" applyFill="1" applyBorder="1" applyAlignment="1">
      <alignment readingOrder="1"/>
    </xf>
    <xf numFmtId="0" fontId="13" fillId="0" borderId="33" xfId="0" applyFont="1" applyBorder="1" applyAlignment="1">
      <alignment readingOrder="1"/>
    </xf>
    <xf numFmtId="0" fontId="12" fillId="0" borderId="28" xfId="0" applyFont="1" applyBorder="1" applyAlignment="1">
      <alignment readingOrder="1"/>
    </xf>
    <xf numFmtId="0" fontId="14" fillId="6" borderId="34" xfId="0" applyFont="1" applyFill="1" applyBorder="1" applyAlignment="1">
      <alignment readingOrder="1"/>
    </xf>
    <xf numFmtId="0" fontId="14" fillId="6" borderId="33" xfId="0" applyFont="1" applyFill="1" applyBorder="1" applyAlignment="1">
      <alignment readingOrder="1"/>
    </xf>
    <xf numFmtId="0" fontId="11" fillId="0" borderId="33" xfId="0" applyFont="1" applyBorder="1" applyAlignment="1">
      <alignment readingOrder="1"/>
    </xf>
    <xf numFmtId="0" fontId="11" fillId="0" borderId="35" xfId="0" applyFont="1" applyBorder="1" applyAlignment="1">
      <alignment readingOrder="1"/>
    </xf>
    <xf numFmtId="0" fontId="11" fillId="0" borderId="34" xfId="0" applyFont="1" applyBorder="1" applyAlignment="1">
      <alignment readingOrder="1"/>
    </xf>
    <xf numFmtId="0" fontId="11" fillId="0" borderId="36" xfId="0" applyFont="1" applyBorder="1" applyAlignment="1">
      <alignment readingOrder="1"/>
    </xf>
    <xf numFmtId="0" fontId="15" fillId="0" borderId="28" xfId="0" applyFont="1" applyBorder="1" applyAlignment="1">
      <alignment readingOrder="1"/>
    </xf>
    <xf numFmtId="0" fontId="15" fillId="0" borderId="33" xfId="0" applyFont="1" applyBorder="1" applyAlignment="1">
      <alignment readingOrder="1"/>
    </xf>
    <xf numFmtId="0" fontId="7" fillId="0" borderId="34" xfId="0" applyFont="1" applyBorder="1" applyAlignment="1">
      <alignment readingOrder="1"/>
    </xf>
    <xf numFmtId="0" fontId="15" fillId="0" borderId="35" xfId="0" applyFont="1" applyBorder="1" applyAlignment="1">
      <alignment readingOrder="1"/>
    </xf>
    <xf numFmtId="0" fontId="11" fillId="0" borderId="37" xfId="0" applyFont="1" applyBorder="1" applyAlignment="1">
      <alignment readingOrder="1"/>
    </xf>
    <xf numFmtId="0" fontId="16" fillId="0" borderId="29" xfId="0" applyFont="1" applyBorder="1" applyAlignment="1">
      <alignment readingOrder="1"/>
    </xf>
    <xf numFmtId="0" fontId="2" fillId="0" borderId="42" xfId="0" applyFont="1" applyBorder="1"/>
    <xf numFmtId="0" fontId="2" fillId="0" borderId="44" xfId="0" applyFont="1" applyBorder="1"/>
    <xf numFmtId="0" fontId="2" fillId="0" borderId="43" xfId="0" applyFont="1" applyBorder="1"/>
    <xf numFmtId="0" fontId="2" fillId="0" borderId="47" xfId="0" applyFont="1" applyBorder="1"/>
    <xf numFmtId="0" fontId="18" fillId="0" borderId="0" xfId="0" applyFont="1"/>
    <xf numFmtId="0" fontId="4" fillId="0" borderId="49" xfId="0" applyFont="1" applyBorder="1"/>
    <xf numFmtId="0" fontId="4" fillId="0" borderId="40" xfId="0" applyFont="1" applyBorder="1"/>
    <xf numFmtId="0" fontId="4" fillId="0" borderId="50" xfId="0" applyFont="1" applyBorder="1"/>
    <xf numFmtId="0" fontId="4" fillId="0" borderId="43" xfId="0" applyFont="1" applyBorder="1"/>
    <xf numFmtId="0" fontId="4" fillId="0" borderId="45" xfId="0" applyFont="1" applyBorder="1"/>
    <xf numFmtId="0" fontId="4" fillId="0" borderId="51" xfId="0" applyFont="1" applyBorder="1"/>
    <xf numFmtId="0" fontId="4" fillId="0" borderId="52" xfId="0" applyFont="1" applyBorder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 readingOrder="1"/>
    </xf>
    <xf numFmtId="0" fontId="7" fillId="0" borderId="0" xfId="0" applyFont="1" applyAlignment="1">
      <alignment vertical="center" wrapText="1" readingOrder="1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readingOrder="1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 readingOrder="1"/>
      <protection locked="0"/>
    </xf>
    <xf numFmtId="0" fontId="7" fillId="0" borderId="12" xfId="0" applyFont="1" applyBorder="1" applyAlignment="1" applyProtection="1">
      <alignment horizontal="center" vertical="center" wrapText="1" readingOrder="1"/>
      <protection locked="0"/>
    </xf>
    <xf numFmtId="0" fontId="7" fillId="0" borderId="9" xfId="0" applyFont="1" applyBorder="1" applyAlignment="1" applyProtection="1">
      <alignment horizontal="center" vertical="center" wrapText="1" readingOrder="1"/>
      <protection locked="0"/>
    </xf>
    <xf numFmtId="0" fontId="7" fillId="0" borderId="11" xfId="0" applyFont="1" applyBorder="1" applyAlignment="1" applyProtection="1">
      <alignment horizontal="center" vertical="center" wrapText="1" readingOrder="1"/>
      <protection locked="0"/>
    </xf>
    <xf numFmtId="0" fontId="7" fillId="0" borderId="16" xfId="0" applyFont="1" applyBorder="1" applyAlignment="1" applyProtection="1">
      <alignment horizontal="center" vertical="center" wrapText="1" readingOrder="1"/>
      <protection locked="0"/>
    </xf>
    <xf numFmtId="0" fontId="7" fillId="0" borderId="24" xfId="0" applyFont="1" applyBorder="1" applyAlignment="1" applyProtection="1">
      <alignment horizontal="center" vertical="center" wrapText="1" readingOrder="1"/>
      <protection locked="0"/>
    </xf>
    <xf numFmtId="0" fontId="7" fillId="4" borderId="17" xfId="0" applyFont="1" applyFill="1" applyBorder="1" applyAlignment="1">
      <alignment horizontal="center" vertical="center" wrapText="1" readingOrder="1"/>
    </xf>
    <xf numFmtId="0" fontId="7" fillId="4" borderId="25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7" fillId="4" borderId="12" xfId="0" applyFont="1" applyFill="1" applyBorder="1" applyAlignment="1" applyProtection="1">
      <alignment horizontal="center" vertical="center" wrapText="1" readingOrder="1"/>
      <protection locked="0"/>
    </xf>
    <xf numFmtId="0" fontId="7" fillId="4" borderId="11" xfId="0" applyFont="1" applyFill="1" applyBorder="1" applyAlignment="1" applyProtection="1">
      <alignment horizontal="center" vertical="center" wrapText="1" readingOrder="1"/>
      <protection locked="0"/>
    </xf>
    <xf numFmtId="0" fontId="7" fillId="0" borderId="4" xfId="0" applyFont="1" applyBorder="1" applyAlignment="1">
      <alignment horizontal="center" wrapText="1" readingOrder="1"/>
    </xf>
    <xf numFmtId="0" fontId="7" fillId="0" borderId="0" xfId="0" applyFont="1" applyAlignment="1">
      <alignment horizontal="center" wrapText="1" readingOrder="1"/>
    </xf>
    <xf numFmtId="0" fontId="7" fillId="0" borderId="5" xfId="0" applyFont="1" applyBorder="1" applyAlignment="1">
      <alignment horizontal="center" wrapText="1" readingOrder="1"/>
    </xf>
    <xf numFmtId="0" fontId="7" fillId="0" borderId="9" xfId="0" applyFont="1" applyBorder="1" applyAlignment="1">
      <alignment horizontal="center" wrapText="1" readingOrder="1"/>
    </xf>
    <xf numFmtId="0" fontId="7" fillId="0" borderId="10" xfId="0" applyFont="1" applyBorder="1" applyAlignment="1">
      <alignment horizontal="center" wrapText="1" readingOrder="1"/>
    </xf>
    <xf numFmtId="0" fontId="7" fillId="0" borderId="11" xfId="0" applyFont="1" applyBorder="1" applyAlignment="1">
      <alignment horizontal="center" wrapText="1" readingOrder="1"/>
    </xf>
    <xf numFmtId="0" fontId="9" fillId="0" borderId="7" xfId="0" applyFont="1" applyBorder="1" applyAlignment="1" applyProtection="1">
      <alignment horizontal="center" vertical="center" wrapText="1" readingOrder="1"/>
      <protection locked="0"/>
    </xf>
    <xf numFmtId="0" fontId="9" fillId="0" borderId="22" xfId="0" applyFont="1" applyBorder="1" applyAlignment="1" applyProtection="1">
      <alignment horizontal="center" vertical="center" wrapText="1" readingOrder="1"/>
      <protection locked="0"/>
    </xf>
    <xf numFmtId="9" fontId="7" fillId="0" borderId="7" xfId="1" applyFont="1" applyBorder="1" applyAlignment="1" applyProtection="1">
      <alignment horizontal="center" vertical="center" wrapText="1" readingOrder="1"/>
      <protection locked="0"/>
    </xf>
    <xf numFmtId="9" fontId="9" fillId="0" borderId="22" xfId="1" applyFont="1" applyBorder="1" applyAlignment="1" applyProtection="1">
      <alignment horizontal="center" vertical="center" wrapText="1" readingOrder="1"/>
      <protection locked="0"/>
    </xf>
    <xf numFmtId="0" fontId="3" fillId="0" borderId="4" xfId="0" applyFont="1" applyBorder="1" applyAlignment="1">
      <alignment horizontal="center" wrapText="1" readingOrder="1"/>
    </xf>
    <xf numFmtId="0" fontId="3" fillId="0" borderId="0" xfId="0" applyFont="1" applyAlignment="1">
      <alignment horizontal="center" wrapText="1" readingOrder="1"/>
    </xf>
    <xf numFmtId="0" fontId="3" fillId="0" borderId="5" xfId="0" applyFont="1" applyBorder="1" applyAlignment="1">
      <alignment horizontal="center" wrapText="1" readingOrder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 readingOrder="1"/>
    </xf>
    <xf numFmtId="0" fontId="7" fillId="0" borderId="3" xfId="0" applyFont="1" applyBorder="1" applyAlignment="1">
      <alignment horizontal="center" wrapText="1" readingOrder="1"/>
    </xf>
    <xf numFmtId="0" fontId="7" fillId="0" borderId="12" xfId="0" applyFont="1" applyBorder="1" applyAlignment="1">
      <alignment horizontal="center" wrapText="1" readingOrder="1"/>
    </xf>
    <xf numFmtId="0" fontId="20" fillId="0" borderId="53" xfId="0" applyFont="1" applyBorder="1" applyAlignment="1">
      <alignment horizontal="center" vertical="center"/>
    </xf>
    <xf numFmtId="0" fontId="21" fillId="0" borderId="54" xfId="0" applyFont="1" applyBorder="1"/>
    <xf numFmtId="0" fontId="20" fillId="0" borderId="15" xfId="0" applyFont="1" applyBorder="1" applyAlignment="1">
      <alignment horizontal="center" vertical="center"/>
    </xf>
    <xf numFmtId="0" fontId="21" fillId="0" borderId="6" xfId="0" applyFont="1" applyBorder="1"/>
    <xf numFmtId="0" fontId="12" fillId="0" borderId="30" xfId="0" applyFont="1" applyBorder="1" applyAlignment="1">
      <alignment readingOrder="1"/>
    </xf>
    <xf numFmtId="0" fontId="12" fillId="0" borderId="31" xfId="0" applyFont="1" applyBorder="1" applyAlignment="1">
      <alignment readingOrder="1"/>
    </xf>
    <xf numFmtId="0" fontId="12" fillId="0" borderId="32" xfId="0" applyFont="1" applyBorder="1" applyAlignment="1">
      <alignment readingOrder="1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19" fillId="0" borderId="43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2" fillId="0" borderId="43" xfId="0" applyFont="1" applyBorder="1"/>
    <xf numFmtId="0" fontId="2" fillId="0" borderId="44" xfId="0" applyFont="1" applyBorder="1"/>
    <xf numFmtId="0" fontId="2" fillId="0" borderId="0" xfId="0" applyFont="1"/>
    <xf numFmtId="0" fontId="2" fillId="0" borderId="45" xfId="0" applyFont="1" applyBorder="1"/>
    <xf numFmtId="0" fontId="2" fillId="0" borderId="46" xfId="0" applyFont="1" applyBorder="1"/>
    <xf numFmtId="0" fontId="2" fillId="0" borderId="47" xfId="0" applyFont="1" applyBorder="1"/>
    <xf numFmtId="0" fontId="17" fillId="0" borderId="40" xfId="0" applyFont="1" applyBorder="1"/>
    <xf numFmtId="0" fontId="17" fillId="0" borderId="41" xfId="0" applyFont="1" applyBorder="1"/>
    <xf numFmtId="0" fontId="2" fillId="0" borderId="42" xfId="0" applyFont="1" applyBorder="1"/>
    <xf numFmtId="0" fontId="2" fillId="0" borderId="41" xfId="0" applyFont="1" applyBorder="1"/>
    <xf numFmtId="0" fontId="17" fillId="0" borderId="43" xfId="0" applyFont="1" applyBorder="1"/>
    <xf numFmtId="0" fontId="17" fillId="0" borderId="44" xfId="0" applyFont="1" applyBorder="1"/>
  </cellXfs>
  <cellStyles count="2">
    <cellStyle name="Normal" xfId="0" builtinId="0"/>
    <cellStyle name="Percent" xfId="1" builtinId="5"/>
  </cellStyles>
  <dxfs count="7">
    <dxf>
      <font>
        <color rgb="FFFFFFFF"/>
      </font>
      <fill>
        <patternFill patternType="solid"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bgColor rgb="FFFFFFFF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586740</xdr:colOff>
      <xdr:row>5</xdr:row>
      <xdr:rowOff>129540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4D4C5B-B280-46CC-91F7-E6CB594C1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180975"/>
          <a:ext cx="2701290" cy="901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B7C1D-9306-496F-A50A-6C165836503D}">
  <dimension ref="A1:AV1048576"/>
  <sheetViews>
    <sheetView showGridLines="0" tabSelected="1" workbookViewId="0">
      <selection activeCell="N6" sqref="N6"/>
    </sheetView>
  </sheetViews>
  <sheetFormatPr defaultColWidth="0" defaultRowHeight="15" x14ac:dyDescent="0.25"/>
  <cols>
    <col min="1" max="1" width="3.5703125" style="4" customWidth="1"/>
    <col min="2" max="2" width="4.42578125" style="4" customWidth="1"/>
    <col min="3" max="3" width="11" style="4" customWidth="1"/>
    <col min="4" max="4" width="12.140625" style="4" customWidth="1"/>
    <col min="5" max="5" width="4.140625" style="4" customWidth="1"/>
    <col min="6" max="6" width="12.85546875" style="4" customWidth="1"/>
    <col min="7" max="7" width="10.42578125" style="4" customWidth="1"/>
    <col min="8" max="8" width="3.7109375" style="4" customWidth="1"/>
    <col min="9" max="9" width="7.85546875" style="4" customWidth="1"/>
    <col min="10" max="10" width="10.5703125" style="4" customWidth="1"/>
    <col min="11" max="12" width="3.7109375" style="4" customWidth="1"/>
    <col min="13" max="13" width="35" style="4" customWidth="1"/>
    <col min="14" max="14" width="11.85546875" style="4" bestFit="1" customWidth="1"/>
    <col min="15" max="15" width="9.140625" style="4" bestFit="1" customWidth="1"/>
    <col min="16" max="16" width="10.5703125" style="4" customWidth="1"/>
    <col min="17" max="28" width="16.85546875" style="4" customWidth="1"/>
    <col min="29" max="29" width="11.28515625" style="4" customWidth="1"/>
    <col min="30" max="33" width="11.28515625"/>
    <col min="34" max="34" width="11.140625"/>
    <col min="35" max="35" width="16.7109375" bestFit="1"/>
    <col min="36" max="36" width="17" bestFit="1"/>
    <col min="37" max="37" width="33.28515625" bestFit="1"/>
    <col min="38" max="38" width="15.140625" bestFit="1"/>
    <col min="39" max="39" width="16.7109375" bestFit="1"/>
    <col min="40" max="40" width="16.28515625" bestFit="1"/>
    <col min="41" max="41" width="11.140625"/>
    <col min="42" max="42" width="12.5703125" bestFit="1"/>
    <col min="43" max="43" width="28.28515625" bestFit="1"/>
    <col min="44" max="44" width="15.28515625" bestFit="1"/>
    <col min="45" max="45" width="17.5703125" bestFit="1"/>
    <col min="46" max="46" width="23.28515625" bestFit="1"/>
    <col min="47" max="47" width="17.5703125"/>
    <col min="48" max="16384" width="11.28515625" style="4" hidden="1"/>
  </cols>
  <sheetData>
    <row r="1" spans="1:48" ht="14.25" x14ac:dyDescent="0.2"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</row>
    <row r="2" spans="1:48" ht="15" customHeight="1" x14ac:dyDescent="0.2"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</row>
    <row r="3" spans="1:48" ht="15" customHeight="1" x14ac:dyDescent="0.2"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1:48" ht="15" customHeight="1" x14ac:dyDescent="0.2">
      <c r="N4" s="4" t="s">
        <v>1</v>
      </c>
      <c r="O4" s="4" t="s">
        <v>2</v>
      </c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48" ht="15.75" customHeight="1" x14ac:dyDescent="0.2">
      <c r="M5" s="62" t="str">
        <f>IF(OR(I12=Calculations!F25,I12=" "),"",Calculations!H7)</f>
        <v>Boards Required</v>
      </c>
      <c r="N5" s="62" t="str">
        <f>IF(OR(I12=Calculations!F25,I12=" "),"",IF(F8=Calculations!F10,VLOOKUP(I8,'Price List'!B12:C15,2,FALSE),VLOOKUP(I8,'Price List'!B3:C15,2,FALSE)))</f>
        <v>MDE176C</v>
      </c>
      <c r="O5" s="62">
        <f>IF(OR(I12=Calculations!F25,I12=" "),"",IF(F8=Calculations!J6,Calculations!J3-Calculations!K3,HLOOKUP(F8,Calculations!K6:L8,2,FALSE)-Calculations!K3))</f>
        <v>126</v>
      </c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</row>
    <row r="6" spans="1:48" thickBot="1" x14ac:dyDescent="0.25">
      <c r="C6" s="63"/>
      <c r="D6" s="63"/>
      <c r="E6" s="63"/>
      <c r="G6" s="64"/>
      <c r="H6" s="7"/>
      <c r="I6" s="7"/>
      <c r="J6" s="7"/>
      <c r="K6" s="7"/>
      <c r="L6" s="7"/>
      <c r="M6" s="62" t="str">
        <f>IF(OR(F12="No",F12=""),"","SB Boards Required")</f>
        <v>SB Boards Required</v>
      </c>
      <c r="N6" s="62" t="str">
        <f>IF(OR(F12="No",F12=""),"",VLOOKUP(I8,'Price List'!B102:C108,2,FALSE))</f>
        <v>MDE126C</v>
      </c>
      <c r="O6" s="62">
        <f>IF(OR(F12="No",F12=""),"",IF(F15=Calculations!G17,Calculations!I3+Calculations!J2-Calculations!K4,Calculations!I3-Calculations!K4))</f>
        <v>126</v>
      </c>
      <c r="P6" s="1"/>
      <c r="Q6" s="1"/>
      <c r="R6" s="1"/>
      <c r="S6" s="1"/>
      <c r="T6" s="1"/>
      <c r="U6" s="1"/>
      <c r="V6" s="61"/>
      <c r="W6" s="61"/>
      <c r="X6" s="61"/>
      <c r="Y6" s="61"/>
      <c r="Z6" s="61"/>
      <c r="AA6" s="61"/>
      <c r="AB6" s="61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8" ht="23.25" customHeight="1" thickBot="1" x14ac:dyDescent="0.25">
      <c r="B7" s="65"/>
      <c r="C7" s="84" t="s">
        <v>21</v>
      </c>
      <c r="D7" s="84"/>
      <c r="E7" s="63"/>
      <c r="F7" s="84" t="s">
        <v>22</v>
      </c>
      <c r="G7" s="84"/>
      <c r="H7" s="63"/>
      <c r="I7" s="84" t="s">
        <v>23</v>
      </c>
      <c r="J7" s="84"/>
      <c r="M7" s="62" t="str">
        <f>Calculations!H8</f>
        <v>Screws Required (Boxes)</v>
      </c>
      <c r="N7" s="62" t="str">
        <f>IF(OR(C25=Calculations!H15,C25=Calculations!H18),"FT60P250","FT45P250")</f>
        <v>FT45P250</v>
      </c>
      <c r="O7" s="62">
        <f>Calculations!M8</f>
        <v>27</v>
      </c>
      <c r="Q7" s="110" t="str">
        <f>CONCATENATE("Quote based on below assumptions")</f>
        <v>Quote based on below assumptions</v>
      </c>
      <c r="R7" s="111"/>
      <c r="S7" s="112"/>
      <c r="T7" s="108" t="str">
        <f>CONCATENATE("Waste % as below")</f>
        <v>Waste % as below</v>
      </c>
      <c r="U7" s="109"/>
      <c r="V7" s="61"/>
      <c r="W7" s="61"/>
      <c r="X7" s="61"/>
      <c r="Y7" s="61"/>
      <c r="Z7" s="61"/>
      <c r="AA7" s="61"/>
      <c r="AB7" s="61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</row>
    <row r="8" spans="1:48" ht="21" customHeight="1" x14ac:dyDescent="0.2">
      <c r="A8" s="1"/>
      <c r="B8" s="65"/>
      <c r="C8" s="76" t="s">
        <v>13</v>
      </c>
      <c r="D8" s="77"/>
      <c r="E8" s="63"/>
      <c r="F8" s="76" t="s">
        <v>5</v>
      </c>
      <c r="G8" s="77"/>
      <c r="H8" s="63"/>
      <c r="I8" s="76" t="s">
        <v>14</v>
      </c>
      <c r="J8" s="77"/>
      <c r="M8" s="62" t="str">
        <f>IF(F16=0," ",IF(AND(F15=Calculations!G17,F12=Calculations!B6),"",Calculations!H9))</f>
        <v>Edging</v>
      </c>
      <c r="N8" s="62" t="str">
        <f>IF(F16=0," ",IF(F15=Calculations!G14,VLOOKUP(I8,'Price List'!B16:C26,2,FALSE),IF(F15=Calculations!G16,VLOOKUP(I8,'Price List'!B38:C48,2,FALSE),IF(F15=Calculations!G15,VLOOKUP(I8,'Price List'!B49:C59,2,FALSE),IF(AND(F15=Calculations!G17,F12=Calculations!B7),VLOOKUP(I8,'Price List'!B102:C108,2,FALSE),"")))))</f>
        <v>MEBB360C</v>
      </c>
      <c r="O8" s="62">
        <f>IF(F16=0," ",IF(AND(F12=Calculations!B6,F15=Calculations!G17),"",Calculations!J9))</f>
        <v>5</v>
      </c>
      <c r="Q8" s="92" t="str">
        <f>CONCATENATE(C8," ","setting",)</f>
        <v>Commercial setting</v>
      </c>
      <c r="R8" s="93"/>
      <c r="S8" s="94"/>
      <c r="T8" s="105" t="str">
        <f>CONCATENATE(C19," ","-"," ", C20,D20)</f>
        <v>Decking Waste % - 0%</v>
      </c>
      <c r="U8" s="106"/>
      <c r="V8" s="61"/>
      <c r="W8" s="61"/>
      <c r="X8" s="61"/>
      <c r="Y8" s="61"/>
      <c r="Z8" s="61"/>
      <c r="AA8" s="61"/>
      <c r="AB8" s="61"/>
      <c r="AC8" s="1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</row>
    <row r="9" spans="1:48" ht="15" customHeight="1" thickBot="1" x14ac:dyDescent="0.25">
      <c r="A9" s="1"/>
      <c r="B9" s="1"/>
      <c r="C9" s="78"/>
      <c r="D9" s="79"/>
      <c r="E9" s="63"/>
      <c r="F9" s="78"/>
      <c r="G9" s="79"/>
      <c r="H9" s="63"/>
      <c r="I9" s="78"/>
      <c r="J9" s="79"/>
      <c r="M9" s="62" t="str">
        <f>IF(OR(I16="",I16=0),"",Calculations!H10)</f>
        <v/>
      </c>
      <c r="N9" s="62" t="str">
        <f>IF(OR(I16="",I16=0),"",VLOOKUP(I8,'Price List'!B27:C37,2,FALSE))</f>
        <v/>
      </c>
      <c r="O9" s="62" t="str">
        <f>IF(OR(I16="",I16=0)," ",Calculations!J10)</f>
        <v xml:space="preserve"> </v>
      </c>
      <c r="Q9" s="102" t="str">
        <f>CONCATENATE("Area"," ", "-"," ",C16," ",D16)</f>
        <v>Area - 1500 ft2</v>
      </c>
      <c r="R9" s="103"/>
      <c r="S9" s="104"/>
      <c r="T9" s="105" t="str">
        <f>CONCATENATE(F19," ","-"," ", F20,G20)</f>
        <v>Edging Waste % - 0%</v>
      </c>
      <c r="U9" s="106"/>
      <c r="V9" s="1"/>
      <c r="W9" s="1"/>
      <c r="X9" s="1"/>
      <c r="Y9" s="1"/>
      <c r="Z9" s="1"/>
      <c r="AA9" s="1"/>
      <c r="AB9" s="1"/>
      <c r="AC9" s="1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</row>
    <row r="10" spans="1:48" ht="18" customHeight="1" x14ac:dyDescent="0.2">
      <c r="A10" s="1"/>
      <c r="B10" s="1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2" t="str">
        <f>IF(C25=Calculations!H18," ",Calculations!L11)</f>
        <v>Joists</v>
      </c>
      <c r="N10" s="62" t="str">
        <f>IF(C25=Calculations!H18," ",IF(OR(C25=Calculations!H13,C25=Calculations!H14),'Price List'!C82,IF(C25=Calculations!H12,'Price List'!C81,IF(C25=Calculations!H15,'Price List'!C67,IF(C25=Calculations!H17,'Price List'!C68,'Price List'!C65)))))</f>
        <v>K5168J360</v>
      </c>
      <c r="O10" s="62">
        <f>IF(C25=Calculations!H18," ",ROUNDUP(SUM(Calculations!L12:L18),0))</f>
        <v>157</v>
      </c>
      <c r="Q10" s="92" t="str">
        <f>CONCATENATE(F7," ","-"," ",F8," ",I8)</f>
        <v>Board Type - EnhancedGrain Coppered Oak</v>
      </c>
      <c r="R10" s="93"/>
      <c r="S10" s="94"/>
      <c r="T10" s="105" t="str">
        <f>CONCATENATE(I19," ","-"," ", I20,J20)</f>
        <v>Fascia Waste % - 0%</v>
      </c>
      <c r="U10" s="106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8" ht="15" customHeight="1" thickBot="1" x14ac:dyDescent="0.25">
      <c r="A11" s="1"/>
      <c r="B11" s="1"/>
      <c r="C11" s="63"/>
      <c r="D11" s="63"/>
      <c r="E11" s="63"/>
      <c r="F11" s="107" t="s">
        <v>37</v>
      </c>
      <c r="G11" s="107"/>
      <c r="I11" s="107" t="s">
        <v>38</v>
      </c>
      <c r="J11" s="107"/>
      <c r="M11" s="62" t="str">
        <f>IF(C25=Calculations!H18," ",IF(OR(C25=Calculations!H14,C25=Calculations!H15),Calculations!J11,IF(AND(C25=Calculations!H12,F25&gt;=Calculations!I28),Calculations!J19,IF(AND(C25=Calculations!H16,F25&gt;=Calculations!I28),Calculations!J19,IF(AND(C25=Calculations!H13,F25&gt;=Calculations!I37),Calculations!J19," ")))))</f>
        <v xml:space="preserve"> </v>
      </c>
      <c r="N11" s="62" t="str">
        <f>IF(M11=" ","",IF(OR(C25=Calculations!H14,C25=Calculations!H15),'Price List'!C66,'Price List'!C94))</f>
        <v/>
      </c>
      <c r="O11" s="62" t="str">
        <f>IF(M11=" ","",IF(OR(C25=Calculations!H14,C25=Calculations!H15),SUM(Calculations!J12:J16),SUM(Calculations!J20:J22)))</f>
        <v/>
      </c>
      <c r="Q11" s="92" t="str">
        <f>CONCATENATE(C24," ","-"," ",C25)</f>
        <v>Subframe type - DuoSpan - 51mm Joist + Duo Lift</v>
      </c>
      <c r="R11" s="93"/>
      <c r="S11" s="94"/>
      <c r="T11" s="66"/>
      <c r="U11" s="67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</row>
    <row r="12" spans="1:48" ht="15" customHeight="1" thickBot="1" x14ac:dyDescent="0.25">
      <c r="A12" s="1"/>
      <c r="B12" s="1"/>
      <c r="C12" s="63"/>
      <c r="D12" s="63"/>
      <c r="E12" s="63"/>
      <c r="F12" s="98" t="s">
        <v>11</v>
      </c>
      <c r="G12" s="99"/>
      <c r="H12" s="63"/>
      <c r="I12" s="100" t="s">
        <v>51</v>
      </c>
      <c r="J12" s="101"/>
      <c r="M12" s="62" t="str">
        <f>IF(C25=Calculations!H18," ",IF(C25=Calculations!H14,Calculations!K11,IF(C25=Calculations!H15,"Hexhead Screws",IF(OR(Calculations!K23=0,Calculations!K23="")," ",Calculations!K19))))</f>
        <v>20mm Joint</v>
      </c>
      <c r="N12" s="62" t="str">
        <f>IF(M12=" "," ",IF(C25=Calculations!H15,'Price List'!C69,IF(C25=Calculations!H14,'Price List'!C83,'Price List'!C95)))</f>
        <v>PMLP010</v>
      </c>
      <c r="O12" s="62">
        <f>IF(M12="","",IF(M12=Calculations!K19,SUM(Calculations!K20:K22),IF(M12=Calculations!P6,Calculations!P7,Calculations!K14)))</f>
        <v>70</v>
      </c>
      <c r="Q12" s="92" t="str">
        <f>CONCATENATE(LEFT(F23,24)," ", "-"," ",F25," ",G25)</f>
        <v>FFL Height from Sub-base - 10 Inches</v>
      </c>
      <c r="R12" s="93"/>
      <c r="S12" s="94"/>
      <c r="T12" s="66"/>
      <c r="U12" s="67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25"/>
    </row>
    <row r="13" spans="1:48" ht="15" customHeight="1" x14ac:dyDescent="0.2">
      <c r="A13" s="1"/>
      <c r="B13" s="1"/>
      <c r="C13" s="63"/>
      <c r="D13" s="63"/>
      <c r="E13" s="63"/>
      <c r="F13" s="63"/>
      <c r="G13" s="63"/>
      <c r="H13" s="63"/>
      <c r="I13" s="63"/>
      <c r="J13" s="63"/>
      <c r="M13" s="62" t="str">
        <f>IF(OR(C25=Calculations!H18,C25=Calculations!H17)," ",IF(C25=Calculations!H14,Calculations!N11,IF(C25=Calculations!H15," ",IF(OR(Calculations!L23=0,Calculations!L23="")," ",Calculations!L19))))</f>
        <v>45mm Riser</v>
      </c>
      <c r="N13" s="62" t="str">
        <f>IF(M13=" "," ",IF(OR(C25=Calculations!H20,C25=Calculations!H21,C25=Calculations!H22),'Price List'!C96,IF(C25=Calculations!H14,'Price List'!C91,"")))</f>
        <v>PMRP010</v>
      </c>
      <c r="O13" s="62">
        <f>IF(M13=" "," ",IF(OR(C25=Calculations!H20,C25=Calculations!H21,C25=Calculations!H22),SUM(Calculations!L20:L22),IF(C25=Calculations!H14,Calculations!N14,"")))</f>
        <v>140</v>
      </c>
      <c r="Q13" s="92" t="str">
        <f>CONCATENATE(I15," ","-"," ",I16, " ",J16)</f>
        <v>Fascia -  Lft</v>
      </c>
      <c r="R13" s="93"/>
      <c r="S13" s="94"/>
      <c r="T13" s="66"/>
      <c r="U13" s="67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25"/>
    </row>
    <row r="14" spans="1:48" ht="15" customHeight="1" thickBot="1" x14ac:dyDescent="0.25">
      <c r="A14" s="1"/>
      <c r="B14" s="1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2" t="str">
        <f>IF(F25&lt;98," ",IF(OR(C25=Calculations!H18,C25=Calculations!H17)," ",IF(C25=Calculations!H14," ",IF(C25=Calculations!H15," ",IF(OR(Calculations!M23=0,Calculations!M23="")," ",Calculations!M19)))))</f>
        <v xml:space="preserve"> </v>
      </c>
      <c r="N14" s="62" t="str">
        <f>IF(M14=" "," ",IF(OR(C25=Calculations!H20,C25=Calculations!H21,C25=Calculations!H22),'Price List'!C97,""))</f>
        <v xml:space="preserve"> </v>
      </c>
      <c r="O14" s="62" t="str">
        <f>IF(M14=" ", " ",IF(OR(C25=Calculations!H20,C25=Calculations!H21,C25=Calculations!H22),SUM(Calculations!M20:M22),""))</f>
        <v xml:space="preserve"> </v>
      </c>
      <c r="Q14" s="92" t="str">
        <f>CONCATENATE("Edging"," ", "-"," ",F15," ", "-"," ",F16," ",G16)</f>
        <v>Edging - Bullnosed Board - 50 Lft</v>
      </c>
      <c r="R14" s="93"/>
      <c r="S14" s="94"/>
      <c r="T14" s="66"/>
      <c r="U14" s="67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25"/>
    </row>
    <row r="15" spans="1:48" ht="16.5" customHeight="1" thickBot="1" x14ac:dyDescent="0.25">
      <c r="A15" s="1"/>
      <c r="B15" s="1"/>
      <c r="C15" s="84" t="s">
        <v>333</v>
      </c>
      <c r="D15" s="84"/>
      <c r="F15" s="76" t="s">
        <v>57</v>
      </c>
      <c r="G15" s="77"/>
      <c r="H15" s="63"/>
      <c r="I15" s="84" t="s">
        <v>30</v>
      </c>
      <c r="J15" s="84"/>
      <c r="M15" s="62" t="str">
        <f>IF(OR(C25=Calculations!H18,C25=Calculations!H17)," ",IF(OR(C25=Calculations!H14,C25=Calculations!H15)," ",Calculations!N19))</f>
        <v>Pads</v>
      </c>
      <c r="N15" s="62" t="str">
        <f>IF(M15= " "," ",IF(OR(C25=Calculations!H20,C25=Calculations!H21,C25=Calculations!H22),'Price List'!C98,""))</f>
        <v>PMAP010</v>
      </c>
      <c r="O15" s="62">
        <f>IF(M15=" ","",IF(OR(C25=Calculations!H20,C25=Calculations!H21,C25=Calculations!H22),SUM(Calculations!N20:N22),""))</f>
        <v>70</v>
      </c>
      <c r="Q15" s="95"/>
      <c r="R15" s="96"/>
      <c r="S15" s="97"/>
      <c r="T15" s="68"/>
      <c r="U15" s="69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25"/>
    </row>
    <row r="16" spans="1:48" ht="14.25" x14ac:dyDescent="0.2">
      <c r="A16" s="1"/>
      <c r="B16" s="1"/>
      <c r="C16" s="76">
        <v>1500</v>
      </c>
      <c r="D16" s="90" t="s">
        <v>334</v>
      </c>
      <c r="F16" s="76">
        <v>50</v>
      </c>
      <c r="G16" s="90" t="s">
        <v>335</v>
      </c>
      <c r="H16" s="63"/>
      <c r="I16" s="76"/>
      <c r="J16" s="90" t="s">
        <v>335</v>
      </c>
      <c r="M16" s="62" t="str">
        <f>IF(C25=Calculations!H16,"Hexhead Screws",IF(OR(I16="",I16=0),"",IF(OR(AND(O9&gt;0,C25=Calculations!H12),AND(O9&gt;0,Calculations!H13=C25),AND(O9&gt;0,Calculations!H14=C25)),"Plas Pro 25x100mm","")))</f>
        <v/>
      </c>
      <c r="N16" s="62" t="str">
        <f>IF(M16=""," ",IF(M16="Hexhead Screws",'Price List'!C69,'Price List'!C64))</f>
        <v xml:space="preserve"> </v>
      </c>
      <c r="O16" s="62" t="str">
        <f>IF(M16="","",IF(M16=Calculations!P6,Calculations!P7,Calculations!Q7))</f>
        <v/>
      </c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25"/>
    </row>
    <row r="17" spans="1:47" thickBot="1" x14ac:dyDescent="0.25">
      <c r="A17" s="1"/>
      <c r="B17" s="1"/>
      <c r="C17" s="78"/>
      <c r="D17" s="91"/>
      <c r="F17" s="78"/>
      <c r="G17" s="91"/>
      <c r="H17" s="63"/>
      <c r="I17" s="78"/>
      <c r="J17" s="91"/>
      <c r="M17" s="62" t="str">
        <f>IF(O9=" "," ","Fascia Screws")</f>
        <v xml:space="preserve"> </v>
      </c>
      <c r="N17" s="70" t="str">
        <f>IF(M17=" "," ",'Price List'!C62)</f>
        <v xml:space="preserve"> </v>
      </c>
      <c r="O17" s="62" t="str">
        <f>IF(M17=" "," ",Calculations!O7)</f>
        <v xml:space="preserve"> </v>
      </c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</row>
    <row r="18" spans="1:47" ht="14.25" x14ac:dyDescent="0.2">
      <c r="A18" s="1"/>
      <c r="B18" s="1"/>
      <c r="C18" s="71"/>
      <c r="D18" s="71"/>
      <c r="E18" s="71"/>
      <c r="F18" s="71"/>
      <c r="G18" s="71"/>
      <c r="H18" s="71"/>
      <c r="I18" s="71"/>
      <c r="J18" s="71"/>
      <c r="M18" s="62" t="str">
        <f>IF(OR(C25=Calculations!H15,C25=Calculations!H16,C25=Calculations!H18), " ",IF(O9=" "," ",Calculations!N6))</f>
        <v xml:space="preserve"> </v>
      </c>
      <c r="N18" s="62" t="str">
        <f>IF(M18=" "," ",'Price List'!C93)</f>
        <v xml:space="preserve"> </v>
      </c>
      <c r="O18" s="62" t="str">
        <f>IF(M18=" "," ",Calculations!N7)</f>
        <v xml:space="preserve"> </v>
      </c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1:47" thickBot="1" x14ac:dyDescent="0.25">
      <c r="A19" s="1"/>
      <c r="B19" s="1"/>
      <c r="C19" s="87" t="s">
        <v>66</v>
      </c>
      <c r="D19" s="87"/>
      <c r="E19" s="71"/>
      <c r="F19" s="87" t="s">
        <v>67</v>
      </c>
      <c r="G19" s="87"/>
      <c r="H19" s="71"/>
      <c r="I19" s="87" t="s">
        <v>68</v>
      </c>
      <c r="J19" s="87"/>
      <c r="K19" s="63"/>
      <c r="L19" s="63"/>
      <c r="M19" s="62" t="str">
        <f>IF(C25=Calculations!H18," ",IF(OR(C25=Calculations!H15,C25=Calculations!H16,C25=Calculations!H17), " ",Calculations!M11))</f>
        <v>Joist Inserts</v>
      </c>
      <c r="N19" s="62" t="str">
        <f>IF(C25=Calculations!H18," ",IF(OR(C25=Calculations!H15,C25=Calculations!H16,C25=Calculations!H17), " ",'Price List'!C84))</f>
        <v>K2554B240</v>
      </c>
      <c r="O19" s="62">
        <f>IF(C25=Calculations!H18," ",IF(OR(C25=Calculations!H15,C25=Calculations!H16,C25=Calculations!H17), " ",SUM(Calculations!M12:M16)))</f>
        <v>210</v>
      </c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1:47" ht="14.25" customHeight="1" x14ac:dyDescent="0.2">
      <c r="A20" s="1"/>
      <c r="B20" s="1"/>
      <c r="C20" s="88">
        <v>0</v>
      </c>
      <c r="D20" s="85" t="s">
        <v>75</v>
      </c>
      <c r="E20" s="71"/>
      <c r="F20" s="88">
        <v>0</v>
      </c>
      <c r="G20" s="85" t="s">
        <v>75</v>
      </c>
      <c r="H20" s="71"/>
      <c r="I20" s="88">
        <v>0</v>
      </c>
      <c r="J20" s="85" t="s">
        <v>75</v>
      </c>
      <c r="M20" s="62" t="str">
        <f>IF(C25=Calculations!H18," ",IF(OR(C25=Calculations!H15,C25=Calculations!H16,C25=Calculations!H17), " ",Calculations!O11))</f>
        <v>90° Brackets</v>
      </c>
      <c r="N20" s="62" t="str">
        <f>IF(M20=" "," ",IF(OR(C25=Calculations!H13,C25=Calculations!H14),'Price List'!C86,'Price List'!C85))</f>
        <v>K51RP010</v>
      </c>
      <c r="O20" s="62">
        <f>IF(C25=Calculations!H18," ",IF(OR(C25=Calculations!H15,C25=Calculations!H16,C25=Calculations!H17), " ",SUM(Calculations!O12:O16)))</f>
        <v>44</v>
      </c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1:47" ht="14.25" customHeight="1" thickBot="1" x14ac:dyDescent="0.25">
      <c r="A21" s="1"/>
      <c r="B21" s="1"/>
      <c r="C21" s="89"/>
      <c r="D21" s="86"/>
      <c r="E21" s="71"/>
      <c r="F21" s="89"/>
      <c r="G21" s="86"/>
      <c r="H21" s="71"/>
      <c r="I21" s="89"/>
      <c r="J21" s="86"/>
      <c r="M21" s="62" t="str">
        <f>IF(C25=Calculations!H18," ",IF(OR(C25=Calculations!H15,C25=Calculations!H16,C25=Calculations!H17), " ",Calculations!P11))</f>
        <v>Straight Brackets</v>
      </c>
      <c r="N21" s="62" t="str">
        <f>IF(M21=" "," ",IF(OR(C25=Calculations!H13,C25=Calculations!H14),'Price List'!C88,'Price List'!C87))</f>
        <v>K51LP010</v>
      </c>
      <c r="O21" s="62">
        <f>IF(C25=Calculations!H18," ",IF(OR(C25=Calculations!H15,C25=Calculations!H16,C25=Calculations!H17), " ",SUM(Calculations!P12:P16)))</f>
        <v>15</v>
      </c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1:47" ht="14.25" x14ac:dyDescent="0.2">
      <c r="A22" s="1"/>
      <c r="B22" s="1"/>
      <c r="C22" s="71"/>
      <c r="D22" s="71"/>
      <c r="E22" s="71"/>
      <c r="F22" s="71"/>
      <c r="G22" s="71"/>
      <c r="H22" s="71"/>
      <c r="I22" s="71"/>
      <c r="J22" s="71"/>
      <c r="M22" s="72" t="str">
        <f>IF(C25=Calculations!H14,Calculations!Q11,"")</f>
        <v/>
      </c>
      <c r="N22" s="72" t="str">
        <f>IF(M22=" ","",IF(C25=Calculations!H14,'Price List'!C90," "))</f>
        <v xml:space="preserve"> </v>
      </c>
      <c r="O22" s="72" t="str">
        <f>IF(C25=Calculations!H18," ",IF(OR(C25=Calculations!H15,C25=Calculations!H16,C25=Calculations!H12,C25=Calculations!H13,C25=Calculations!H17), " ",SUM(Calculations!Q12:Q16)))</f>
        <v xml:space="preserve"> </v>
      </c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1:47" ht="14.25" x14ac:dyDescent="0.2">
      <c r="A23" s="1"/>
      <c r="B23" s="1"/>
      <c r="C23" s="63"/>
      <c r="D23" s="63"/>
      <c r="E23" s="63"/>
      <c r="F23" s="84" t="s">
        <v>79</v>
      </c>
      <c r="G23" s="84"/>
      <c r="K23" s="71"/>
      <c r="L23" s="71"/>
      <c r="M23" s="62" t="str">
        <f>IF(C25=Calculations!H16,Calculations!R6," ")</f>
        <v xml:space="preserve"> </v>
      </c>
      <c r="N23" s="62" t="str">
        <f>IF(C25=Calculations!H16,'Price List'!C92," ")</f>
        <v xml:space="preserve"> </v>
      </c>
      <c r="O23" s="62" t="str">
        <f>IF(C25=Calculations!H16,Calculations!R7," ")</f>
        <v xml:space="preserve"> </v>
      </c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1:47" ht="16.5" customHeight="1" thickBot="1" x14ac:dyDescent="0.25">
      <c r="A24" s="1"/>
      <c r="B24" s="1"/>
      <c r="C24" s="84" t="s">
        <v>80</v>
      </c>
      <c r="D24" s="84"/>
      <c r="E24" s="63"/>
      <c r="F24" s="84"/>
      <c r="G24" s="84"/>
      <c r="K24" s="71"/>
      <c r="L24" s="71"/>
      <c r="M24" s="73" t="s">
        <v>81</v>
      </c>
      <c r="N24" s="73" t="str">
        <f>VLOOKUP(I8,'Price List'!B70:C80,2,FALSE)</f>
        <v>AP500C</v>
      </c>
      <c r="O24" s="73">
        <v>1</v>
      </c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1:47" ht="14.25" x14ac:dyDescent="0.2">
      <c r="A25" s="1"/>
      <c r="B25" s="1"/>
      <c r="C25" s="76" t="s">
        <v>53</v>
      </c>
      <c r="D25" s="77"/>
      <c r="E25" s="63"/>
      <c r="F25" s="80">
        <v>10</v>
      </c>
      <c r="G25" s="82" t="s">
        <v>336</v>
      </c>
      <c r="K25" s="71"/>
      <c r="L25" s="71"/>
      <c r="M25" s="62" t="s">
        <v>83</v>
      </c>
      <c r="N25" s="74" t="s">
        <v>84</v>
      </c>
      <c r="O25" s="62">
        <v>1</v>
      </c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1:47" ht="15" customHeight="1" thickBot="1" x14ac:dyDescent="0.25">
      <c r="A26" s="1"/>
      <c r="B26" s="1"/>
      <c r="C26" s="78"/>
      <c r="D26" s="79"/>
      <c r="E26" s="63"/>
      <c r="F26" s="81"/>
      <c r="G26" s="83"/>
      <c r="H26" s="63"/>
      <c r="I26" s="63"/>
      <c r="J26" s="63"/>
      <c r="K26" s="71"/>
      <c r="L26" s="71"/>
      <c r="M26" s="75" t="str">
        <f>IF(OR(C25=Calculations!H12,C25=Calculations!H13,C25=Calculations!H14),"Spring-Grip Hexhead Driver Tool"," ")</f>
        <v>Spring-Grip Hexhead Driver Tool</v>
      </c>
      <c r="N26" s="62" t="str">
        <f>IF(OR(C25=Calculations!H12,C25=Calculations!H13,C25=Calculations!H14),"FHD0855"," ")</f>
        <v>FHD0855</v>
      </c>
      <c r="O26" s="62" t="str">
        <f>IF(OR(C25=Calculations!H12,C25=Calculations!H13,C25=Calculations!H14),"1"," ")</f>
        <v>1</v>
      </c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1:47" ht="22.5" customHeight="1" x14ac:dyDescent="0.2">
      <c r="A27" s="1"/>
      <c r="B27" s="1"/>
      <c r="E27" s="71"/>
      <c r="F27" s="71"/>
      <c r="G27" s="71"/>
      <c r="H27" s="71"/>
      <c r="I27" s="71"/>
      <c r="J27" s="71"/>
      <c r="K27" s="71"/>
      <c r="L27" s="71"/>
      <c r="M27" s="75" t="str">
        <f>IF(F12= "No","Side-Fixing Guide Kit","")</f>
        <v/>
      </c>
      <c r="N27" s="62" t="str">
        <f>IF(F12= "No","FPFGK","")</f>
        <v/>
      </c>
      <c r="O27" s="62" t="str">
        <f>IF(F12= "No",1,"")</f>
        <v/>
      </c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47" ht="14.25" x14ac:dyDescent="0.2">
      <c r="A28" s="1"/>
      <c r="B28" s="1"/>
      <c r="E28" s="71"/>
      <c r="K28" s="71"/>
      <c r="L28" s="71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47" ht="14.25" x14ac:dyDescent="0.2">
      <c r="K29" s="71"/>
      <c r="L29" s="71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1:47" ht="14.25" x14ac:dyDescent="0.2"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1:47" ht="15" customHeight="1" x14ac:dyDescent="0.2"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1:47" ht="14.25" x14ac:dyDescent="0.2"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</row>
    <row r="33" spans="2:47" ht="14.25" x14ac:dyDescent="0.2"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2:47" ht="14.25" x14ac:dyDescent="0.2"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2:47" ht="14.25" x14ac:dyDescent="0.2">
      <c r="B35" s="1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</row>
    <row r="36" spans="2:47" ht="14.25" x14ac:dyDescent="0.2">
      <c r="B36" s="1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</row>
    <row r="37" spans="2:47" ht="14.25" x14ac:dyDescent="0.2">
      <c r="B37" s="1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</row>
    <row r="38" spans="2:47" ht="15" customHeight="1" x14ac:dyDescent="0.2">
      <c r="B38" s="1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</row>
    <row r="39" spans="2:47" ht="15" customHeight="1" x14ac:dyDescent="0.2">
      <c r="B39" s="1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</row>
    <row r="40" spans="2:47" ht="15" customHeight="1" x14ac:dyDescent="0.2">
      <c r="B40" s="1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</row>
    <row r="41" spans="2:47" ht="14.25" x14ac:dyDescent="0.2">
      <c r="B41" s="1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</row>
    <row r="42" spans="2:47" ht="15" customHeight="1" x14ac:dyDescent="0.2">
      <c r="B42" s="1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</row>
    <row r="43" spans="2:47" ht="14.25" x14ac:dyDescent="0.2">
      <c r="B43" s="1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</row>
    <row r="44" spans="2:47" ht="15" customHeight="1" x14ac:dyDescent="0.2">
      <c r="B44" s="1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</row>
    <row r="45" spans="2:47" ht="15" customHeight="1" x14ac:dyDescent="0.2">
      <c r="B45" s="1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</row>
    <row r="46" spans="2:47" ht="15" customHeight="1" x14ac:dyDescent="0.2">
      <c r="B46" s="1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</row>
    <row r="47" spans="2:47" ht="14.25" x14ac:dyDescent="0.2">
      <c r="B47" s="1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</row>
    <row r="48" spans="2:47" ht="27" customHeight="1" x14ac:dyDescent="0.2">
      <c r="B48" s="1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</row>
    <row r="49" spans="2:47" ht="14.25" x14ac:dyDescent="0.2">
      <c r="B49" s="1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</row>
    <row r="50" spans="2:47" ht="14.25" x14ac:dyDescent="0.2">
      <c r="B50" s="1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</row>
    <row r="51" spans="2:47" ht="151.5" customHeight="1" x14ac:dyDescent="0.2">
      <c r="B51" s="1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</row>
    <row r="52" spans="2:47" ht="14.25" x14ac:dyDescent="0.2">
      <c r="B52" s="1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</row>
    <row r="53" spans="2:47" ht="14.25" x14ac:dyDescent="0.2">
      <c r="B53" s="1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</row>
    <row r="54" spans="2:47" ht="14.25" x14ac:dyDescent="0.2">
      <c r="B54" s="1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</row>
    <row r="55" spans="2:47" ht="14.25" x14ac:dyDescent="0.2">
      <c r="B55" s="1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</row>
    <row r="56" spans="2:47" ht="14.25" x14ac:dyDescent="0.2">
      <c r="B56" s="66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</row>
    <row r="57" spans="2:47" ht="145.5" customHeight="1" x14ac:dyDescent="0.2"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</row>
    <row r="1048576" spans="30:47" ht="15" customHeight="1" x14ac:dyDescent="0.2">
      <c r="AD1048576" s="4"/>
      <c r="AE1048576" s="4"/>
      <c r="AF1048576" s="4"/>
      <c r="AG1048576" s="4"/>
      <c r="AH1048576" s="4"/>
      <c r="AI1048576" s="4"/>
      <c r="AJ1048576" s="4"/>
      <c r="AK1048576" s="4"/>
      <c r="AL1048576" s="4"/>
      <c r="AM1048576" s="4"/>
      <c r="AN1048576" s="4"/>
      <c r="AO1048576" s="4"/>
      <c r="AP1048576" s="4"/>
      <c r="AQ1048576" s="4"/>
      <c r="AR1048576" s="4"/>
      <c r="AS1048576" s="4"/>
      <c r="AT1048576" s="4"/>
      <c r="AU1048576" s="4"/>
    </row>
  </sheetData>
  <sheetProtection algorithmName="SHA-512" hashValue="q8bxxCNAPf1FuUrimy1NO+sB7Z2Tcpq4ULn8yKdMG375xSd1l2+moGxXXoywvUvu0fduyiXRvbZCaaS5LpPCBA==" saltValue="6Zq2wHzPwpySIGysvzPdVQ==" spinCount="100000" sheet="1" objects="1" scenarios="1"/>
  <mergeCells count="46">
    <mergeCell ref="T7:U7"/>
    <mergeCell ref="C8:D9"/>
    <mergeCell ref="F8:G9"/>
    <mergeCell ref="I8:J9"/>
    <mergeCell ref="Q8:S8"/>
    <mergeCell ref="T8:U8"/>
    <mergeCell ref="C7:D7"/>
    <mergeCell ref="F7:G7"/>
    <mergeCell ref="I7:J7"/>
    <mergeCell ref="Q7:S7"/>
    <mergeCell ref="T9:U9"/>
    <mergeCell ref="Q10:S10"/>
    <mergeCell ref="T10:U10"/>
    <mergeCell ref="F11:G11"/>
    <mergeCell ref="I11:J11"/>
    <mergeCell ref="Q11:S11"/>
    <mergeCell ref="F12:G12"/>
    <mergeCell ref="I12:J12"/>
    <mergeCell ref="Q12:S12"/>
    <mergeCell ref="Q13:S13"/>
    <mergeCell ref="Q9:S9"/>
    <mergeCell ref="Q14:S14"/>
    <mergeCell ref="C15:D15"/>
    <mergeCell ref="F15:G15"/>
    <mergeCell ref="I15:J15"/>
    <mergeCell ref="Q15:S15"/>
    <mergeCell ref="J16:J17"/>
    <mergeCell ref="C16:C17"/>
    <mergeCell ref="D16:D17"/>
    <mergeCell ref="F16:F17"/>
    <mergeCell ref="G16:G17"/>
    <mergeCell ref="I16:I17"/>
    <mergeCell ref="J20:J21"/>
    <mergeCell ref="C19:D19"/>
    <mergeCell ref="F19:G19"/>
    <mergeCell ref="I19:J19"/>
    <mergeCell ref="C20:C21"/>
    <mergeCell ref="D20:D21"/>
    <mergeCell ref="F20:F21"/>
    <mergeCell ref="G20:G21"/>
    <mergeCell ref="I20:I21"/>
    <mergeCell ref="C25:D26"/>
    <mergeCell ref="F25:F26"/>
    <mergeCell ref="G25:G26"/>
    <mergeCell ref="F23:G24"/>
    <mergeCell ref="C24:D24"/>
  </mergeCells>
  <conditionalFormatting sqref="F12:J12">
    <cfRule type="expression" dxfId="6" priority="5">
      <formula>#REF!=#REF!</formula>
    </cfRule>
  </conditionalFormatting>
  <conditionalFormatting sqref="G6:L6 C6:E9 B7:B8 F7:J9 P8 C10:L10 V11:AC11 C11:E12 C13:J14 K14:L14 C15:D17 F15:J17 C18:J26 K19:L19 K23:L29 E27:J27 E28 B30:B57">
    <cfRule type="expression" dxfId="5" priority="7">
      <formula>#REF!=#REF!</formula>
    </cfRule>
  </conditionalFormatting>
  <conditionalFormatting sqref="N4:O4">
    <cfRule type="expression" dxfId="3" priority="3">
      <formula>#REF!=#REF!</formula>
    </cfRule>
  </conditionalFormatting>
  <conditionalFormatting sqref="Q7:Q15">
    <cfRule type="expression" dxfId="2" priority="6">
      <formula>#REF!=#REF!</formula>
    </cfRule>
  </conditionalFormatting>
  <conditionalFormatting sqref="M5:O6">
    <cfRule type="expression" dxfId="0" priority="1">
      <formula>#REF!=#REF!</formula>
    </cfRule>
  </conditionalFormatting>
  <dataValidations count="3">
    <dataValidation allowBlank="1" showInputMessage="1" showErrorMessage="1" sqref="F11 H11:H12 I11:J11" xr:uid="{E077A093-9879-480F-A379-C31D799C6F9A}"/>
    <dataValidation type="list" allowBlank="1" showInputMessage="1" showErrorMessage="1" sqref="F12:G12" xr:uid="{A3F532F0-AD15-497E-B51D-582E983EBA7A}">
      <formula1>INDIRECT(F8)</formula1>
    </dataValidation>
    <dataValidation type="list" allowBlank="1" showInputMessage="1" showErrorMessage="1" sqref="I12:J12" xr:uid="{9F3200FA-D4B6-4BD2-8FC2-1D032A92ECB8}">
      <formula1>INDIRECT(F12)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2041836F-20F9-4FAB-92E7-754587E8D15B}">
          <x14:formula1>
            <xm:f>Calculations!$G$5:$G$12</xm:f>
          </x14:formula1>
          <xm:sqref>I8:J9</xm:sqref>
        </x14:dataValidation>
        <x14:dataValidation type="list" allowBlank="1" showInputMessage="1" showErrorMessage="1" xr:uid="{303240C6-71E9-4A83-B500-8AB77CF125DE}">
          <x14:formula1>
            <xm:f>Calculations!$F$8:$F$10</xm:f>
          </x14:formula1>
          <xm:sqref>F8:G9</xm:sqref>
        </x14:dataValidation>
        <x14:dataValidation type="list" allowBlank="1" showInputMessage="1" showErrorMessage="1" xr:uid="{BEEE09B7-2E1E-4BDF-ACCB-41AF2F892EF6}">
          <x14:formula1>
            <xm:f>Calculations!$F$5:$F$6</xm:f>
          </x14:formula1>
          <xm:sqref>C8:D9</xm:sqref>
        </x14:dataValidation>
        <x14:dataValidation type="list" allowBlank="1" showInputMessage="1" showErrorMessage="1" xr:uid="{4D50CC43-ADCF-4050-9470-FB11B56EC7FD}">
          <x14:formula1>
            <xm:f>Calculations!$G$14:$G$17</xm:f>
          </x14:formula1>
          <xm:sqref>F15:G15</xm:sqref>
        </x14:dataValidation>
        <x14:dataValidation type="list" allowBlank="1" showInputMessage="1" showErrorMessage="1" xr:uid="{A8B2B781-37EE-4F02-A841-3A115A169322}">
          <x14:formula1>
            <xm:f>Calculations!$G$18:$G$19</xm:f>
          </x14:formula1>
          <xm:sqref>G16:G17</xm:sqref>
        </x14:dataValidation>
        <x14:dataValidation type="list" allowBlank="1" showInputMessage="1" showErrorMessage="1" xr:uid="{3F3E485A-3F2D-46C8-B5CB-4898B91A721E}">
          <x14:formula1>
            <xm:f>Calculations!$G$18:$G$20</xm:f>
          </x14:formula1>
          <xm:sqref>J16:J17</xm:sqref>
        </x14:dataValidation>
        <x14:dataValidation type="list" allowBlank="1" showInputMessage="1" showErrorMessage="1" xr:uid="{C29E51A8-200B-42AF-BBD7-95EF2EE7DFA9}">
          <x14:formula1>
            <xm:f>Calculations!$G$19:$G$20</xm:f>
          </x14:formula1>
          <xm:sqref>D16:D17</xm:sqref>
        </x14:dataValidation>
        <x14:dataValidation type="list" allowBlank="1" showInputMessage="1" showErrorMessage="1" xr:uid="{17ACA0B8-AF8E-47E0-9155-9EB86CAA7479}">
          <x14:formula1>
            <xm:f>Calculations!$G$21:$G$26</xm:f>
          </x14:formula1>
          <xm:sqref>C20:C21 I20:I21 F20:F21</xm:sqref>
        </x14:dataValidation>
        <x14:dataValidation type="list" allowBlank="1" showInputMessage="1" showErrorMessage="1" xr:uid="{CE96BCB0-CA34-467E-921E-47026AC66B87}">
          <x14:formula1>
            <xm:f>Calculations!$H$12:$H$18</xm:f>
          </x14:formula1>
          <xm:sqref>C25:D26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21B4D-A6A1-4D37-B6F9-B28046F03E9C}">
  <dimension ref="A1:R44"/>
  <sheetViews>
    <sheetView workbookViewId="0">
      <selection activeCell="I3" sqref="I3"/>
    </sheetView>
  </sheetViews>
  <sheetFormatPr defaultRowHeight="15" x14ac:dyDescent="0.25"/>
  <cols>
    <col min="1" max="4" width="11.28515625" style="4" customWidth="1"/>
    <col min="5" max="5" width="11.140625" style="4" customWidth="1"/>
    <col min="6" max="6" width="16.7109375" style="4" bestFit="1" customWidth="1"/>
    <col min="7" max="7" width="17" style="4" bestFit="1" customWidth="1"/>
    <col min="8" max="8" width="33.28515625" style="4" bestFit="1" customWidth="1"/>
    <col min="9" max="9" width="15.140625" style="4" bestFit="1" customWidth="1"/>
    <col min="10" max="10" width="16.7109375" style="4" bestFit="1" customWidth="1"/>
    <col min="11" max="11" width="16.28515625" style="4" bestFit="1" customWidth="1"/>
    <col min="12" max="12" width="11.140625" style="4" customWidth="1"/>
    <col min="13" max="13" width="12.5703125" style="4" bestFit="1" customWidth="1"/>
    <col min="14" max="14" width="28.28515625" style="4" bestFit="1" customWidth="1"/>
    <col min="15" max="15" width="15.28515625" style="4" bestFit="1" customWidth="1"/>
    <col min="16" max="16" width="17.5703125" style="4" bestFit="1" customWidth="1"/>
    <col min="17" max="17" width="23.28515625" style="4" bestFit="1" customWidth="1"/>
    <col min="18" max="18" width="17.5703125" style="4" customWidth="1"/>
  </cols>
  <sheetData>
    <row r="1" spans="1:18" x14ac:dyDescent="0.25">
      <c r="A1" s="1" t="s">
        <v>329</v>
      </c>
      <c r="B1" s="1"/>
      <c r="C1" s="3" t="s">
        <v>330</v>
      </c>
      <c r="D1" s="1" t="s">
        <v>331</v>
      </c>
      <c r="E1" s="53" t="s">
        <v>332</v>
      </c>
      <c r="F1"/>
    </row>
    <row r="2" spans="1:18" x14ac:dyDescent="0.25">
      <c r="A2" s="113">
        <f>ROUNDUP(SUM(Calculator!C16/10.764),0)</f>
        <v>140</v>
      </c>
      <c r="B2" s="53"/>
      <c r="C2" s="113">
        <f>ROUNDUP(SUM(Calculator!F16/3.281),0)</f>
        <v>16</v>
      </c>
      <c r="D2" s="113">
        <f>ROUNDUP(SUM(Calculator!I16/3.281),0)</f>
        <v>0</v>
      </c>
      <c r="E2" s="115">
        <f>ROUNDUP(SUM(Calculator!F25*25.4),0)</f>
        <v>254</v>
      </c>
      <c r="F2"/>
      <c r="J2" s="4">
        <f>IF(Calculator!F15=G17,ROUNDUP(Calculator!F16/3.6,0),0)</f>
        <v>0</v>
      </c>
    </row>
    <row r="3" spans="1:18" x14ac:dyDescent="0.25">
      <c r="A3" s="114"/>
      <c r="B3" s="1"/>
      <c r="C3" s="114"/>
      <c r="D3" s="114"/>
      <c r="E3" s="116"/>
      <c r="F3"/>
      <c r="H3" s="4" t="s">
        <v>0</v>
      </c>
      <c r="I3" s="4">
        <f>ROUNDUP(IF(Calculator!I12=F25,ROUNDUP(Calculations!A2*2.14,0),IF(Calculator!I12=F26,ROUNDUP(Calculations!A2*2.14*0.41935,0),IF(Calculator!I12=F27,ROUNDUP(Calculations!A2*2.14*0.26531,0),IF(Calculator!I12=F28,ROUNDUP(Calculations!A2*2.14*0.19403,0)))))*M7,0)</f>
        <v>126</v>
      </c>
      <c r="J3" s="4">
        <f>IF(OR(Calculator!F12=C6,Calculator!F12=0),J7,IF(AND(Calculator!F12=B6,Calculator!I12=F25),"",IF(AND(Calculator!F12=B6,Calculator!I12=F26),ROUNDUP(J7*0.58065,0),IF(AND(Calculator!F12=B6,Calculator!I12=F27),ROUNDUP(J7*0.73469,0),IF(AND(Calculator!F12=B6,Calculator!I12=F28),ROUNDUP(J7*0.80597,0))))))</f>
        <v>126</v>
      </c>
      <c r="K3" s="4">
        <f>IF(Calculator!C8=D10,IF(Calculator!F8=J6,IF(ROUNDDOWN(J3,-2)=0,0,ROUNDDOWN(J3,-2)),IF(Calculator!F8=K6,IF(ROUNDDOWN(K7,-2)=0,0,ROUNDDOWN(K7,-2)),IF(Calculator!F8=L6,IF(ROUNDDOWN(L7,-2)=0,0,ROUNDDOWN(L7,-2))))),0)</f>
        <v>0</v>
      </c>
    </row>
    <row r="4" spans="1:18" x14ac:dyDescent="0.25">
      <c r="I4" s="4">
        <f>Calculations!E2/1000</f>
        <v>0.254</v>
      </c>
    </row>
    <row r="5" spans="1:18" x14ac:dyDescent="0.25">
      <c r="B5" s="5" t="s">
        <v>5</v>
      </c>
      <c r="C5" s="6" t="s">
        <v>6</v>
      </c>
      <c r="D5" s="4" t="s">
        <v>7</v>
      </c>
      <c r="F5" s="4" t="s">
        <v>8</v>
      </c>
      <c r="G5" s="4" t="str">
        <f>IF(Calculator!F$8=F$8,F12,IF(Calculator!F$8=F$9,F20,IF(Calculator!F$8=F$10,F13,"")))</f>
        <v>Brushed Basalt</v>
      </c>
      <c r="H5" s="4" t="s">
        <v>10</v>
      </c>
      <c r="I5" s="4">
        <f>IF(I4&gt;0.8,I4*1.5,I4+0.4)</f>
        <v>0.65400000000000003</v>
      </c>
      <c r="J5" s="4">
        <v>1.54</v>
      </c>
      <c r="K5" s="4">
        <v>1.36</v>
      </c>
      <c r="L5" s="4">
        <v>1.36</v>
      </c>
    </row>
    <row r="6" spans="1:18" x14ac:dyDescent="0.25">
      <c r="B6" s="8" t="s">
        <v>11</v>
      </c>
      <c r="C6" s="9" t="s">
        <v>12</v>
      </c>
      <c r="D6" s="9" t="s">
        <v>12</v>
      </c>
      <c r="F6" s="4" t="s">
        <v>13</v>
      </c>
      <c r="G6" s="4" t="str">
        <f>IF(Calculator!F$8=F$8,F13,IF(Calculator!F$8=F$9,F21,IF(Calculator!F$8=F$10,F14,"")))</f>
        <v>Coppered Oak</v>
      </c>
      <c r="H6" s="10"/>
      <c r="I6" s="10" t="s">
        <v>15</v>
      </c>
      <c r="J6" s="11" t="s">
        <v>5</v>
      </c>
      <c r="K6" s="11" t="s">
        <v>6</v>
      </c>
      <c r="L6" s="11" t="s">
        <v>7</v>
      </c>
      <c r="M6" s="10"/>
      <c r="N6" s="4" t="s">
        <v>16</v>
      </c>
      <c r="O6" s="4" t="s">
        <v>17</v>
      </c>
      <c r="P6" s="4" t="s">
        <v>18</v>
      </c>
      <c r="Q6" s="4" t="s">
        <v>19</v>
      </c>
      <c r="R6" s="4" t="s">
        <v>20</v>
      </c>
    </row>
    <row r="7" spans="1:18" x14ac:dyDescent="0.25">
      <c r="B7" s="12" t="s">
        <v>12</v>
      </c>
      <c r="C7" s="13"/>
      <c r="D7" s="13"/>
      <c r="G7" s="4" t="str">
        <f>IF(Calculator!F$8=F$8,F14,IF(Calculator!F$8=F$9,F22,IF(Calculator!F$8=F$10,"","")))</f>
        <v>Golden Oak</v>
      </c>
      <c r="H7" s="10" t="s">
        <v>3</v>
      </c>
      <c r="I7" s="10"/>
      <c r="J7" s="11">
        <f>IF(Calculator!D16=G20,ROUNDUP(SUM(A2*J5*M7),0),IF(Calculator!D16=G19,Calculations!A2))</f>
        <v>216</v>
      </c>
      <c r="K7" s="11">
        <f>IF(Calculator!D16=G20,ROUNDUP(SUM(A2*K5*M7),0),IF(Calculator!D16=G19,Calculations!A2))</f>
        <v>191</v>
      </c>
      <c r="L7" s="11">
        <f>IF(Calculator!D16=G20,ROUNDUP(SUM(A2*L5*M7),0),IF(Calculator!D16=G19,Calculations!A2))</f>
        <v>191</v>
      </c>
      <c r="M7" s="14">
        <f>Calculator!C20/100+1</f>
        <v>1</v>
      </c>
      <c r="N7" s="4">
        <f>IF(Calculator!C25=H17,ROUNDUP(L17*6/100*M7,0),ROUNDUP(Q7*12/100*M7,0))</f>
        <v>0</v>
      </c>
      <c r="O7" s="2">
        <f>ROUNDUP(J10*22/100*M10,0)</f>
        <v>0</v>
      </c>
      <c r="P7" s="4">
        <f>ROUNDUP(Calculations!A2*12/50*M7,0)</f>
        <v>34</v>
      </c>
      <c r="Q7" s="4">
        <f>ROUNDUP(Calculator!I16/3*M10,0)</f>
        <v>0</v>
      </c>
      <c r="R7" s="4">
        <f>IF(Calculator!C8=F5,ROUNDUP(Calculations!A2*10/100,0),ROUNDUP(Calculations!A2*16/100,0))</f>
        <v>23</v>
      </c>
    </row>
    <row r="8" spans="1:18" x14ac:dyDescent="0.25">
      <c r="A8" s="1"/>
      <c r="B8" s="1"/>
      <c r="C8" s="1"/>
      <c r="D8" s="1"/>
      <c r="E8" s="1"/>
      <c r="F8" s="4" t="s">
        <v>5</v>
      </c>
      <c r="G8" s="4" t="str">
        <f>IF(Calculator!F$8=F$8,F15,IF(Calculator!F$8=F$9,"",IF(Calculator!F$8=F$10,"","")))</f>
        <v>Limed Oak</v>
      </c>
      <c r="H8" s="10" t="s">
        <v>24</v>
      </c>
      <c r="I8" s="10"/>
      <c r="J8" s="11">
        <f>IF(AND(Calculator!$F$8=J6,Calculator!F12=B7),IF(Calculator!$C$8=F5,SUM(J7*22/250),SUM(J7*26/250)),IF(AND(Calculator!$F$8=J6,Calculator!F12=B6),IF(Calculator!$C$8=F5,SUM(SUM(I3+J3)*22/250),SUM(SUM(I3+J3)*26/250)),0))</f>
        <v>26.207999999999998</v>
      </c>
      <c r="K8" s="11">
        <f>IF(Calculator!$F$8=K6,IF(Calculator!$C$8=$F$5,SUM(K7*22/250),SUM(K7*26/250)),0)</f>
        <v>0</v>
      </c>
      <c r="L8" s="11">
        <f>IF(Calculator!$F$8=L6,IF(Calculator!$C$8=$F$5,SUM(L7*22/250),SUM(L7*26/250)),0)</f>
        <v>0</v>
      </c>
      <c r="M8" s="10">
        <f>ROUNDUP(SUM(J8:L8,K9,K10),0)</f>
        <v>27</v>
      </c>
    </row>
    <row r="9" spans="1:18" x14ac:dyDescent="0.25">
      <c r="A9" s="1"/>
      <c r="B9" s="15"/>
      <c r="C9" s="15"/>
      <c r="D9" s="16"/>
      <c r="E9" s="1"/>
      <c r="F9" s="4" t="s">
        <v>6</v>
      </c>
      <c r="G9" s="4" t="str">
        <f>IF(Calculator!F$8=F$8,F16,IF(Calculator!F$8=F$9,"",IF(Calculator!F$8=F$10,"","")))</f>
        <v>Smoked Oak</v>
      </c>
      <c r="H9" s="10" t="s">
        <v>27</v>
      </c>
      <c r="I9" s="10"/>
      <c r="J9" s="11">
        <f>IF(AND(OR(Calculator!$F$15=$G$14,Calculator!$F$15=$G$17),Calculator!G16=G18),ROUNDUP(SUM(Calculations!C2/3.6*M9),0),IF(AND(OR(Calculator!$F$15=$G$14,Calculator!$F$15=$G$17),Calculator!G16=G19),Calculator!F16,IF(AND(OR(Calculator!$F$15=$G$15,Calculator!$F$15=$G$16),Calculator!G16=G18),ROUNDUP(SUM(Calculations!C2/2.4*M9),0),IF(AND(OR(Calculator!$F$15=$G$15,Calculator!$F$15=$G$16),Calculator!G16=G19),Calculator!F16))))</f>
        <v>5</v>
      </c>
      <c r="K9" s="11">
        <f>J9*18/250</f>
        <v>0.36</v>
      </c>
      <c r="L9" s="11">
        <f>IF(Calculator!$F$15=$G$14,ROUNDUP(SUM(Calculations!C2/3.6),0),ROUNDUP(SUM(Calculations!C2/2.4),0))</f>
        <v>5</v>
      </c>
      <c r="M9" s="14">
        <f>Calculator!F20/100+1</f>
        <v>1</v>
      </c>
    </row>
    <row r="10" spans="1:18" x14ac:dyDescent="0.25">
      <c r="A10" s="1"/>
      <c r="B10" s="17" t="s">
        <v>11</v>
      </c>
      <c r="C10" s="17" t="s">
        <v>12</v>
      </c>
      <c r="D10" s="7" t="s">
        <v>35</v>
      </c>
      <c r="E10" s="1"/>
      <c r="F10" s="4" t="s">
        <v>7</v>
      </c>
      <c r="G10" s="4" t="str">
        <f>IF(Calculator!F$8=F$8,F17,IF(Calculator!F$8=F$9,"",IF(Calculator!F$8=F$10,"","")))</f>
        <v>Jarrah</v>
      </c>
      <c r="H10" s="10" t="s">
        <v>30</v>
      </c>
      <c r="I10" s="10"/>
      <c r="J10" s="11">
        <f>IF(Calculator!J16=G18,ROUNDUP(SUM(D2/3.6*M10),0),IF(Calculator!J16=G20,ROUNDUP(SUM(D2*2.14*M10),0),IF(Calculator!J16=G19,D2)))</f>
        <v>0</v>
      </c>
      <c r="K10" s="11"/>
      <c r="L10" s="11">
        <f>ROUNDUP(SUM(D2/3.6),0)</f>
        <v>0</v>
      </c>
      <c r="M10" s="14">
        <f>Calculator!I20/100+1</f>
        <v>1</v>
      </c>
    </row>
    <row r="11" spans="1:18" x14ac:dyDescent="0.25">
      <c r="A11" s="1"/>
      <c r="B11" s="18">
        <v>1</v>
      </c>
      <c r="C11" s="17" t="s">
        <v>41</v>
      </c>
      <c r="D11" s="7" t="s">
        <v>42</v>
      </c>
      <c r="E11" s="1"/>
      <c r="G11" s="4" t="str">
        <f>IF(Calculator!F$8=F$8,F18,IF(Calculator!F$8=F$9,"",IF(Calculator!F$8=F$10,"","")))</f>
        <v>Burnt Cedar</v>
      </c>
      <c r="H11" s="19"/>
      <c r="I11" s="19"/>
      <c r="J11" s="20" t="s">
        <v>39</v>
      </c>
      <c r="K11" s="20" t="s">
        <v>44</v>
      </c>
      <c r="L11" s="20" t="s">
        <v>33</v>
      </c>
      <c r="M11" s="21" t="s">
        <v>45</v>
      </c>
      <c r="N11" s="22" t="s">
        <v>46</v>
      </c>
      <c r="O11" s="11" t="s">
        <v>47</v>
      </c>
      <c r="P11" s="11" t="s">
        <v>48</v>
      </c>
      <c r="Q11" s="11" t="s">
        <v>49</v>
      </c>
      <c r="R11" s="11"/>
    </row>
    <row r="12" spans="1:18" x14ac:dyDescent="0.25">
      <c r="A12" s="1"/>
      <c r="B12" s="4" t="s">
        <v>51</v>
      </c>
      <c r="C12" s="17"/>
      <c r="D12" s="1"/>
      <c r="E12" s="1"/>
      <c r="F12" s="23" t="s">
        <v>9</v>
      </c>
      <c r="G12" s="4" t="str">
        <f>IF(Calculator!F$8=F$8,F19,IF(Calculator!F$8=F$9,"",IF(Calculator!F$8=F$10,"","")))</f>
        <v>Antique Oak</v>
      </c>
      <c r="H12" s="24" t="s">
        <v>53</v>
      </c>
      <c r="I12" s="10"/>
      <c r="J12" s="11" t="str">
        <f>IF(Calculator!$C$25=$H12,"N/A"," ")</f>
        <v>N/A</v>
      </c>
      <c r="K12" s="11" t="str">
        <f>IF(Calculator!$C$25=$H12,"N/A"," ")</f>
        <v>N/A</v>
      </c>
      <c r="L12" s="11">
        <f>IF(Calculator!$C$25=$H12,IF(Calculator!$C$8=$F$5,ROUNDUP(Calculations!A2*0.9*$M$7,0),ROUNDUP(Calculations!A2*1.12*$M$7,0))," ")</f>
        <v>157</v>
      </c>
      <c r="M12" s="11">
        <f>IF(Calculator!$C$25=$H12,IF(Calculator!$C$8=$F$5,ROUNDUP(Calculations!A2*1.5*M7,0),ROUNDUP(Calculations!A2*1.5*M7,0))," ")</f>
        <v>210</v>
      </c>
      <c r="N12" s="11" t="str">
        <f>IF(Calculator!$C25=$H12,"N/A"," ")</f>
        <v>N/A</v>
      </c>
      <c r="O12" s="4">
        <f>IF(Calculator!$C$25=$H12,IF(Calculator!$C$8=$F$5,ROUNDUP(Calculations!A2*2.48/10*M7,0),ROUNDUP(Calculations!A2*3.08/10*M7,0))," ")</f>
        <v>44</v>
      </c>
      <c r="P12" s="11">
        <f>IF(Calculator!$C$25=$H12,IF(Calculator!$C$8=$F$5,ROUNDUP(Calculations!A2*0.8/10*M7,0),ROUNDUP(Calculations!A2*1.05/10*M7,0))," ")</f>
        <v>15</v>
      </c>
      <c r="Q12" s="11" t="str">
        <f>IF(Calculator!$C25=$H12,"N/A"," ")</f>
        <v>N/A</v>
      </c>
      <c r="R12" s="11"/>
    </row>
    <row r="13" spans="1:18" x14ac:dyDescent="0.25">
      <c r="A13" s="1"/>
      <c r="B13" s="4" t="s">
        <v>54</v>
      </c>
      <c r="C13" s="1"/>
      <c r="D13" s="1"/>
      <c r="E13" s="1"/>
      <c r="F13" s="23" t="s">
        <v>14</v>
      </c>
      <c r="H13" s="24" t="s">
        <v>55</v>
      </c>
      <c r="I13" s="10"/>
      <c r="J13" s="11" t="str">
        <f>IF(Calculator!$C$25=$H13,"N/A"," ")</f>
        <v xml:space="preserve"> </v>
      </c>
      <c r="K13" s="11" t="str">
        <f>IF(Calculator!$C$25=$H13,"N/A"," ")</f>
        <v xml:space="preserve"> </v>
      </c>
      <c r="L13" s="11" t="str">
        <f>IF(Calculator!$C$25=$H13,IF(Calculator!$C$8=$F$5,ROUNDUP(Calculations!A2*0.9*$M$7,0),ROUNDUP(Calculations!A2*1.12*$M$7,0))," ")</f>
        <v xml:space="preserve"> </v>
      </c>
      <c r="M13" s="11" t="str">
        <f>IF(Calculator!$C$25=$H13,IF(Calculator!$C$8=$F$5,ROUNDUP(Calculations!A2*1.5*M7,0),ROUNDUP(Calculations!A2*1.5*M7,0))," ")</f>
        <v xml:space="preserve"> </v>
      </c>
      <c r="N13" s="11" t="str">
        <f>IF(Calculator!$C26=$H13,"N/A"," ")</f>
        <v xml:space="preserve"> </v>
      </c>
      <c r="O13" s="4" t="str">
        <f>IF(Calculator!$C$25=$H13,IF(Calculator!$C$8=$F$5,ROUNDUP(Calculations!A2*2.48/10*M7,0),ROUNDUP(Calculations!A2*3.08/10*M7,0))," ")</f>
        <v xml:space="preserve"> </v>
      </c>
      <c r="P13" s="11" t="str">
        <f>IF(Calculator!$C$25=$H13,IF(Calculator!$C$8=$F$5,ROUNDUP(Calculations!A2*0.8/10*M7,0),ROUNDUP(Calculations!A2*1.05/10*M7,0)),"")</f>
        <v/>
      </c>
      <c r="Q13" s="11" t="str">
        <f>IF(Calculator!$C26=$H13,"N/A"," ")</f>
        <v xml:space="preserve"> </v>
      </c>
      <c r="R13" s="11"/>
    </row>
    <row r="14" spans="1:18" x14ac:dyDescent="0.25">
      <c r="A14" s="1"/>
      <c r="B14" s="4" t="s">
        <v>56</v>
      </c>
      <c r="C14" s="1"/>
      <c r="D14" s="1"/>
      <c r="E14" s="1"/>
      <c r="F14" s="23" t="s">
        <v>26</v>
      </c>
      <c r="G14" s="7" t="s">
        <v>57</v>
      </c>
      <c r="H14" s="24" t="s">
        <v>58</v>
      </c>
      <c r="I14" s="10"/>
      <c r="J14" s="11" t="str">
        <f>IF(Calculator!C25=H14,IF(Calculator!C$8=F$5,ROUNDUP(SUM(Calculator!C$16*0.61)*SUM(I$5/3)*M7,0),ROUNDUP(SUM(Calculator!C$16*0.98)*SUM(I$5/3)*M7,0))," ")</f>
        <v xml:space="preserve"> </v>
      </c>
      <c r="K14" s="11" t="str">
        <f>IF(Calculator!C25=H14,IF(Calculator!C8=F5,ROUNDUP(SUM(Calculations!A2*0.26)*M7,0),ROUNDUP(SUM(Calculations!A2*0.32)*M7,0))," ")</f>
        <v xml:space="preserve"> </v>
      </c>
      <c r="L14" s="11" t="str">
        <f>IF(Calculator!$C$25=$H14,IF(Calculator!$C$8=$F$5,ROUNDUP(Calculations!A2*0.9*$M$7,0),ROUNDUP(Calculations!A2*1.12*$M$7,0))," ")</f>
        <v xml:space="preserve"> </v>
      </c>
      <c r="M14" s="11" t="str">
        <f>IF(Calculator!$C$25=$H14,IF(Calculator!$C$8=$F$5,ROUNDUP(Calculations!A2*1.5*M7,0),ROUNDUP(Calculations!A2*1.5*M7,0))," ")</f>
        <v xml:space="preserve"> </v>
      </c>
      <c r="N14" s="11" t="str">
        <f>IF(Calculator!C25=H14,IF(Calculator!C8=F5,ROUNDUP(SUM((((Calculations!A2*0.26)*3.6)/0.4)*2*M7)/30,0),ROUNDUP(SUM((((Calculations!A2*0.32)*3.6)/0.3)*2*M7)/30,0))," ")</f>
        <v xml:space="preserve"> </v>
      </c>
      <c r="O14" s="11" t="str">
        <f>IF(Calculator!$C$25=$H14,IF(Calculator!$C$8=$F$5,ROUNDUP(Calculations!A2*2.48/10*M7,0),ROUNDUP(Calculations!A2*3.08/10*M7,0))," ")</f>
        <v xml:space="preserve"> </v>
      </c>
      <c r="P14" s="11" t="str">
        <f>IF(Calculator!$C$25=$H14,IF(Calculator!$C$8=$F$5,ROUNDUP(Calculations!A2*0.97/10*M7,0),ROUNDUP(Calculations!A2*1.26/10*M7,0))," ")</f>
        <v xml:space="preserve"> </v>
      </c>
      <c r="Q14" s="11" t="str">
        <f>IF(Calculator!$C$25=$H14,IF(Calculator!$C$8=$F$5,ROUNDUP(Calculations!A2*1.01/10*M7,0),ROUNDUP(Calculations!A2*1.71/10*M7,0))," ")</f>
        <v xml:space="preserve"> </v>
      </c>
      <c r="R14" s="11"/>
    </row>
    <row r="15" spans="1:18" x14ac:dyDescent="0.25">
      <c r="A15" s="1"/>
      <c r="B15" s="1"/>
      <c r="C15" s="1"/>
      <c r="D15" s="1"/>
      <c r="E15" s="1"/>
      <c r="F15" s="7" t="s">
        <v>29</v>
      </c>
      <c r="G15" s="7" t="s">
        <v>59</v>
      </c>
      <c r="H15" s="24" t="s">
        <v>60</v>
      </c>
      <c r="I15" s="10"/>
      <c r="J15" s="11" t="str">
        <f>IF(Calculator!C25=H15,IF(Calculator!C$8=F$5,ROUNDUP(SUM(Calculations!A2*I5)/3,0),ROUNDUP(SUM(Calculations!A2*1.4*I5)/3,0))," ")</f>
        <v xml:space="preserve"> </v>
      </c>
      <c r="K15" s="11" t="str">
        <f>IF(Calculator!$C$25=$H15,"N/A"," ")</f>
        <v xml:space="preserve"> </v>
      </c>
      <c r="L15" s="11" t="str">
        <f>IF(Calculator!$C$25=H15,IF(Calculator!$C$8=$F$5,ROUNDUP(SUM(Calculations!A2*1.7*M7),0),ROUNDUP(SUM(Calculations!A2*2.1*M7),0))," ")</f>
        <v xml:space="preserve"> </v>
      </c>
      <c r="M15" s="11" t="str">
        <f>IF(Calculator!$C$25=$H15,"N/A"," ")</f>
        <v xml:space="preserve"> </v>
      </c>
      <c r="N15" s="11" t="str">
        <f>IF(Calculator!$F23=$H15,"N/A"," ")</f>
        <v xml:space="preserve"> </v>
      </c>
      <c r="O15" s="11" t="str">
        <f>IF(Calculator!$F23=$H15,"N/A"," ")</f>
        <v xml:space="preserve"> </v>
      </c>
      <c r="P15" s="11" t="str">
        <f>IF(Calculator!$F23=$H15,"N/A"," ")</f>
        <v xml:space="preserve"> </v>
      </c>
      <c r="Q15" s="11" t="str">
        <f>IF(Calculator!$F23=$H15,"N/A"," ")</f>
        <v xml:space="preserve"> </v>
      </c>
      <c r="R15" s="11"/>
    </row>
    <row r="16" spans="1:18" x14ac:dyDescent="0.25">
      <c r="A16" s="1"/>
      <c r="B16" s="1"/>
      <c r="C16" s="1"/>
      <c r="D16" s="1"/>
      <c r="E16" s="1"/>
      <c r="F16" s="7" t="s">
        <v>32</v>
      </c>
      <c r="G16" s="7" t="s">
        <v>61</v>
      </c>
      <c r="H16" s="24" t="s">
        <v>62</v>
      </c>
      <c r="I16" s="10"/>
      <c r="J16" s="11" t="str">
        <f>IF(Calculator!$C$25=$H16,"N/A"," ")</f>
        <v xml:space="preserve"> </v>
      </c>
      <c r="K16" s="11" t="str">
        <f>IF(Calculator!$C$25=$H16,"N/A"," ")</f>
        <v xml:space="preserve"> </v>
      </c>
      <c r="L16" s="11" t="str">
        <f>IF(Calculator!$C$25=H16,IF(Calculator!$C$8=$F$5,ROUNDUP(SUM(Calculations!A2*1.5*M7),0),ROUNDUP(SUM(Calculations!A2*1.8*M7),0))," ")</f>
        <v xml:space="preserve"> </v>
      </c>
      <c r="M16" s="11" t="str">
        <f>IF(Calculator!$C$25=$H16,"N/A"," ")</f>
        <v xml:space="preserve"> </v>
      </c>
      <c r="N16" s="11" t="str">
        <f>IF(Calculator!$F24=$H16,"N/A"," ")</f>
        <v xml:space="preserve"> </v>
      </c>
      <c r="O16" s="11" t="str">
        <f>IF(Calculator!$F24=$H16,"N/A"," ")</f>
        <v xml:space="preserve"> </v>
      </c>
      <c r="P16" s="11" t="str">
        <f>IF(Calculator!$F24=$H16,"N/A"," ")</f>
        <v xml:space="preserve"> </v>
      </c>
      <c r="Q16" s="11" t="str">
        <f>IF(Calculator!$F24=$H16,"N/A"," ")</f>
        <v xml:space="preserve"> </v>
      </c>
      <c r="R16" s="11"/>
    </row>
    <row r="17" spans="1:18" x14ac:dyDescent="0.25">
      <c r="A17" s="1"/>
      <c r="B17" s="1"/>
      <c r="C17" s="1"/>
      <c r="D17" s="1"/>
      <c r="E17" s="1"/>
      <c r="F17" s="7" t="s">
        <v>36</v>
      </c>
      <c r="G17" s="4" t="s">
        <v>15</v>
      </c>
      <c r="H17" s="7" t="s">
        <v>64</v>
      </c>
      <c r="J17" s="25"/>
      <c r="L17" s="25" t="str">
        <f>IF(AND(Calculator!C8=F5,Calculator!C25=H17),ROUNDUP(Calculations!A2*1.16,0),IF(AND(Calculator!C8=F6,Calculator!C25=H17),ROUNDUP(Calculations!A2*1.44,0),""))</f>
        <v/>
      </c>
      <c r="M17" s="25"/>
      <c r="N17" s="25"/>
      <c r="O17" s="25"/>
      <c r="P17" s="25"/>
      <c r="Q17" s="25"/>
      <c r="R17" s="25"/>
    </row>
    <row r="18" spans="1:18" x14ac:dyDescent="0.25">
      <c r="A18" s="1"/>
      <c r="B18" s="1"/>
      <c r="C18" s="1"/>
      <c r="D18" s="1"/>
      <c r="E18" s="1"/>
      <c r="F18" s="7" t="s">
        <v>43</v>
      </c>
      <c r="G18" s="4" t="s">
        <v>335</v>
      </c>
      <c r="H18" s="4" t="s">
        <v>65</v>
      </c>
    </row>
    <row r="19" spans="1:18" x14ac:dyDescent="0.25">
      <c r="A19" s="1"/>
      <c r="B19" s="1"/>
      <c r="C19" s="1"/>
      <c r="D19" s="1"/>
      <c r="E19" s="1"/>
      <c r="F19" s="7" t="s">
        <v>52</v>
      </c>
      <c r="G19" s="4" t="s">
        <v>69</v>
      </c>
      <c r="J19" s="26" t="s">
        <v>70</v>
      </c>
      <c r="K19" s="26" t="s">
        <v>71</v>
      </c>
      <c r="L19" s="26" t="s">
        <v>72</v>
      </c>
      <c r="M19" s="26" t="s">
        <v>73</v>
      </c>
      <c r="N19" s="26" t="s">
        <v>74</v>
      </c>
    </row>
    <row r="20" spans="1:18" x14ac:dyDescent="0.25">
      <c r="A20" s="1"/>
      <c r="B20" s="1"/>
      <c r="C20" s="1"/>
      <c r="D20" s="1"/>
      <c r="E20" s="1"/>
      <c r="F20" s="7" t="s">
        <v>76</v>
      </c>
      <c r="G20" s="4" t="s">
        <v>334</v>
      </c>
      <c r="H20" s="24" t="s">
        <v>53</v>
      </c>
      <c r="J20" s="4">
        <f>IF(AND(Calculator!C25=H20,J23&gt;0),ROUNDUP(IF(Calculator!$C$8=$F$5,Calculations!A2*3.84*M7,Calculations!A2*5*M7)/10,0),"")</f>
        <v>70</v>
      </c>
      <c r="K20" s="4">
        <f>IF(AND(Calculator!C25=H20,K23&gt;0),ROUNDUP(IF(Calculator!$C$8=$F$5,Calculations!A2*3.84*M7,Calculations!A2*5*M7)/10,0),"")</f>
        <v>70</v>
      </c>
      <c r="L20" s="4">
        <f>IFERROR(IF(AND(Calculator!C25=H20,L23&gt;0),ROUNDUP(IF(Calculator!$C$8=$F$5,Calculations!A2*3.84*L$23*M7,Calculations!A2*5*L$23*M7)/10,0),""),0)</f>
        <v>140</v>
      </c>
      <c r="M20" s="4">
        <f>IF(Calculator!C25=H20,ROUNDUP(IF(Calculator!$C$8=$F$5,Calculations!A2*3.84*M7,Calculations!A2*5*M7)/10,0),"")</f>
        <v>70</v>
      </c>
      <c r="N20" s="4">
        <f>IF(Calculator!C25=H20,ROUNDUP(IF(Calculator!$C$8=$F$5,Calculations!A2*3.84*M7,Calculations!A2*5*M7)/10,0),"")</f>
        <v>70</v>
      </c>
    </row>
    <row r="21" spans="1:18" x14ac:dyDescent="0.25">
      <c r="A21" s="1"/>
      <c r="B21" s="1"/>
      <c r="C21" s="1"/>
      <c r="D21" s="1"/>
      <c r="E21" s="1"/>
      <c r="F21" s="7" t="s">
        <v>77</v>
      </c>
      <c r="G21" s="4">
        <v>0</v>
      </c>
      <c r="H21" s="24" t="s">
        <v>55</v>
      </c>
      <c r="J21" s="4" t="str">
        <f>IF(Calculator!C25=H21,ROUNDUP(IF(Calculator!$C$8=$F$5,Calculations!A2*2.32*M7,Calculations!A2*3.8*M7)/10,0),"")</f>
        <v/>
      </c>
      <c r="K21" s="4" t="str">
        <f>IF(Calculator!C25=H21,ROUNDUP(IF(Calculator!$C$8=$F$5,Calculations!A2*2.32*M7*K23,Calculations!A2*3.8*M7*K23)/10,0),"")</f>
        <v/>
      </c>
      <c r="L21" s="4" t="str">
        <f>IF(Calculator!C25=H21,ROUNDUP(IF(Calculator!$C$8=$F$5,Calculations!A2*2.32*L$23*M7,Calculations!A2*3.8*L$23*M7)/10,0),"")</f>
        <v/>
      </c>
      <c r="M21" s="4" t="str">
        <f>IF(Calculator!C25=H21,ROUNDUP(IF(Calculator!$C$8=$F$5,Calculations!A2*2.32*M23*M7,Calculations!A2*3.8*M23*M7)/10,0),"")</f>
        <v/>
      </c>
      <c r="N21" s="4" t="str">
        <f>IF(Calculator!C25=H21,ROUNDUP(IF(Calculator!$C$8=$F$5,Calculations!A2*2.32*M7,Calculations!A2*3.8*M7)/10,0),"")</f>
        <v/>
      </c>
    </row>
    <row r="22" spans="1:18" x14ac:dyDescent="0.25">
      <c r="A22" s="1"/>
      <c r="B22" s="1"/>
      <c r="C22" s="1"/>
      <c r="D22" s="1"/>
      <c r="E22" s="1"/>
      <c r="F22" s="7" t="s">
        <v>78</v>
      </c>
      <c r="G22" s="4">
        <v>5</v>
      </c>
      <c r="H22" s="24" t="s">
        <v>62</v>
      </c>
      <c r="J22" s="4" t="str">
        <f>IF(Calculator!C25=H22,ROUNDUP(IF(Calculator!$C$8=$F$5,Calculations!A2*5*M7,Calculations!A2*8*M7)/10,0),"")</f>
        <v/>
      </c>
      <c r="K22" s="4" t="str">
        <f>IF(Calculator!C25=H22,ROUNDUP(IF(Calculator!$C$8=$F$5,Calculations!A2*5*M7,Calculations!A2*8*M7)/10,0),"")</f>
        <v/>
      </c>
      <c r="L22" s="4" t="str">
        <f>IF(Calculator!C25=H22,ROUNDUP(IF(Calculator!$C$8=$F$5,Calculations!A2*5*L$23*M7,Calculations!A2*8*L$23*M7)/10,0),"")</f>
        <v/>
      </c>
      <c r="M22" s="4" t="str">
        <f>IF(Calculator!C25=H22,ROUNDUP(IF(Calculator!$C$8=$F$5,Calculations!A2*5*M7,Calculations!A2*8*M7)/10,0),"")</f>
        <v/>
      </c>
      <c r="N22" s="4" t="str">
        <f>IF(Calculator!C25=H22,ROUNDUP(IF(Calculator!$C$8=$F$5,Calculations!A2*5*M7,Calculations!A2*8*M7)/10,0),"")</f>
        <v/>
      </c>
    </row>
    <row r="23" spans="1:18" x14ac:dyDescent="0.25">
      <c r="A23" s="1"/>
      <c r="B23" s="1"/>
      <c r="C23" s="1"/>
      <c r="D23" s="1"/>
      <c r="E23" s="1"/>
      <c r="G23" s="4">
        <v>7.5</v>
      </c>
      <c r="J23" s="4">
        <f>IF(AND(Calculator!$C$25=$H$21,Calculations!E2&lt;=I37),VLOOKUP("Yes",$H$37:$O$44,4,FALSE),IF(AND(Calculator!$C$25=$H$20,Calculations!E2&gt;=I28),VLOOKUP("Yes",$H$28:$O$35,4,FALSE),IF(AND(Calculator!$C$25=$H$22,Calculations!E2&gt;=I28),VLOOKUP("Yes",$H$28:$O$35,4,FALSE),"")))</f>
        <v>1</v>
      </c>
      <c r="K23" s="4">
        <f>IF(AND(Calculator!$C$25=$H$21,Calculations!E2&gt;145),VLOOKUP("Yes",$H$37:$O$44,5,FALSE),IF(AND(Calculator!$C$25=H22,Calculations!E2&gt;=98),VLOOKUP("Yes",$H$28:$O$35,5,FALSE),IF(AND(Calculator!$C$25=H20,Calculations!E2&gt;=98),VLOOKUP("Yes",$H$28:$O$35,5,FALSE),"")))</f>
        <v>1</v>
      </c>
      <c r="L23" s="27">
        <f>IFERROR(IF(AND(Calculator!$C$25=$H$21,Calculations!E2&gt;145),VLOOKUP("Yes",$H$37:$O$44,6,FALSE),IF(AND(Calculator!$C$25&lt;Calculations!E2&gt;$H$21,Calculations!E2&gt;=98),VLOOKUP("Yes",$H$28:$O$35,6,FALSE),"")),0)</f>
        <v>2</v>
      </c>
      <c r="M23" s="4">
        <f>IFERROR(IF(AND(Calculator!$C$25=$H$21,Calculations!E2&gt;145),VLOOKUP("Yes",$H$37:$O$44,7,FALSE),IF(AND(Calculator!$C$25&lt;&gt;$H$21,Calculations!E2&gt;=98),VLOOKUP("Yes",$H$28:$O$35,7,FALSE),"")),0)</f>
        <v>1</v>
      </c>
      <c r="N23" s="4">
        <f>IFERROR(IF(AND(Calculator!$C$25=$H$21,Calculations!E2&gt;145),VLOOKUP("Yes",$H$37:$O$44,8,FALSE),IF(AND(Calculator!$C$25&lt;&gt;$H$21,Calculations!E2&gt;=98),VLOOKUP("Yes",$H$28:$O$35,8,FALSE),"")),0)</f>
        <v>1</v>
      </c>
    </row>
    <row r="24" spans="1:18" x14ac:dyDescent="0.25">
      <c r="A24" s="1"/>
      <c r="B24" s="1"/>
      <c r="C24" s="1"/>
      <c r="D24" s="1"/>
      <c r="E24" s="1"/>
      <c r="F24" s="4" t="s">
        <v>41</v>
      </c>
      <c r="G24" s="4">
        <v>10</v>
      </c>
    </row>
    <row r="25" spans="1:18" x14ac:dyDescent="0.25">
      <c r="A25" s="1"/>
      <c r="B25" s="1"/>
      <c r="C25" s="1"/>
      <c r="D25" s="1"/>
      <c r="E25" s="1"/>
      <c r="F25" s="18">
        <v>1</v>
      </c>
      <c r="G25" s="4">
        <v>15</v>
      </c>
    </row>
    <row r="26" spans="1:18" x14ac:dyDescent="0.25">
      <c r="A26" s="1"/>
      <c r="B26" s="1"/>
      <c r="C26" s="1"/>
      <c r="D26" s="1"/>
      <c r="E26" s="1"/>
      <c r="F26" s="4" t="s">
        <v>51</v>
      </c>
      <c r="G26" s="26">
        <v>20</v>
      </c>
    </row>
    <row r="27" spans="1:18" x14ac:dyDescent="0.25">
      <c r="A27" s="1"/>
      <c r="B27" s="1"/>
      <c r="C27" s="1"/>
      <c r="D27" s="1"/>
      <c r="E27" s="1"/>
      <c r="F27" s="4" t="s">
        <v>54</v>
      </c>
      <c r="H27" s="4">
        <f>Calculations!E2</f>
        <v>254</v>
      </c>
      <c r="K27" s="28" t="s">
        <v>70</v>
      </c>
      <c r="L27" s="28" t="s">
        <v>71</v>
      </c>
      <c r="M27" s="28" t="s">
        <v>72</v>
      </c>
      <c r="N27" s="28" t="s">
        <v>73</v>
      </c>
      <c r="O27" s="28" t="s">
        <v>74</v>
      </c>
    </row>
    <row r="28" spans="1:18" x14ac:dyDescent="0.25">
      <c r="A28" s="1"/>
      <c r="B28" s="1"/>
      <c r="C28" s="1"/>
      <c r="D28" s="1"/>
      <c r="E28" s="1"/>
      <c r="F28" s="4" t="s">
        <v>56</v>
      </c>
      <c r="H28" s="4" t="str">
        <f t="shared" ref="H28:H35" si="0">IF(AND($H$27&gt;=I28,$H$27&lt;=J28),"Yes","No")</f>
        <v>No</v>
      </c>
      <c r="I28" s="26">
        <v>98</v>
      </c>
      <c r="J28" s="26">
        <v>119</v>
      </c>
      <c r="K28" s="28">
        <v>1</v>
      </c>
      <c r="L28" s="28">
        <v>0</v>
      </c>
      <c r="M28" s="28">
        <v>0</v>
      </c>
      <c r="N28" s="28">
        <v>0</v>
      </c>
      <c r="O28" s="28">
        <v>1</v>
      </c>
    </row>
    <row r="29" spans="1:18" x14ac:dyDescent="0.25">
      <c r="H29" s="4" t="str">
        <f t="shared" si="0"/>
        <v>No</v>
      </c>
      <c r="I29" s="26">
        <v>120</v>
      </c>
      <c r="J29" s="26">
        <v>162</v>
      </c>
      <c r="K29" s="28">
        <v>1</v>
      </c>
      <c r="L29" s="28">
        <v>1</v>
      </c>
      <c r="M29" s="28">
        <v>0</v>
      </c>
      <c r="N29" s="28">
        <v>0</v>
      </c>
      <c r="O29" s="28">
        <v>1</v>
      </c>
    </row>
    <row r="30" spans="1:18" x14ac:dyDescent="0.25">
      <c r="H30" s="4" t="str">
        <f t="shared" si="0"/>
        <v>No</v>
      </c>
      <c r="I30" s="26">
        <v>163</v>
      </c>
      <c r="J30" s="26">
        <v>208</v>
      </c>
      <c r="K30" s="28">
        <v>1</v>
      </c>
      <c r="L30" s="28">
        <v>1</v>
      </c>
      <c r="M30" s="28">
        <v>1</v>
      </c>
      <c r="N30" s="28">
        <v>0</v>
      </c>
      <c r="O30" s="28">
        <v>1</v>
      </c>
    </row>
    <row r="31" spans="1:18" x14ac:dyDescent="0.25">
      <c r="H31" s="4" t="str">
        <f t="shared" si="0"/>
        <v>No</v>
      </c>
      <c r="I31" s="26">
        <v>209</v>
      </c>
      <c r="J31" s="26">
        <v>253</v>
      </c>
      <c r="K31" s="28">
        <v>1</v>
      </c>
      <c r="L31" s="28">
        <v>1</v>
      </c>
      <c r="M31" s="28">
        <v>2</v>
      </c>
      <c r="N31" s="28">
        <v>0</v>
      </c>
      <c r="O31" s="28">
        <v>1</v>
      </c>
    </row>
    <row r="32" spans="1:18" x14ac:dyDescent="0.25">
      <c r="H32" s="4" t="str">
        <f t="shared" si="0"/>
        <v>Yes</v>
      </c>
      <c r="I32" s="26">
        <v>254</v>
      </c>
      <c r="J32" s="26">
        <v>298</v>
      </c>
      <c r="K32" s="28">
        <v>1</v>
      </c>
      <c r="L32" s="28">
        <v>1</v>
      </c>
      <c r="M32" s="28">
        <v>2</v>
      </c>
      <c r="N32" s="28">
        <v>1</v>
      </c>
      <c r="O32" s="28">
        <v>1</v>
      </c>
    </row>
    <row r="33" spans="8:15" x14ac:dyDescent="0.25">
      <c r="H33" s="4" t="str">
        <f t="shared" si="0"/>
        <v>No</v>
      </c>
      <c r="I33" s="26">
        <v>299</v>
      </c>
      <c r="J33" s="26">
        <v>343</v>
      </c>
      <c r="K33" s="28">
        <v>1</v>
      </c>
      <c r="L33" s="28">
        <v>1</v>
      </c>
      <c r="M33" s="28">
        <v>3</v>
      </c>
      <c r="N33" s="28">
        <v>1</v>
      </c>
      <c r="O33" s="28">
        <v>1</v>
      </c>
    </row>
    <row r="34" spans="8:15" x14ac:dyDescent="0.25">
      <c r="H34" s="4" t="str">
        <f t="shared" si="0"/>
        <v>No</v>
      </c>
      <c r="I34" s="26">
        <v>344</v>
      </c>
      <c r="J34" s="26">
        <v>388</v>
      </c>
      <c r="K34" s="28">
        <v>1</v>
      </c>
      <c r="L34" s="28">
        <v>1</v>
      </c>
      <c r="M34" s="28">
        <v>4</v>
      </c>
      <c r="N34" s="28">
        <v>1</v>
      </c>
      <c r="O34" s="28">
        <v>1</v>
      </c>
    </row>
    <row r="35" spans="8:15" x14ac:dyDescent="0.25">
      <c r="H35" s="4" t="str">
        <f t="shared" si="0"/>
        <v>No</v>
      </c>
      <c r="I35" s="26">
        <v>389</v>
      </c>
      <c r="J35" s="26">
        <v>433</v>
      </c>
      <c r="K35" s="28">
        <v>1</v>
      </c>
      <c r="L35" s="28">
        <v>1</v>
      </c>
      <c r="M35" s="28">
        <v>5</v>
      </c>
      <c r="N35" s="28">
        <v>1</v>
      </c>
      <c r="O35" s="28">
        <v>1</v>
      </c>
    </row>
    <row r="36" spans="8:15" x14ac:dyDescent="0.25">
      <c r="I36" s="26"/>
      <c r="J36" s="26"/>
      <c r="K36" s="28"/>
      <c r="L36" s="28"/>
      <c r="M36" s="28"/>
      <c r="N36" s="28"/>
      <c r="O36" s="28"/>
    </row>
    <row r="37" spans="8:15" x14ac:dyDescent="0.25">
      <c r="H37" s="4" t="str">
        <f t="shared" ref="H37:H44" si="1">IF(AND($H$27&gt;=I37,$H$27&lt;=J37),"Yes","No")</f>
        <v>No</v>
      </c>
      <c r="I37" s="26">
        <v>146</v>
      </c>
      <c r="J37" s="26">
        <v>191</v>
      </c>
      <c r="K37" s="28">
        <v>1</v>
      </c>
      <c r="L37" s="28">
        <v>0</v>
      </c>
      <c r="M37" s="28">
        <v>0</v>
      </c>
      <c r="N37" s="28">
        <v>0</v>
      </c>
      <c r="O37" s="28">
        <v>1</v>
      </c>
    </row>
    <row r="38" spans="8:15" x14ac:dyDescent="0.25">
      <c r="H38" s="4" t="str">
        <f t="shared" si="1"/>
        <v>No</v>
      </c>
      <c r="I38" s="26">
        <v>192</v>
      </c>
      <c r="J38" s="26">
        <v>211</v>
      </c>
      <c r="K38" s="28">
        <v>1</v>
      </c>
      <c r="L38" s="28">
        <v>1</v>
      </c>
      <c r="M38" s="28">
        <v>0</v>
      </c>
      <c r="N38" s="28">
        <v>0</v>
      </c>
      <c r="O38" s="28">
        <v>1</v>
      </c>
    </row>
    <row r="39" spans="8:15" x14ac:dyDescent="0.25">
      <c r="H39" s="4" t="str">
        <f t="shared" si="1"/>
        <v>Yes</v>
      </c>
      <c r="I39" s="26">
        <v>212</v>
      </c>
      <c r="J39" s="26">
        <v>256</v>
      </c>
      <c r="K39" s="28">
        <v>1</v>
      </c>
      <c r="L39" s="28">
        <v>1</v>
      </c>
      <c r="M39" s="28">
        <v>1</v>
      </c>
      <c r="N39" s="28">
        <v>0</v>
      </c>
      <c r="O39" s="28">
        <v>1</v>
      </c>
    </row>
    <row r="40" spans="8:15" x14ac:dyDescent="0.25">
      <c r="H40" s="4" t="str">
        <f t="shared" si="1"/>
        <v>No</v>
      </c>
      <c r="I40" s="26">
        <v>257</v>
      </c>
      <c r="J40" s="26">
        <v>301</v>
      </c>
      <c r="K40" s="28">
        <v>1</v>
      </c>
      <c r="L40" s="28">
        <v>1</v>
      </c>
      <c r="M40" s="28">
        <v>2</v>
      </c>
      <c r="N40" s="28">
        <v>0</v>
      </c>
      <c r="O40" s="28">
        <v>1</v>
      </c>
    </row>
    <row r="41" spans="8:15" x14ac:dyDescent="0.25">
      <c r="H41" s="4" t="str">
        <f t="shared" si="1"/>
        <v>No</v>
      </c>
      <c r="I41" s="26">
        <v>302</v>
      </c>
      <c r="J41" s="26">
        <v>346</v>
      </c>
      <c r="K41" s="28">
        <v>1</v>
      </c>
      <c r="L41" s="28">
        <v>1</v>
      </c>
      <c r="M41" s="28">
        <v>2</v>
      </c>
      <c r="N41" s="28">
        <v>1</v>
      </c>
      <c r="O41" s="28">
        <v>1</v>
      </c>
    </row>
    <row r="42" spans="8:15" x14ac:dyDescent="0.25">
      <c r="H42" s="4" t="str">
        <f t="shared" si="1"/>
        <v>No</v>
      </c>
      <c r="I42" s="26">
        <v>347</v>
      </c>
      <c r="J42" s="26">
        <v>391</v>
      </c>
      <c r="K42" s="28">
        <v>1</v>
      </c>
      <c r="L42" s="28">
        <v>1</v>
      </c>
      <c r="M42" s="28">
        <v>3</v>
      </c>
      <c r="N42" s="28">
        <v>1</v>
      </c>
      <c r="O42" s="28">
        <v>1</v>
      </c>
    </row>
    <row r="43" spans="8:15" x14ac:dyDescent="0.25">
      <c r="H43" s="4" t="str">
        <f t="shared" si="1"/>
        <v>No</v>
      </c>
      <c r="I43" s="26">
        <v>392</v>
      </c>
      <c r="J43" s="26">
        <v>436</v>
      </c>
      <c r="K43" s="28">
        <v>1</v>
      </c>
      <c r="L43" s="28">
        <v>1</v>
      </c>
      <c r="M43" s="28">
        <v>4</v>
      </c>
      <c r="N43" s="28">
        <v>1</v>
      </c>
      <c r="O43" s="28">
        <v>1</v>
      </c>
    </row>
    <row r="44" spans="8:15" x14ac:dyDescent="0.25">
      <c r="H44" s="4" t="str">
        <f t="shared" si="1"/>
        <v>No</v>
      </c>
      <c r="I44" s="26">
        <v>437</v>
      </c>
      <c r="J44" s="26">
        <v>481</v>
      </c>
      <c r="K44" s="28">
        <v>1</v>
      </c>
      <c r="L44" s="28">
        <v>1</v>
      </c>
      <c r="M44" s="28">
        <v>5</v>
      </c>
      <c r="N44" s="28">
        <v>1</v>
      </c>
      <c r="O44" s="28">
        <v>1</v>
      </c>
    </row>
  </sheetData>
  <mergeCells count="4">
    <mergeCell ref="A2:A3"/>
    <mergeCell ref="C2:C3"/>
    <mergeCell ref="D2:D3"/>
    <mergeCell ref="E2:E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C0AC-702B-451E-A846-853910EDE8E0}">
  <dimension ref="A1:H108"/>
  <sheetViews>
    <sheetView topLeftCell="A78" workbookViewId="0">
      <selection activeCell="D17" sqref="D17"/>
    </sheetView>
  </sheetViews>
  <sheetFormatPr defaultRowHeight="15" x14ac:dyDescent="0.25"/>
  <cols>
    <col min="1" max="1" width="42.140625" bestFit="1" customWidth="1"/>
    <col min="2" max="2" width="32.7109375" bestFit="1" customWidth="1"/>
    <col min="3" max="3" width="10.7109375" bestFit="1" customWidth="1"/>
    <col min="4" max="4" width="9.5703125" bestFit="1" customWidth="1"/>
    <col min="5" max="5" width="6" bestFit="1" customWidth="1"/>
    <col min="6" max="6" width="11" bestFit="1" customWidth="1"/>
    <col min="7" max="7" width="14.5703125" bestFit="1" customWidth="1"/>
    <col min="8" max="8" width="4.42578125" bestFit="1" customWidth="1"/>
  </cols>
  <sheetData>
    <row r="1" spans="1:8" x14ac:dyDescent="0.25">
      <c r="A1" s="29" t="s">
        <v>98</v>
      </c>
      <c r="B1" s="30" t="s">
        <v>23</v>
      </c>
      <c r="C1" s="30" t="s">
        <v>1</v>
      </c>
      <c r="D1" s="30" t="s">
        <v>99</v>
      </c>
      <c r="E1" s="30" t="s">
        <v>100</v>
      </c>
      <c r="F1" s="30" t="s">
        <v>101</v>
      </c>
      <c r="G1" s="30" t="s">
        <v>102</v>
      </c>
      <c r="H1" s="30" t="s">
        <v>103</v>
      </c>
    </row>
    <row r="2" spans="1:8" x14ac:dyDescent="0.25">
      <c r="A2" s="31"/>
      <c r="B2" s="32"/>
      <c r="C2" s="32"/>
      <c r="D2" s="33">
        <v>2</v>
      </c>
      <c r="E2" s="33">
        <v>3</v>
      </c>
      <c r="F2" s="33">
        <v>4</v>
      </c>
      <c r="G2" s="33">
        <v>5</v>
      </c>
      <c r="H2" s="33">
        <v>6</v>
      </c>
    </row>
    <row r="3" spans="1:8" x14ac:dyDescent="0.25">
      <c r="A3" s="117" t="s">
        <v>5</v>
      </c>
      <c r="B3" s="33" t="s">
        <v>52</v>
      </c>
      <c r="C3" s="33" t="s">
        <v>104</v>
      </c>
      <c r="D3" s="32">
        <v>100</v>
      </c>
      <c r="E3" s="32"/>
      <c r="F3" s="32"/>
      <c r="G3" s="32"/>
      <c r="H3" s="32"/>
    </row>
    <row r="4" spans="1:8" x14ac:dyDescent="0.25">
      <c r="A4" s="118"/>
      <c r="B4" s="33" t="s">
        <v>9</v>
      </c>
      <c r="C4" s="33" t="s">
        <v>4</v>
      </c>
      <c r="D4" s="32">
        <v>100</v>
      </c>
      <c r="E4" s="32"/>
      <c r="F4" s="32"/>
      <c r="G4" s="32"/>
      <c r="H4" s="32"/>
    </row>
    <row r="5" spans="1:8" x14ac:dyDescent="0.25">
      <c r="A5" s="118"/>
      <c r="B5" s="33" t="s">
        <v>14</v>
      </c>
      <c r="C5" s="33" t="s">
        <v>105</v>
      </c>
      <c r="D5" s="32">
        <v>100</v>
      </c>
      <c r="E5" s="32"/>
      <c r="F5" s="32"/>
      <c r="G5" s="32"/>
      <c r="H5" s="32"/>
    </row>
    <row r="6" spans="1:8" x14ac:dyDescent="0.25">
      <c r="A6" s="118"/>
      <c r="B6" s="33" t="s">
        <v>32</v>
      </c>
      <c r="C6" s="33" t="s">
        <v>106</v>
      </c>
      <c r="D6" s="32">
        <v>100</v>
      </c>
      <c r="E6" s="32"/>
      <c r="F6" s="32"/>
      <c r="G6" s="32"/>
      <c r="H6" s="32"/>
    </row>
    <row r="7" spans="1:8" x14ac:dyDescent="0.25">
      <c r="A7" s="118"/>
      <c r="B7" s="33" t="s">
        <v>26</v>
      </c>
      <c r="C7" s="33" t="s">
        <v>107</v>
      </c>
      <c r="D7" s="32">
        <v>100</v>
      </c>
      <c r="E7" s="32"/>
      <c r="F7" s="32"/>
      <c r="G7" s="32"/>
      <c r="H7" s="32"/>
    </row>
    <row r="8" spans="1:8" x14ac:dyDescent="0.25">
      <c r="A8" s="118"/>
      <c r="B8" s="33" t="s">
        <v>36</v>
      </c>
      <c r="C8" s="33" t="s">
        <v>108</v>
      </c>
      <c r="D8" s="32">
        <v>100</v>
      </c>
      <c r="E8" s="32"/>
      <c r="F8" s="32"/>
      <c r="G8" s="32"/>
      <c r="H8" s="32"/>
    </row>
    <row r="9" spans="1:8" x14ac:dyDescent="0.25">
      <c r="A9" s="118"/>
      <c r="B9" s="33" t="s">
        <v>29</v>
      </c>
      <c r="C9" s="33" t="s">
        <v>109</v>
      </c>
      <c r="D9" s="32">
        <v>100</v>
      </c>
      <c r="E9" s="32"/>
      <c r="F9" s="32"/>
      <c r="G9" s="32"/>
      <c r="H9" s="32"/>
    </row>
    <row r="10" spans="1:8" x14ac:dyDescent="0.25">
      <c r="A10" s="119"/>
      <c r="B10" s="33" t="s">
        <v>43</v>
      </c>
      <c r="C10" s="33" t="s">
        <v>110</v>
      </c>
      <c r="D10" s="32">
        <v>100</v>
      </c>
      <c r="E10" s="32"/>
      <c r="F10" s="32"/>
      <c r="G10" s="32"/>
      <c r="H10" s="32"/>
    </row>
    <row r="11" spans="1:8" x14ac:dyDescent="0.25">
      <c r="A11" s="117" t="s">
        <v>6</v>
      </c>
      <c r="B11" s="33" t="s">
        <v>77</v>
      </c>
      <c r="C11" s="33" t="s">
        <v>111</v>
      </c>
      <c r="D11" s="32">
        <v>100</v>
      </c>
      <c r="E11" s="32"/>
      <c r="F11" s="32"/>
      <c r="G11" s="32"/>
      <c r="H11" s="32"/>
    </row>
    <row r="12" spans="1:8" x14ac:dyDescent="0.25">
      <c r="A12" s="118"/>
      <c r="B12" s="33" t="s">
        <v>78</v>
      </c>
      <c r="C12" s="33" t="s">
        <v>112</v>
      </c>
      <c r="D12" s="32">
        <v>100</v>
      </c>
      <c r="E12" s="32"/>
      <c r="F12" s="32"/>
      <c r="G12" s="32"/>
      <c r="H12" s="32"/>
    </row>
    <row r="13" spans="1:8" x14ac:dyDescent="0.25">
      <c r="A13" s="119"/>
      <c r="B13" s="33" t="s">
        <v>76</v>
      </c>
      <c r="C13" s="33" t="s">
        <v>113</v>
      </c>
      <c r="D13" s="32">
        <v>100</v>
      </c>
      <c r="E13" s="32"/>
      <c r="F13" s="32"/>
      <c r="G13" s="32"/>
      <c r="H13" s="32"/>
    </row>
    <row r="14" spans="1:8" x14ac:dyDescent="0.25">
      <c r="A14" s="117" t="s">
        <v>7</v>
      </c>
      <c r="B14" s="33" t="s">
        <v>14</v>
      </c>
      <c r="C14" s="33" t="s">
        <v>114</v>
      </c>
      <c r="D14" s="32">
        <v>100</v>
      </c>
      <c r="E14" s="32"/>
      <c r="F14" s="32"/>
      <c r="G14" s="32"/>
      <c r="H14" s="32"/>
    </row>
    <row r="15" spans="1:8" x14ac:dyDescent="0.25">
      <c r="A15" s="119"/>
      <c r="B15" s="33" t="s">
        <v>26</v>
      </c>
      <c r="C15" s="33" t="s">
        <v>115</v>
      </c>
      <c r="D15" s="32">
        <v>100</v>
      </c>
      <c r="E15" s="32"/>
      <c r="F15" s="32"/>
      <c r="G15" s="32"/>
      <c r="H15" s="32"/>
    </row>
    <row r="16" spans="1:8" x14ac:dyDescent="0.25">
      <c r="A16" s="117" t="s">
        <v>57</v>
      </c>
      <c r="B16" s="33" t="s">
        <v>52</v>
      </c>
      <c r="C16" s="33" t="s">
        <v>116</v>
      </c>
      <c r="D16" s="32">
        <v>6</v>
      </c>
      <c r="E16" s="32"/>
      <c r="F16" s="32"/>
      <c r="G16" s="32"/>
      <c r="H16" s="32"/>
    </row>
    <row r="17" spans="1:8" x14ac:dyDescent="0.25">
      <c r="A17" s="118"/>
      <c r="B17" s="33" t="s">
        <v>9</v>
      </c>
      <c r="C17" s="33" t="s">
        <v>28</v>
      </c>
      <c r="D17" s="32">
        <v>6</v>
      </c>
      <c r="E17" s="32"/>
      <c r="F17" s="32"/>
      <c r="G17" s="32"/>
      <c r="H17" s="32"/>
    </row>
    <row r="18" spans="1:8" x14ac:dyDescent="0.25">
      <c r="A18" s="118"/>
      <c r="B18" s="33" t="s">
        <v>14</v>
      </c>
      <c r="C18" s="33" t="s">
        <v>117</v>
      </c>
      <c r="D18" s="32">
        <v>6</v>
      </c>
      <c r="E18" s="32"/>
      <c r="F18" s="32"/>
      <c r="G18" s="32"/>
      <c r="H18" s="32"/>
    </row>
    <row r="19" spans="1:8" x14ac:dyDescent="0.25">
      <c r="A19" s="118"/>
      <c r="B19" s="33" t="s">
        <v>77</v>
      </c>
      <c r="C19" s="33" t="s">
        <v>118</v>
      </c>
      <c r="D19" s="32">
        <v>6</v>
      </c>
      <c r="E19" s="32"/>
      <c r="F19" s="32"/>
      <c r="G19" s="32"/>
      <c r="H19" s="32"/>
    </row>
    <row r="20" spans="1:8" x14ac:dyDescent="0.25">
      <c r="A20" s="118"/>
      <c r="B20" s="34" t="s">
        <v>32</v>
      </c>
      <c r="C20" s="33" t="s">
        <v>118</v>
      </c>
      <c r="D20" s="32">
        <v>6</v>
      </c>
      <c r="E20" s="32"/>
      <c r="F20" s="32"/>
      <c r="G20" s="32"/>
      <c r="H20" s="32"/>
    </row>
    <row r="21" spans="1:8" x14ac:dyDescent="0.25">
      <c r="A21" s="118"/>
      <c r="B21" s="33" t="s">
        <v>26</v>
      </c>
      <c r="C21" s="33" t="s">
        <v>119</v>
      </c>
      <c r="D21" s="32">
        <v>6</v>
      </c>
      <c r="E21" s="32"/>
      <c r="F21" s="32"/>
      <c r="G21" s="32"/>
      <c r="H21" s="32"/>
    </row>
    <row r="22" spans="1:8" x14ac:dyDescent="0.25">
      <c r="A22" s="118"/>
      <c r="B22" s="33" t="s">
        <v>36</v>
      </c>
      <c r="C22" s="33" t="s">
        <v>120</v>
      </c>
      <c r="D22" s="32">
        <v>6</v>
      </c>
      <c r="E22" s="32"/>
      <c r="F22" s="32"/>
      <c r="G22" s="32"/>
      <c r="H22" s="32"/>
    </row>
    <row r="23" spans="1:8" x14ac:dyDescent="0.25">
      <c r="A23" s="118"/>
      <c r="B23" s="33" t="s">
        <v>29</v>
      </c>
      <c r="C23" s="33" t="s">
        <v>121</v>
      </c>
      <c r="D23" s="32">
        <v>6</v>
      </c>
      <c r="E23" s="32"/>
      <c r="F23" s="32"/>
      <c r="G23" s="32"/>
      <c r="H23" s="32"/>
    </row>
    <row r="24" spans="1:8" x14ac:dyDescent="0.25">
      <c r="A24" s="118"/>
      <c r="B24" s="33" t="s">
        <v>43</v>
      </c>
      <c r="C24" s="33" t="s">
        <v>122</v>
      </c>
      <c r="D24" s="32">
        <v>6</v>
      </c>
      <c r="E24" s="32"/>
      <c r="F24" s="32"/>
      <c r="G24" s="32"/>
      <c r="H24" s="32"/>
    </row>
    <row r="25" spans="1:8" x14ac:dyDescent="0.25">
      <c r="A25" s="118"/>
      <c r="B25" s="33" t="s">
        <v>78</v>
      </c>
      <c r="C25" s="33" t="s">
        <v>122</v>
      </c>
      <c r="D25" s="32">
        <v>6</v>
      </c>
      <c r="E25" s="32"/>
      <c r="F25" s="32"/>
      <c r="G25" s="32"/>
      <c r="H25" s="32"/>
    </row>
    <row r="26" spans="1:8" x14ac:dyDescent="0.25">
      <c r="A26" s="119"/>
      <c r="B26" s="33" t="s">
        <v>76</v>
      </c>
      <c r="C26" s="33" t="s">
        <v>123</v>
      </c>
      <c r="D26" s="32">
        <v>6</v>
      </c>
      <c r="E26" s="32"/>
      <c r="F26" s="32"/>
      <c r="G26" s="32"/>
      <c r="H26" s="32"/>
    </row>
    <row r="27" spans="1:8" x14ac:dyDescent="0.25">
      <c r="A27" s="117" t="s">
        <v>124</v>
      </c>
      <c r="B27" s="33" t="s">
        <v>52</v>
      </c>
      <c r="C27" s="33" t="s">
        <v>125</v>
      </c>
      <c r="D27" s="32">
        <v>6</v>
      </c>
      <c r="E27" s="32"/>
      <c r="F27" s="32"/>
      <c r="G27" s="32"/>
      <c r="H27" s="32"/>
    </row>
    <row r="28" spans="1:8" x14ac:dyDescent="0.25">
      <c r="A28" s="118"/>
      <c r="B28" s="33" t="s">
        <v>9</v>
      </c>
      <c r="C28" s="33" t="s">
        <v>31</v>
      </c>
      <c r="D28" s="32">
        <v>6</v>
      </c>
      <c r="E28" s="32"/>
      <c r="F28" s="32"/>
      <c r="G28" s="32"/>
      <c r="H28" s="32"/>
    </row>
    <row r="29" spans="1:8" x14ac:dyDescent="0.25">
      <c r="A29" s="118"/>
      <c r="B29" s="33" t="s">
        <v>14</v>
      </c>
      <c r="C29" s="33" t="s">
        <v>126</v>
      </c>
      <c r="D29" s="32">
        <v>6</v>
      </c>
      <c r="E29" s="32"/>
      <c r="F29" s="32"/>
      <c r="G29" s="32"/>
      <c r="H29" s="32"/>
    </row>
    <row r="30" spans="1:8" x14ac:dyDescent="0.25">
      <c r="A30" s="118"/>
      <c r="B30" s="33" t="s">
        <v>77</v>
      </c>
      <c r="C30" s="33" t="s">
        <v>127</v>
      </c>
      <c r="D30" s="32">
        <v>6</v>
      </c>
      <c r="E30" s="32"/>
      <c r="F30" s="32"/>
      <c r="G30" s="32"/>
      <c r="H30" s="32"/>
    </row>
    <row r="31" spans="1:8" x14ac:dyDescent="0.25">
      <c r="A31" s="118"/>
      <c r="B31" s="33" t="s">
        <v>32</v>
      </c>
      <c r="C31" s="33" t="s">
        <v>127</v>
      </c>
      <c r="D31" s="32">
        <v>6</v>
      </c>
      <c r="E31" s="32"/>
      <c r="F31" s="32"/>
      <c r="G31" s="32"/>
      <c r="H31" s="32"/>
    </row>
    <row r="32" spans="1:8" x14ac:dyDescent="0.25">
      <c r="A32" s="118"/>
      <c r="B32" s="33" t="s">
        <v>26</v>
      </c>
      <c r="C32" s="33" t="s">
        <v>128</v>
      </c>
      <c r="D32" s="32">
        <v>6</v>
      </c>
      <c r="E32" s="32"/>
      <c r="F32" s="32"/>
      <c r="G32" s="32"/>
      <c r="H32" s="32"/>
    </row>
    <row r="33" spans="1:8" x14ac:dyDescent="0.25">
      <c r="A33" s="118"/>
      <c r="B33" s="33" t="s">
        <v>36</v>
      </c>
      <c r="C33" s="33" t="s">
        <v>129</v>
      </c>
      <c r="D33" s="32">
        <v>6</v>
      </c>
      <c r="E33" s="32"/>
      <c r="F33" s="32"/>
      <c r="G33" s="32"/>
      <c r="H33" s="32"/>
    </row>
    <row r="34" spans="1:8" x14ac:dyDescent="0.25">
      <c r="A34" s="118"/>
      <c r="B34" s="33" t="s">
        <v>29</v>
      </c>
      <c r="C34" s="33" t="s">
        <v>130</v>
      </c>
      <c r="D34" s="32">
        <v>6</v>
      </c>
      <c r="E34" s="32"/>
      <c r="F34" s="32"/>
      <c r="G34" s="32"/>
      <c r="H34" s="32"/>
    </row>
    <row r="35" spans="1:8" x14ac:dyDescent="0.25">
      <c r="A35" s="118"/>
      <c r="B35" s="33" t="s">
        <v>43</v>
      </c>
      <c r="C35" s="33" t="s">
        <v>131</v>
      </c>
      <c r="D35" s="32">
        <v>6</v>
      </c>
      <c r="E35" s="32"/>
      <c r="F35" s="32"/>
      <c r="G35" s="32"/>
      <c r="H35" s="32"/>
    </row>
    <row r="36" spans="1:8" x14ac:dyDescent="0.25">
      <c r="A36" s="118"/>
      <c r="B36" s="33" t="s">
        <v>78</v>
      </c>
      <c r="C36" s="33" t="s">
        <v>131</v>
      </c>
      <c r="D36" s="32">
        <v>6</v>
      </c>
      <c r="E36" s="32"/>
      <c r="F36" s="32"/>
      <c r="G36" s="32"/>
      <c r="H36" s="32"/>
    </row>
    <row r="37" spans="1:8" x14ac:dyDescent="0.25">
      <c r="A37" s="119"/>
      <c r="B37" s="33" t="s">
        <v>76</v>
      </c>
      <c r="C37" s="33" t="s">
        <v>132</v>
      </c>
      <c r="D37" s="32">
        <v>6</v>
      </c>
      <c r="E37" s="32"/>
      <c r="F37" s="32"/>
      <c r="G37" s="32"/>
      <c r="H37" s="32"/>
    </row>
    <row r="38" spans="1:8" x14ac:dyDescent="0.25">
      <c r="A38" s="117" t="s">
        <v>61</v>
      </c>
      <c r="B38" s="33" t="s">
        <v>52</v>
      </c>
      <c r="C38" s="33" t="s">
        <v>133</v>
      </c>
      <c r="D38" s="32">
        <v>6</v>
      </c>
      <c r="E38" s="32"/>
      <c r="F38" s="32"/>
      <c r="G38" s="32"/>
      <c r="H38" s="32"/>
    </row>
    <row r="39" spans="1:8" x14ac:dyDescent="0.25">
      <c r="A39" s="118"/>
      <c r="B39" s="33" t="s">
        <v>9</v>
      </c>
      <c r="C39" s="33" t="s">
        <v>134</v>
      </c>
      <c r="D39" s="32">
        <v>6</v>
      </c>
      <c r="E39" s="32"/>
      <c r="F39" s="32"/>
      <c r="G39" s="32"/>
      <c r="H39" s="32"/>
    </row>
    <row r="40" spans="1:8" x14ac:dyDescent="0.25">
      <c r="A40" s="118"/>
      <c r="B40" s="33" t="s">
        <v>14</v>
      </c>
      <c r="C40" s="33" t="s">
        <v>135</v>
      </c>
      <c r="D40" s="32">
        <v>6</v>
      </c>
      <c r="E40" s="32"/>
      <c r="F40" s="32"/>
      <c r="G40" s="32"/>
      <c r="H40" s="32"/>
    </row>
    <row r="41" spans="1:8" x14ac:dyDescent="0.25">
      <c r="A41" s="118"/>
      <c r="B41" s="33" t="s">
        <v>77</v>
      </c>
      <c r="C41" s="33" t="s">
        <v>136</v>
      </c>
      <c r="D41" s="32">
        <v>6</v>
      </c>
      <c r="E41" s="32"/>
      <c r="F41" s="32"/>
      <c r="G41" s="32"/>
      <c r="H41" s="32"/>
    </row>
    <row r="42" spans="1:8" x14ac:dyDescent="0.25">
      <c r="A42" s="118"/>
      <c r="B42" s="33" t="s">
        <v>32</v>
      </c>
      <c r="C42" s="33" t="s">
        <v>136</v>
      </c>
      <c r="D42" s="32">
        <v>6</v>
      </c>
      <c r="E42" s="32"/>
      <c r="F42" s="32"/>
      <c r="G42" s="32"/>
      <c r="H42" s="32"/>
    </row>
    <row r="43" spans="1:8" x14ac:dyDescent="0.25">
      <c r="A43" s="118"/>
      <c r="B43" s="33" t="s">
        <v>26</v>
      </c>
      <c r="C43" s="33" t="s">
        <v>137</v>
      </c>
      <c r="D43" s="32">
        <v>6</v>
      </c>
      <c r="E43" s="32"/>
      <c r="F43" s="32"/>
      <c r="G43" s="32"/>
      <c r="H43" s="32"/>
    </row>
    <row r="44" spans="1:8" x14ac:dyDescent="0.25">
      <c r="A44" s="118"/>
      <c r="B44" s="33" t="s">
        <v>36</v>
      </c>
      <c r="C44" s="33" t="s">
        <v>138</v>
      </c>
      <c r="D44" s="32">
        <v>6</v>
      </c>
      <c r="E44" s="32"/>
      <c r="F44" s="32"/>
      <c r="G44" s="32"/>
      <c r="H44" s="32"/>
    </row>
    <row r="45" spans="1:8" x14ac:dyDescent="0.25">
      <c r="A45" s="118"/>
      <c r="B45" s="33" t="s">
        <v>29</v>
      </c>
      <c r="C45" s="33" t="s">
        <v>139</v>
      </c>
      <c r="D45" s="32">
        <v>6</v>
      </c>
      <c r="E45" s="32"/>
      <c r="F45" s="32"/>
      <c r="G45" s="32"/>
      <c r="H45" s="32"/>
    </row>
    <row r="46" spans="1:8" x14ac:dyDescent="0.25">
      <c r="A46" s="118"/>
      <c r="B46" s="33" t="s">
        <v>43</v>
      </c>
      <c r="C46" s="33" t="s">
        <v>140</v>
      </c>
      <c r="D46" s="32">
        <v>6</v>
      </c>
      <c r="E46" s="32"/>
      <c r="F46" s="32"/>
      <c r="G46" s="32"/>
      <c r="H46" s="32"/>
    </row>
    <row r="47" spans="1:8" x14ac:dyDescent="0.25">
      <c r="A47" s="118"/>
      <c r="B47" s="33" t="s">
        <v>78</v>
      </c>
      <c r="C47" s="33" t="s">
        <v>140</v>
      </c>
      <c r="D47" s="32">
        <v>6</v>
      </c>
      <c r="E47" s="32"/>
      <c r="F47" s="32"/>
      <c r="G47" s="32"/>
      <c r="H47" s="32"/>
    </row>
    <row r="48" spans="1:8" x14ac:dyDescent="0.25">
      <c r="A48" s="119"/>
      <c r="B48" s="33" t="s">
        <v>76</v>
      </c>
      <c r="C48" s="33" t="s">
        <v>141</v>
      </c>
      <c r="D48" s="32">
        <v>6</v>
      </c>
      <c r="E48" s="32"/>
      <c r="F48" s="32"/>
      <c r="G48" s="32"/>
      <c r="H48" s="32"/>
    </row>
    <row r="49" spans="1:8" x14ac:dyDescent="0.25">
      <c r="A49" s="117" t="s">
        <v>59</v>
      </c>
      <c r="B49" s="33" t="s">
        <v>52</v>
      </c>
      <c r="C49" s="33" t="s">
        <v>142</v>
      </c>
      <c r="D49" s="32">
        <v>6</v>
      </c>
      <c r="E49" s="32"/>
      <c r="F49" s="32"/>
      <c r="G49" s="32"/>
      <c r="H49" s="32"/>
    </row>
    <row r="50" spans="1:8" x14ac:dyDescent="0.25">
      <c r="A50" s="118"/>
      <c r="B50" s="33" t="s">
        <v>9</v>
      </c>
      <c r="C50" s="33" t="s">
        <v>143</v>
      </c>
      <c r="D50" s="32">
        <v>6</v>
      </c>
      <c r="E50" s="32"/>
      <c r="F50" s="32"/>
      <c r="G50" s="32"/>
      <c r="H50" s="32"/>
    </row>
    <row r="51" spans="1:8" x14ac:dyDescent="0.25">
      <c r="A51" s="118"/>
      <c r="B51" s="33" t="s">
        <v>14</v>
      </c>
      <c r="C51" s="33" t="s">
        <v>144</v>
      </c>
      <c r="D51" s="32">
        <v>6</v>
      </c>
      <c r="E51" s="32"/>
      <c r="F51" s="32"/>
      <c r="G51" s="32"/>
      <c r="H51" s="32"/>
    </row>
    <row r="52" spans="1:8" x14ac:dyDescent="0.25">
      <c r="A52" s="118"/>
      <c r="B52" s="33" t="s">
        <v>77</v>
      </c>
      <c r="C52" s="33" t="s">
        <v>145</v>
      </c>
      <c r="D52" s="32">
        <v>6</v>
      </c>
      <c r="E52" s="32"/>
      <c r="F52" s="32"/>
      <c r="G52" s="32"/>
      <c r="H52" s="32"/>
    </row>
    <row r="53" spans="1:8" x14ac:dyDescent="0.25">
      <c r="A53" s="118"/>
      <c r="B53" s="33" t="s">
        <v>32</v>
      </c>
      <c r="C53" s="33" t="s">
        <v>145</v>
      </c>
      <c r="D53" s="32">
        <v>6</v>
      </c>
      <c r="E53" s="32"/>
      <c r="F53" s="32"/>
      <c r="G53" s="32"/>
      <c r="H53" s="32"/>
    </row>
    <row r="54" spans="1:8" x14ac:dyDescent="0.25">
      <c r="A54" s="118"/>
      <c r="B54" s="33" t="s">
        <v>26</v>
      </c>
      <c r="C54" s="33" t="s">
        <v>146</v>
      </c>
      <c r="D54" s="32">
        <v>6</v>
      </c>
      <c r="E54" s="32"/>
      <c r="F54" s="32"/>
      <c r="G54" s="32"/>
      <c r="H54" s="32"/>
    </row>
    <row r="55" spans="1:8" x14ac:dyDescent="0.25">
      <c r="A55" s="118"/>
      <c r="B55" s="33" t="s">
        <v>36</v>
      </c>
      <c r="C55" s="33" t="s">
        <v>147</v>
      </c>
      <c r="D55" s="32">
        <v>6</v>
      </c>
      <c r="E55" s="32"/>
      <c r="F55" s="32"/>
      <c r="G55" s="32"/>
      <c r="H55" s="32"/>
    </row>
    <row r="56" spans="1:8" x14ac:dyDescent="0.25">
      <c r="A56" s="118"/>
      <c r="B56" s="33" t="s">
        <v>29</v>
      </c>
      <c r="C56" s="33" t="s">
        <v>148</v>
      </c>
      <c r="D56" s="32">
        <v>6</v>
      </c>
      <c r="E56" s="32"/>
      <c r="F56" s="32"/>
      <c r="G56" s="32"/>
      <c r="H56" s="32"/>
    </row>
    <row r="57" spans="1:8" x14ac:dyDescent="0.25">
      <c r="A57" s="118"/>
      <c r="B57" s="33" t="s">
        <v>43</v>
      </c>
      <c r="C57" s="33" t="s">
        <v>149</v>
      </c>
      <c r="D57" s="32">
        <v>6</v>
      </c>
      <c r="E57" s="32"/>
      <c r="F57" s="32"/>
      <c r="G57" s="32"/>
      <c r="H57" s="32"/>
    </row>
    <row r="58" spans="1:8" x14ac:dyDescent="0.25">
      <c r="A58" s="118"/>
      <c r="B58" s="33" t="s">
        <v>78</v>
      </c>
      <c r="C58" s="33" t="s">
        <v>149</v>
      </c>
      <c r="D58" s="32">
        <v>6</v>
      </c>
      <c r="E58" s="32"/>
      <c r="F58" s="32"/>
      <c r="G58" s="32"/>
      <c r="H58" s="32"/>
    </row>
    <row r="59" spans="1:8" x14ac:dyDescent="0.25">
      <c r="A59" s="119"/>
      <c r="B59" s="33" t="s">
        <v>76</v>
      </c>
      <c r="C59" s="33" t="s">
        <v>150</v>
      </c>
      <c r="D59" s="32">
        <v>6</v>
      </c>
      <c r="E59" s="32"/>
      <c r="F59" s="32"/>
      <c r="G59" s="32"/>
      <c r="H59" s="32"/>
    </row>
    <row r="60" spans="1:8" x14ac:dyDescent="0.25">
      <c r="A60" s="117" t="s">
        <v>151</v>
      </c>
      <c r="B60" s="33" t="s">
        <v>152</v>
      </c>
      <c r="C60" s="33" t="s">
        <v>88</v>
      </c>
      <c r="D60" s="32">
        <v>12</v>
      </c>
      <c r="E60" s="32"/>
      <c r="F60" s="32"/>
      <c r="G60" s="32"/>
      <c r="H60" s="32"/>
    </row>
    <row r="61" spans="1:8" x14ac:dyDescent="0.25">
      <c r="A61" s="119"/>
      <c r="B61" s="35" t="s">
        <v>153</v>
      </c>
      <c r="C61" s="33" t="s">
        <v>25</v>
      </c>
      <c r="D61" s="32">
        <v>12</v>
      </c>
      <c r="E61" s="32"/>
      <c r="F61" s="32"/>
      <c r="G61" s="32"/>
      <c r="H61" s="32"/>
    </row>
    <row r="62" spans="1:8" ht="17.25" x14ac:dyDescent="0.4">
      <c r="A62" s="36" t="s">
        <v>154</v>
      </c>
      <c r="B62" s="37" t="s">
        <v>17</v>
      </c>
      <c r="C62" s="33" t="s">
        <v>63</v>
      </c>
      <c r="D62" s="32">
        <v>12</v>
      </c>
      <c r="E62" s="32"/>
      <c r="F62" s="32"/>
      <c r="G62" s="32"/>
      <c r="H62" s="32"/>
    </row>
    <row r="63" spans="1:8" x14ac:dyDescent="0.25">
      <c r="A63" s="36" t="s">
        <v>155</v>
      </c>
      <c r="B63" s="33" t="s">
        <v>156</v>
      </c>
      <c r="C63" s="33" t="s">
        <v>84</v>
      </c>
      <c r="D63" s="32"/>
      <c r="E63" s="32"/>
      <c r="F63" s="32"/>
      <c r="G63" s="32"/>
      <c r="H63" s="32"/>
    </row>
    <row r="64" spans="1:8" x14ac:dyDescent="0.25">
      <c r="A64" s="117" t="s">
        <v>157</v>
      </c>
      <c r="B64" s="33" t="s">
        <v>158</v>
      </c>
      <c r="C64" s="33" t="s">
        <v>159</v>
      </c>
      <c r="D64" s="32"/>
      <c r="E64" s="32"/>
      <c r="F64" s="32"/>
      <c r="G64" s="32"/>
      <c r="H64" s="32"/>
    </row>
    <row r="65" spans="1:8" x14ac:dyDescent="0.25">
      <c r="A65" s="118"/>
      <c r="B65" s="33" t="s">
        <v>160</v>
      </c>
      <c r="C65" s="33" t="s">
        <v>161</v>
      </c>
      <c r="D65" s="32"/>
      <c r="E65" s="32"/>
      <c r="F65" s="32"/>
      <c r="G65" s="32"/>
      <c r="H65" s="32"/>
    </row>
    <row r="66" spans="1:8" ht="17.25" x14ac:dyDescent="0.4">
      <c r="A66" s="118"/>
      <c r="B66" s="38" t="s">
        <v>162</v>
      </c>
      <c r="C66" s="33" t="s">
        <v>40</v>
      </c>
      <c r="D66" s="32"/>
      <c r="E66" s="32"/>
      <c r="F66" s="32"/>
      <c r="G66" s="32"/>
      <c r="H66" s="32"/>
    </row>
    <row r="67" spans="1:8" ht="17.25" x14ac:dyDescent="0.4">
      <c r="A67" s="118"/>
      <c r="B67" s="38" t="s">
        <v>163</v>
      </c>
      <c r="C67" s="33" t="s">
        <v>34</v>
      </c>
      <c r="D67" s="32"/>
      <c r="E67" s="32"/>
      <c r="F67" s="32"/>
      <c r="G67" s="32"/>
      <c r="H67" s="32"/>
    </row>
    <row r="68" spans="1:8" x14ac:dyDescent="0.25">
      <c r="A68" s="119"/>
      <c r="B68" s="33" t="s">
        <v>164</v>
      </c>
      <c r="C68" s="33" t="s">
        <v>165</v>
      </c>
      <c r="D68" s="32"/>
      <c r="E68" s="32"/>
      <c r="F68" s="32"/>
      <c r="G68" s="32"/>
      <c r="H68" s="32"/>
    </row>
    <row r="69" spans="1:8" x14ac:dyDescent="0.25">
      <c r="A69" s="36" t="s">
        <v>166</v>
      </c>
      <c r="B69" s="33" t="s">
        <v>18</v>
      </c>
      <c r="C69" s="33" t="s">
        <v>50</v>
      </c>
      <c r="D69" s="32">
        <v>20</v>
      </c>
      <c r="E69" s="32"/>
      <c r="F69" s="32"/>
      <c r="G69" s="32"/>
      <c r="H69" s="32"/>
    </row>
    <row r="70" spans="1:8" x14ac:dyDescent="0.25">
      <c r="A70" s="117" t="s">
        <v>167</v>
      </c>
      <c r="B70" s="33" t="s">
        <v>52</v>
      </c>
      <c r="C70" s="33" t="s">
        <v>168</v>
      </c>
      <c r="D70" s="32">
        <v>6</v>
      </c>
      <c r="E70" s="32"/>
      <c r="F70" s="32"/>
      <c r="G70" s="32"/>
      <c r="H70" s="32"/>
    </row>
    <row r="71" spans="1:8" x14ac:dyDescent="0.25">
      <c r="A71" s="118"/>
      <c r="B71" s="33" t="s">
        <v>9</v>
      </c>
      <c r="C71" s="33" t="s">
        <v>82</v>
      </c>
      <c r="D71" s="32">
        <v>6</v>
      </c>
      <c r="E71" s="32"/>
      <c r="F71" s="32"/>
      <c r="G71" s="32"/>
      <c r="H71" s="32"/>
    </row>
    <row r="72" spans="1:8" x14ac:dyDescent="0.25">
      <c r="A72" s="118"/>
      <c r="B72" s="33" t="s">
        <v>14</v>
      </c>
      <c r="C72" s="33" t="s">
        <v>169</v>
      </c>
      <c r="D72" s="32">
        <v>6</v>
      </c>
      <c r="E72" s="32"/>
      <c r="F72" s="32"/>
      <c r="G72" s="32"/>
      <c r="H72" s="32"/>
    </row>
    <row r="73" spans="1:8" x14ac:dyDescent="0.25">
      <c r="A73" s="118"/>
      <c r="B73" s="33" t="s">
        <v>32</v>
      </c>
      <c r="C73" s="33" t="s">
        <v>170</v>
      </c>
      <c r="D73" s="32">
        <v>6</v>
      </c>
      <c r="E73" s="32"/>
      <c r="F73" s="32"/>
      <c r="G73" s="32"/>
      <c r="H73" s="32"/>
    </row>
    <row r="74" spans="1:8" x14ac:dyDescent="0.25">
      <c r="A74" s="118"/>
      <c r="B74" s="33" t="s">
        <v>77</v>
      </c>
      <c r="C74" s="33" t="s">
        <v>170</v>
      </c>
      <c r="D74" s="32">
        <v>6</v>
      </c>
      <c r="E74" s="32"/>
      <c r="F74" s="32"/>
      <c r="G74" s="32"/>
      <c r="H74" s="32"/>
    </row>
    <row r="75" spans="1:8" x14ac:dyDescent="0.25">
      <c r="A75" s="118"/>
      <c r="B75" s="33" t="s">
        <v>26</v>
      </c>
      <c r="C75" s="33" t="s">
        <v>171</v>
      </c>
      <c r="D75" s="32">
        <v>6</v>
      </c>
      <c r="E75" s="32"/>
      <c r="F75" s="32"/>
      <c r="G75" s="32"/>
      <c r="H75" s="32"/>
    </row>
    <row r="76" spans="1:8" x14ac:dyDescent="0.25">
      <c r="A76" s="118"/>
      <c r="B76" s="33" t="s">
        <v>36</v>
      </c>
      <c r="C76" s="33" t="s">
        <v>172</v>
      </c>
      <c r="D76" s="32">
        <v>6</v>
      </c>
      <c r="E76" s="32"/>
      <c r="F76" s="32"/>
      <c r="G76" s="32"/>
      <c r="H76" s="32"/>
    </row>
    <row r="77" spans="1:8" x14ac:dyDescent="0.25">
      <c r="A77" s="118"/>
      <c r="B77" s="33" t="s">
        <v>29</v>
      </c>
      <c r="C77" s="33" t="s">
        <v>173</v>
      </c>
      <c r="D77" s="32">
        <v>6</v>
      </c>
      <c r="E77" s="32"/>
      <c r="F77" s="32"/>
      <c r="G77" s="32"/>
      <c r="H77" s="32"/>
    </row>
    <row r="78" spans="1:8" x14ac:dyDescent="0.25">
      <c r="A78" s="118"/>
      <c r="B78" s="33" t="s">
        <v>43</v>
      </c>
      <c r="C78" s="33" t="s">
        <v>174</v>
      </c>
      <c r="D78" s="32">
        <v>6</v>
      </c>
      <c r="E78" s="32"/>
      <c r="F78" s="32"/>
      <c r="G78" s="32"/>
      <c r="H78" s="32"/>
    </row>
    <row r="79" spans="1:8" x14ac:dyDescent="0.25">
      <c r="A79" s="118"/>
      <c r="B79" s="33" t="s">
        <v>78</v>
      </c>
      <c r="C79" s="33" t="s">
        <v>174</v>
      </c>
      <c r="D79" s="32">
        <v>6</v>
      </c>
      <c r="E79" s="32"/>
      <c r="F79" s="32"/>
      <c r="G79" s="32"/>
      <c r="H79" s="32"/>
    </row>
    <row r="80" spans="1:8" x14ac:dyDescent="0.25">
      <c r="A80" s="119"/>
      <c r="B80" s="35" t="s">
        <v>76</v>
      </c>
      <c r="C80" s="35" t="s">
        <v>175</v>
      </c>
      <c r="D80" s="32">
        <v>6</v>
      </c>
      <c r="E80" s="39"/>
      <c r="F80" s="39"/>
      <c r="G80" s="39"/>
      <c r="H80" s="39"/>
    </row>
    <row r="81" spans="1:8" x14ac:dyDescent="0.25">
      <c r="A81" s="40" t="s">
        <v>176</v>
      </c>
      <c r="B81" s="41" t="s">
        <v>177</v>
      </c>
      <c r="C81" s="39" t="s">
        <v>178</v>
      </c>
      <c r="D81" s="32"/>
      <c r="E81" s="41"/>
      <c r="F81" s="41"/>
      <c r="G81" s="41"/>
      <c r="H81" s="39"/>
    </row>
    <row r="82" spans="1:8" x14ac:dyDescent="0.25">
      <c r="A82" s="40" t="s">
        <v>179</v>
      </c>
      <c r="B82" s="41" t="s">
        <v>180</v>
      </c>
      <c r="C82" s="39" t="s">
        <v>89</v>
      </c>
      <c r="D82" s="32"/>
      <c r="E82" s="41"/>
      <c r="F82" s="41"/>
      <c r="G82" s="41"/>
      <c r="H82" s="39"/>
    </row>
    <row r="83" spans="1:8" x14ac:dyDescent="0.25">
      <c r="A83" s="40" t="s">
        <v>181</v>
      </c>
      <c r="B83" s="41" t="s">
        <v>44</v>
      </c>
      <c r="C83" s="39" t="s">
        <v>90</v>
      </c>
      <c r="D83" s="32"/>
      <c r="E83" s="41"/>
      <c r="F83" s="41"/>
      <c r="G83" s="41"/>
      <c r="H83" s="39"/>
    </row>
    <row r="84" spans="1:8" x14ac:dyDescent="0.25">
      <c r="A84" s="40" t="s">
        <v>182</v>
      </c>
      <c r="B84" s="41" t="s">
        <v>183</v>
      </c>
      <c r="C84" s="39" t="s">
        <v>93</v>
      </c>
      <c r="D84" s="32"/>
      <c r="E84" s="41"/>
      <c r="F84" s="41"/>
      <c r="G84" s="41"/>
      <c r="H84" s="39"/>
    </row>
    <row r="85" spans="1:8" x14ac:dyDescent="0.25">
      <c r="A85" s="40" t="s">
        <v>184</v>
      </c>
      <c r="B85" s="41" t="s">
        <v>185</v>
      </c>
      <c r="C85" s="39" t="s">
        <v>186</v>
      </c>
      <c r="D85" s="32"/>
      <c r="E85" s="41"/>
      <c r="F85" s="41"/>
      <c r="G85" s="41"/>
      <c r="H85" s="39"/>
    </row>
    <row r="86" spans="1:8" x14ac:dyDescent="0.25">
      <c r="A86" s="40" t="s">
        <v>187</v>
      </c>
      <c r="B86" s="41" t="s">
        <v>188</v>
      </c>
      <c r="C86" s="39" t="s">
        <v>94</v>
      </c>
      <c r="D86" s="32"/>
      <c r="E86" s="41"/>
      <c r="F86" s="41"/>
      <c r="G86" s="41"/>
      <c r="H86" s="39"/>
    </row>
    <row r="87" spans="1:8" x14ac:dyDescent="0.25">
      <c r="A87" s="40" t="s">
        <v>189</v>
      </c>
      <c r="B87" s="41" t="s">
        <v>190</v>
      </c>
      <c r="C87" s="39" t="s">
        <v>191</v>
      </c>
      <c r="D87" s="32"/>
      <c r="E87" s="41"/>
      <c r="F87" s="41"/>
      <c r="G87" s="41"/>
      <c r="H87" s="39"/>
    </row>
    <row r="88" spans="1:8" x14ac:dyDescent="0.25">
      <c r="A88" s="40" t="s">
        <v>192</v>
      </c>
      <c r="B88" s="41" t="s">
        <v>193</v>
      </c>
      <c r="C88" s="39" t="s">
        <v>95</v>
      </c>
      <c r="D88" s="32"/>
      <c r="E88" s="41"/>
      <c r="F88" s="41"/>
      <c r="G88" s="41"/>
      <c r="H88" s="39"/>
    </row>
    <row r="89" spans="1:8" x14ac:dyDescent="0.25">
      <c r="A89" s="40" t="s">
        <v>194</v>
      </c>
      <c r="B89" s="41" t="s">
        <v>195</v>
      </c>
      <c r="C89" s="39" t="s">
        <v>196</v>
      </c>
      <c r="D89" s="32"/>
      <c r="E89" s="41"/>
      <c r="F89" s="41"/>
      <c r="G89" s="41"/>
      <c r="H89" s="39"/>
    </row>
    <row r="90" spans="1:8" x14ac:dyDescent="0.25">
      <c r="A90" s="40" t="s">
        <v>197</v>
      </c>
      <c r="B90" s="41" t="s">
        <v>198</v>
      </c>
      <c r="C90" s="39" t="s">
        <v>96</v>
      </c>
      <c r="D90" s="32"/>
      <c r="E90" s="41"/>
      <c r="F90" s="41"/>
      <c r="G90" s="41"/>
      <c r="H90" s="39"/>
    </row>
    <row r="91" spans="1:8" x14ac:dyDescent="0.25">
      <c r="A91" s="40" t="s">
        <v>199</v>
      </c>
      <c r="B91" s="41" t="s">
        <v>46</v>
      </c>
      <c r="C91" s="39" t="s">
        <v>91</v>
      </c>
      <c r="D91" s="32"/>
      <c r="E91" s="41"/>
      <c r="F91" s="41"/>
      <c r="G91" s="41"/>
      <c r="H91" s="39"/>
    </row>
    <row r="92" spans="1:8" x14ac:dyDescent="0.25">
      <c r="A92" s="40" t="s">
        <v>200</v>
      </c>
      <c r="B92" s="41" t="s">
        <v>201</v>
      </c>
      <c r="C92" s="39" t="s">
        <v>202</v>
      </c>
      <c r="D92" s="32"/>
      <c r="E92" s="41"/>
      <c r="F92" s="41"/>
      <c r="G92" s="41"/>
      <c r="H92" s="39"/>
    </row>
    <row r="93" spans="1:8" x14ac:dyDescent="0.25">
      <c r="A93" s="40" t="s">
        <v>203</v>
      </c>
      <c r="B93" s="41" t="s">
        <v>204</v>
      </c>
      <c r="C93" s="39" t="s">
        <v>92</v>
      </c>
      <c r="D93" s="32"/>
      <c r="E93" s="41"/>
      <c r="F93" s="41"/>
      <c r="G93" s="41"/>
      <c r="H93" s="39"/>
    </row>
    <row r="94" spans="1:8" x14ac:dyDescent="0.25">
      <c r="A94" s="40" t="s">
        <v>205</v>
      </c>
      <c r="B94" s="41" t="s">
        <v>70</v>
      </c>
      <c r="C94" s="39" t="s">
        <v>206</v>
      </c>
      <c r="D94" s="32"/>
      <c r="E94" s="41"/>
      <c r="F94" s="41"/>
      <c r="G94" s="41"/>
      <c r="H94" s="39"/>
    </row>
    <row r="95" spans="1:8" x14ac:dyDescent="0.25">
      <c r="A95" s="40" t="s">
        <v>207</v>
      </c>
      <c r="B95" s="41" t="s">
        <v>71</v>
      </c>
      <c r="C95" s="39" t="s">
        <v>208</v>
      </c>
      <c r="D95" s="32"/>
      <c r="E95" s="41"/>
      <c r="F95" s="41"/>
      <c r="G95" s="41"/>
      <c r="H95" s="39"/>
    </row>
    <row r="96" spans="1:8" x14ac:dyDescent="0.25">
      <c r="A96" s="40" t="s">
        <v>209</v>
      </c>
      <c r="B96" s="41" t="s">
        <v>72</v>
      </c>
      <c r="C96" s="39" t="s">
        <v>210</v>
      </c>
      <c r="D96" s="32"/>
      <c r="E96" s="41"/>
      <c r="F96" s="41"/>
      <c r="G96" s="41"/>
      <c r="H96" s="39"/>
    </row>
    <row r="97" spans="1:8" x14ac:dyDescent="0.25">
      <c r="A97" s="40" t="s">
        <v>211</v>
      </c>
      <c r="B97" s="41" t="s">
        <v>212</v>
      </c>
      <c r="C97" s="39" t="s">
        <v>213</v>
      </c>
      <c r="D97" s="32"/>
      <c r="E97" s="41"/>
      <c r="F97" s="41"/>
      <c r="G97" s="41"/>
      <c r="H97" s="39"/>
    </row>
    <row r="98" spans="1:8" x14ac:dyDescent="0.25">
      <c r="A98" s="42" t="s">
        <v>214</v>
      </c>
      <c r="B98" s="41" t="s">
        <v>74</v>
      </c>
      <c r="C98" s="39" t="s">
        <v>215</v>
      </c>
      <c r="D98" s="32"/>
      <c r="E98" s="41"/>
      <c r="F98" s="41"/>
      <c r="G98" s="41"/>
      <c r="H98" s="39"/>
    </row>
    <row r="99" spans="1:8" x14ac:dyDescent="0.25">
      <c r="A99" s="43" t="s">
        <v>216</v>
      </c>
      <c r="B99" s="44" t="s">
        <v>85</v>
      </c>
      <c r="C99" s="45" t="s">
        <v>86</v>
      </c>
      <c r="D99" s="41"/>
      <c r="E99" s="41"/>
      <c r="F99" s="41"/>
      <c r="G99" s="41"/>
      <c r="H99" s="39"/>
    </row>
    <row r="100" spans="1:8" x14ac:dyDescent="0.25">
      <c r="A100" s="46" t="s">
        <v>216</v>
      </c>
      <c r="B100" s="39" t="s">
        <v>217</v>
      </c>
      <c r="C100" s="45" t="s">
        <v>218</v>
      </c>
      <c r="D100" s="41"/>
      <c r="E100" s="41"/>
      <c r="F100" s="41"/>
      <c r="G100" s="41"/>
      <c r="H100" s="39"/>
    </row>
    <row r="101" spans="1:8" x14ac:dyDescent="0.25">
      <c r="A101" s="31"/>
      <c r="B101" s="47" t="s">
        <v>219</v>
      </c>
      <c r="C101" s="47" t="s">
        <v>97</v>
      </c>
      <c r="D101" s="47"/>
      <c r="E101" s="47"/>
      <c r="F101" s="47"/>
      <c r="G101" s="47"/>
      <c r="H101" s="32"/>
    </row>
    <row r="102" spans="1:8" x14ac:dyDescent="0.25">
      <c r="A102" s="120" t="s">
        <v>0</v>
      </c>
      <c r="B102" s="48" t="s">
        <v>52</v>
      </c>
      <c r="C102" s="48" t="s">
        <v>220</v>
      </c>
      <c r="D102">
        <v>100</v>
      </c>
    </row>
    <row r="103" spans="1:8" x14ac:dyDescent="0.25">
      <c r="A103" s="121"/>
      <c r="B103" s="48" t="s">
        <v>9</v>
      </c>
      <c r="C103" s="48" t="s">
        <v>87</v>
      </c>
      <c r="D103">
        <v>100</v>
      </c>
    </row>
    <row r="104" spans="1:8" x14ac:dyDescent="0.25">
      <c r="A104" s="121"/>
      <c r="B104" s="48" t="s">
        <v>14</v>
      </c>
      <c r="C104" s="48" t="s">
        <v>221</v>
      </c>
      <c r="D104">
        <v>100</v>
      </c>
    </row>
    <row r="105" spans="1:8" x14ac:dyDescent="0.25">
      <c r="A105" s="121"/>
      <c r="B105" s="48" t="s">
        <v>32</v>
      </c>
      <c r="C105" s="48" t="s">
        <v>222</v>
      </c>
      <c r="D105">
        <v>100</v>
      </c>
    </row>
    <row r="106" spans="1:8" x14ac:dyDescent="0.25">
      <c r="A106" s="121"/>
      <c r="B106" s="48" t="s">
        <v>26</v>
      </c>
      <c r="C106" s="48" t="s">
        <v>223</v>
      </c>
      <c r="D106">
        <v>100</v>
      </c>
    </row>
    <row r="107" spans="1:8" x14ac:dyDescent="0.25">
      <c r="A107" s="121"/>
      <c r="B107" s="48" t="s">
        <v>29</v>
      </c>
      <c r="C107" s="48" t="s">
        <v>224</v>
      </c>
      <c r="D107">
        <v>100</v>
      </c>
    </row>
    <row r="108" spans="1:8" x14ac:dyDescent="0.25">
      <c r="A108" s="121"/>
      <c r="B108" s="48" t="s">
        <v>43</v>
      </c>
      <c r="C108" s="48" t="s">
        <v>225</v>
      </c>
      <c r="D108">
        <v>100</v>
      </c>
    </row>
  </sheetData>
  <mergeCells count="11">
    <mergeCell ref="A38:A48"/>
    <mergeCell ref="A3:A10"/>
    <mergeCell ref="A11:A13"/>
    <mergeCell ref="A14:A15"/>
    <mergeCell ref="A16:A26"/>
    <mergeCell ref="A27:A37"/>
    <mergeCell ref="A49:A59"/>
    <mergeCell ref="A60:A61"/>
    <mergeCell ref="A64:A68"/>
    <mergeCell ref="A70:A80"/>
    <mergeCell ref="A102:A10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CF4FF-8BA0-4C78-A5A3-4AE0DDCFDA0F}">
  <dimension ref="A1:E74"/>
  <sheetViews>
    <sheetView topLeftCell="A40" workbookViewId="0">
      <selection activeCell="I38" sqref="I38"/>
    </sheetView>
  </sheetViews>
  <sheetFormatPr defaultRowHeight="15" x14ac:dyDescent="0.25"/>
  <sheetData>
    <row r="1" spans="1:5" x14ac:dyDescent="0.25">
      <c r="A1" s="130" t="s">
        <v>226</v>
      </c>
      <c r="B1" s="131"/>
      <c r="C1" s="132" t="s">
        <v>227</v>
      </c>
      <c r="D1" s="133"/>
      <c r="E1" s="49" t="s">
        <v>228</v>
      </c>
    </row>
    <row r="2" spans="1:5" x14ac:dyDescent="0.25">
      <c r="A2" s="134" t="s">
        <v>229</v>
      </c>
      <c r="B2" s="135"/>
      <c r="C2" s="126" t="s">
        <v>230</v>
      </c>
      <c r="D2" s="125"/>
      <c r="E2" s="1" t="s">
        <v>231</v>
      </c>
    </row>
    <row r="3" spans="1:5" x14ac:dyDescent="0.25">
      <c r="A3" s="124" t="s">
        <v>232</v>
      </c>
      <c r="B3" s="125"/>
      <c r="C3" s="126" t="s">
        <v>233</v>
      </c>
      <c r="D3" s="125"/>
      <c r="E3" s="1" t="s">
        <v>234</v>
      </c>
    </row>
    <row r="4" spans="1:5" x14ac:dyDescent="0.25">
      <c r="A4" s="127" t="s">
        <v>235</v>
      </c>
      <c r="B4" s="128"/>
      <c r="C4" s="129" t="s">
        <v>236</v>
      </c>
      <c r="D4" s="128"/>
      <c r="E4" s="52" t="s">
        <v>237</v>
      </c>
    </row>
    <row r="5" spans="1:5" x14ac:dyDescent="0.25">
      <c r="A5" s="130" t="s">
        <v>226</v>
      </c>
      <c r="B5" s="131"/>
      <c r="C5" s="132" t="s">
        <v>227</v>
      </c>
      <c r="D5" s="133"/>
      <c r="E5" s="1" t="s">
        <v>238</v>
      </c>
    </row>
    <row r="6" spans="1:5" x14ac:dyDescent="0.25">
      <c r="A6" s="134" t="s">
        <v>239</v>
      </c>
      <c r="B6" s="135"/>
      <c r="C6" s="126" t="s">
        <v>230</v>
      </c>
      <c r="D6" s="125"/>
      <c r="E6" s="1" t="s">
        <v>240</v>
      </c>
    </row>
    <row r="7" spans="1:5" x14ac:dyDescent="0.25">
      <c r="A7" s="124" t="s">
        <v>241</v>
      </c>
      <c r="B7" s="125"/>
      <c r="C7" s="126" t="s">
        <v>233</v>
      </c>
      <c r="D7" s="125"/>
      <c r="E7" s="1" t="s">
        <v>242</v>
      </c>
    </row>
    <row r="8" spans="1:5" x14ac:dyDescent="0.25">
      <c r="A8" s="127" t="s">
        <v>235</v>
      </c>
      <c r="B8" s="128"/>
      <c r="C8" s="129" t="s">
        <v>236</v>
      </c>
      <c r="D8" s="128"/>
      <c r="E8" s="52" t="s">
        <v>243</v>
      </c>
    </row>
    <row r="9" spans="1:5" x14ac:dyDescent="0.25">
      <c r="A9" s="130" t="s">
        <v>244</v>
      </c>
      <c r="B9" s="131"/>
      <c r="C9" s="132" t="s">
        <v>227</v>
      </c>
      <c r="D9" s="133"/>
      <c r="E9" s="1" t="s">
        <v>245</v>
      </c>
    </row>
    <row r="10" spans="1:5" x14ac:dyDescent="0.25">
      <c r="A10" s="134" t="s">
        <v>229</v>
      </c>
      <c r="B10" s="135"/>
      <c r="C10" s="126" t="s">
        <v>230</v>
      </c>
      <c r="D10" s="125"/>
      <c r="E10" s="1" t="s">
        <v>246</v>
      </c>
    </row>
    <row r="11" spans="1:5" x14ac:dyDescent="0.25">
      <c r="A11" s="134" t="s">
        <v>247</v>
      </c>
      <c r="B11" s="135"/>
      <c r="C11" s="126" t="s">
        <v>233</v>
      </c>
      <c r="D11" s="125"/>
      <c r="E11" s="1" t="s">
        <v>248</v>
      </c>
    </row>
    <row r="12" spans="1:5" x14ac:dyDescent="0.25">
      <c r="A12" s="127" t="s">
        <v>249</v>
      </c>
      <c r="B12" s="128"/>
      <c r="C12" s="129" t="s">
        <v>236</v>
      </c>
      <c r="D12" s="128"/>
      <c r="E12" s="52" t="s">
        <v>250</v>
      </c>
    </row>
    <row r="13" spans="1:5" x14ac:dyDescent="0.25">
      <c r="A13" s="130" t="s">
        <v>244</v>
      </c>
      <c r="B13" s="131"/>
      <c r="C13" s="132" t="s">
        <v>227</v>
      </c>
      <c r="D13" s="133"/>
      <c r="E13" s="1" t="s">
        <v>251</v>
      </c>
    </row>
    <row r="14" spans="1:5" x14ac:dyDescent="0.25">
      <c r="A14" s="134" t="s">
        <v>229</v>
      </c>
      <c r="B14" s="135"/>
      <c r="C14" s="126" t="s">
        <v>230</v>
      </c>
      <c r="D14" s="125"/>
      <c r="E14" s="1" t="s">
        <v>252</v>
      </c>
    </row>
    <row r="15" spans="1:5" x14ac:dyDescent="0.25">
      <c r="A15" s="134" t="s">
        <v>253</v>
      </c>
      <c r="B15" s="135"/>
      <c r="C15" s="126" t="s">
        <v>233</v>
      </c>
      <c r="D15" s="125"/>
      <c r="E15" s="1" t="s">
        <v>254</v>
      </c>
    </row>
    <row r="16" spans="1:5" x14ac:dyDescent="0.25">
      <c r="A16" s="127" t="s">
        <v>249</v>
      </c>
      <c r="B16" s="128"/>
      <c r="C16" s="129" t="s">
        <v>236</v>
      </c>
      <c r="D16" s="128"/>
      <c r="E16" s="52" t="s">
        <v>255</v>
      </c>
    </row>
    <row r="17" spans="1:5" x14ac:dyDescent="0.25">
      <c r="A17" s="130" t="s">
        <v>244</v>
      </c>
      <c r="B17" s="131"/>
      <c r="C17" s="132" t="s">
        <v>227</v>
      </c>
      <c r="D17" s="133"/>
      <c r="E17" s="1" t="s">
        <v>256</v>
      </c>
    </row>
    <row r="18" spans="1:5" x14ac:dyDescent="0.25">
      <c r="A18" s="134" t="s">
        <v>257</v>
      </c>
      <c r="B18" s="135"/>
      <c r="C18" s="126" t="s">
        <v>230</v>
      </c>
      <c r="D18" s="125"/>
      <c r="E18" s="1" t="s">
        <v>258</v>
      </c>
    </row>
    <row r="19" spans="1:5" x14ac:dyDescent="0.25">
      <c r="A19" s="124" t="s">
        <v>249</v>
      </c>
      <c r="B19" s="125"/>
      <c r="C19" s="126" t="s">
        <v>233</v>
      </c>
      <c r="D19" s="125"/>
      <c r="E19" s="1" t="s">
        <v>259</v>
      </c>
    </row>
    <row r="20" spans="1:5" x14ac:dyDescent="0.25">
      <c r="A20" s="127" t="s">
        <v>235</v>
      </c>
      <c r="B20" s="128"/>
      <c r="C20" s="129" t="s">
        <v>236</v>
      </c>
      <c r="D20" s="128"/>
      <c r="E20" s="1" t="s">
        <v>260</v>
      </c>
    </row>
    <row r="21" spans="1:5" x14ac:dyDescent="0.25">
      <c r="A21" s="130" t="s">
        <v>261</v>
      </c>
      <c r="B21" s="131"/>
      <c r="C21" s="132" t="s">
        <v>227</v>
      </c>
      <c r="D21" s="133"/>
      <c r="E21" s="1" t="s">
        <v>262</v>
      </c>
    </row>
    <row r="22" spans="1:5" x14ac:dyDescent="0.25">
      <c r="A22" s="124" t="s">
        <v>263</v>
      </c>
      <c r="B22" s="125"/>
      <c r="C22" s="126" t="s">
        <v>230</v>
      </c>
      <c r="D22" s="125"/>
      <c r="E22" s="1" t="s">
        <v>264</v>
      </c>
    </row>
    <row r="23" spans="1:5" x14ac:dyDescent="0.25">
      <c r="A23" s="124" t="s">
        <v>265</v>
      </c>
      <c r="B23" s="125"/>
      <c r="C23" s="126" t="s">
        <v>233</v>
      </c>
      <c r="D23" s="125"/>
      <c r="E23" s="1" t="s">
        <v>266</v>
      </c>
    </row>
    <row r="24" spans="1:5" x14ac:dyDescent="0.25">
      <c r="A24" s="127" t="s">
        <v>249</v>
      </c>
      <c r="B24" s="128"/>
      <c r="C24" s="129" t="s">
        <v>236</v>
      </c>
      <c r="D24" s="128"/>
      <c r="E24" s="52" t="s">
        <v>267</v>
      </c>
    </row>
    <row r="25" spans="1:5" x14ac:dyDescent="0.25">
      <c r="A25" s="130" t="s">
        <v>226</v>
      </c>
      <c r="B25" s="131"/>
      <c r="C25" s="132" t="s">
        <v>235</v>
      </c>
      <c r="D25" s="133"/>
      <c r="E25" s="1" t="s">
        <v>235</v>
      </c>
    </row>
    <row r="26" spans="1:5" x14ac:dyDescent="0.25">
      <c r="A26" s="134" t="s">
        <v>268</v>
      </c>
      <c r="B26" s="135"/>
      <c r="C26" s="126" t="s">
        <v>269</v>
      </c>
      <c r="D26" s="125"/>
      <c r="E26" s="1" t="s">
        <v>270</v>
      </c>
    </row>
    <row r="27" spans="1:5" x14ac:dyDescent="0.25">
      <c r="A27" s="127" t="s">
        <v>249</v>
      </c>
      <c r="B27" s="128"/>
      <c r="C27" s="129" t="s">
        <v>235</v>
      </c>
      <c r="D27" s="128"/>
      <c r="E27" s="52" t="s">
        <v>235</v>
      </c>
    </row>
    <row r="28" spans="1:5" x14ac:dyDescent="0.25">
      <c r="A28" s="130" t="s">
        <v>226</v>
      </c>
      <c r="B28" s="131"/>
      <c r="C28" s="132" t="s">
        <v>235</v>
      </c>
      <c r="D28" s="133"/>
      <c r="E28" s="1" t="s">
        <v>235</v>
      </c>
    </row>
    <row r="29" spans="1:5" x14ac:dyDescent="0.25">
      <c r="A29" s="134" t="s">
        <v>271</v>
      </c>
      <c r="B29" s="135"/>
      <c r="C29" s="126" t="s">
        <v>272</v>
      </c>
      <c r="D29" s="125"/>
      <c r="E29" s="1" t="s">
        <v>273</v>
      </c>
    </row>
    <row r="30" spans="1:5" x14ac:dyDescent="0.25">
      <c r="A30" s="127" t="s">
        <v>249</v>
      </c>
      <c r="B30" s="128"/>
      <c r="C30" s="129" t="s">
        <v>235</v>
      </c>
      <c r="D30" s="128"/>
      <c r="E30" s="52" t="s">
        <v>235</v>
      </c>
    </row>
    <row r="31" spans="1:5" x14ac:dyDescent="0.25">
      <c r="A31" s="130" t="s">
        <v>226</v>
      </c>
      <c r="B31" s="131"/>
      <c r="C31" s="132" t="s">
        <v>235</v>
      </c>
      <c r="D31" s="133"/>
      <c r="E31" s="1" t="s">
        <v>235</v>
      </c>
    </row>
    <row r="32" spans="1:5" x14ac:dyDescent="0.25">
      <c r="A32" s="134" t="s">
        <v>274</v>
      </c>
      <c r="B32" s="135"/>
      <c r="C32" s="126" t="s">
        <v>275</v>
      </c>
      <c r="D32" s="125"/>
      <c r="E32" s="1" t="s">
        <v>276</v>
      </c>
    </row>
    <row r="33" spans="1:5" x14ac:dyDescent="0.25">
      <c r="A33" s="127" t="s">
        <v>249</v>
      </c>
      <c r="B33" s="128"/>
      <c r="C33" s="129" t="s">
        <v>235</v>
      </c>
      <c r="D33" s="128"/>
      <c r="E33" s="52" t="s">
        <v>235</v>
      </c>
    </row>
    <row r="34" spans="1:5" x14ac:dyDescent="0.25">
      <c r="A34" s="130" t="s">
        <v>244</v>
      </c>
      <c r="B34" s="131"/>
      <c r="C34" s="132" t="s">
        <v>235</v>
      </c>
      <c r="D34" s="133"/>
      <c r="E34" s="1" t="s">
        <v>235</v>
      </c>
    </row>
    <row r="35" spans="1:5" x14ac:dyDescent="0.25">
      <c r="A35" s="134" t="s">
        <v>277</v>
      </c>
      <c r="B35" s="135"/>
      <c r="C35" s="126" t="s">
        <v>278</v>
      </c>
      <c r="D35" s="125"/>
      <c r="E35" s="1" t="s">
        <v>279</v>
      </c>
    </row>
    <row r="36" spans="1:5" x14ac:dyDescent="0.25">
      <c r="A36" s="124" t="s">
        <v>280</v>
      </c>
      <c r="B36" s="125"/>
      <c r="C36" s="126" t="s">
        <v>281</v>
      </c>
      <c r="D36" s="125"/>
      <c r="E36" s="1" t="s">
        <v>282</v>
      </c>
    </row>
    <row r="37" spans="1:5" x14ac:dyDescent="0.25">
      <c r="A37" s="127" t="s">
        <v>235</v>
      </c>
      <c r="B37" s="128"/>
      <c r="C37" s="129" t="s">
        <v>235</v>
      </c>
      <c r="D37" s="128"/>
      <c r="E37" s="52" t="s">
        <v>235</v>
      </c>
    </row>
    <row r="38" spans="1:5" x14ac:dyDescent="0.25">
      <c r="A38" s="130" t="s">
        <v>283</v>
      </c>
      <c r="B38" s="131"/>
      <c r="C38" s="132" t="s">
        <v>235</v>
      </c>
      <c r="D38" s="133"/>
      <c r="E38" s="1" t="s">
        <v>235</v>
      </c>
    </row>
    <row r="39" spans="1:5" x14ac:dyDescent="0.25">
      <c r="A39" s="134" t="s">
        <v>284</v>
      </c>
      <c r="B39" s="135"/>
      <c r="C39" s="126" t="s">
        <v>285</v>
      </c>
      <c r="D39" s="125"/>
      <c r="E39" s="1" t="s">
        <v>286</v>
      </c>
    </row>
    <row r="40" spans="1:5" x14ac:dyDescent="0.25">
      <c r="A40" s="127" t="s">
        <v>287</v>
      </c>
      <c r="B40" s="128"/>
      <c r="C40" s="129" t="s">
        <v>235</v>
      </c>
      <c r="D40" s="128"/>
      <c r="E40" s="52" t="s">
        <v>235</v>
      </c>
    </row>
    <row r="41" spans="1:5" x14ac:dyDescent="0.25">
      <c r="A41" s="130" t="s">
        <v>283</v>
      </c>
      <c r="B41" s="131"/>
      <c r="C41" s="132" t="s">
        <v>235</v>
      </c>
      <c r="D41" s="133"/>
      <c r="E41" s="1" t="s">
        <v>235</v>
      </c>
    </row>
    <row r="42" spans="1:5" x14ac:dyDescent="0.25">
      <c r="A42" s="134" t="s">
        <v>284</v>
      </c>
      <c r="B42" s="135"/>
      <c r="C42" s="126" t="s">
        <v>288</v>
      </c>
      <c r="D42" s="125"/>
      <c r="E42" s="1" t="s">
        <v>289</v>
      </c>
    </row>
    <row r="43" spans="1:5" x14ac:dyDescent="0.25">
      <c r="A43" s="127" t="s">
        <v>280</v>
      </c>
      <c r="B43" s="128"/>
      <c r="C43" s="129" t="s">
        <v>235</v>
      </c>
      <c r="D43" s="128"/>
      <c r="E43" s="52" t="s">
        <v>235</v>
      </c>
    </row>
    <row r="44" spans="1:5" x14ac:dyDescent="0.25">
      <c r="A44" s="130" t="s">
        <v>290</v>
      </c>
      <c r="B44" s="131"/>
      <c r="C44" s="132" t="s">
        <v>227</v>
      </c>
      <c r="D44" s="133"/>
      <c r="E44" s="1" t="s">
        <v>291</v>
      </c>
    </row>
    <row r="45" spans="1:5" x14ac:dyDescent="0.25">
      <c r="A45" s="134" t="s">
        <v>292</v>
      </c>
      <c r="B45" s="135"/>
      <c r="C45" s="126" t="s">
        <v>230</v>
      </c>
      <c r="D45" s="125"/>
      <c r="E45" s="1" t="s">
        <v>293</v>
      </c>
    </row>
    <row r="46" spans="1:5" x14ac:dyDescent="0.25">
      <c r="A46" s="124" t="s">
        <v>294</v>
      </c>
      <c r="B46" s="125"/>
      <c r="C46" s="126" t="s">
        <v>233</v>
      </c>
      <c r="D46" s="125"/>
      <c r="E46" s="1" t="s">
        <v>295</v>
      </c>
    </row>
    <row r="47" spans="1:5" x14ac:dyDescent="0.25">
      <c r="A47" s="51"/>
      <c r="B47" s="50"/>
      <c r="C47" s="1" t="s">
        <v>296</v>
      </c>
      <c r="D47" s="50"/>
      <c r="E47" s="1" t="s">
        <v>173</v>
      </c>
    </row>
    <row r="48" spans="1:5" x14ac:dyDescent="0.25">
      <c r="A48" s="127" t="s">
        <v>235</v>
      </c>
      <c r="B48" s="128"/>
      <c r="C48" s="129" t="s">
        <v>236</v>
      </c>
      <c r="D48" s="128"/>
      <c r="E48" s="52" t="s">
        <v>297</v>
      </c>
    </row>
    <row r="49" spans="1:5" x14ac:dyDescent="0.25">
      <c r="A49" s="53"/>
      <c r="B49" s="53"/>
      <c r="C49" s="53" t="s">
        <v>298</v>
      </c>
      <c r="D49" s="53"/>
      <c r="E49" s="51" t="s">
        <v>299</v>
      </c>
    </row>
    <row r="50" spans="1:5" x14ac:dyDescent="0.25">
      <c r="A50" s="122" t="s">
        <v>226</v>
      </c>
      <c r="B50" s="123"/>
      <c r="C50" s="54" t="s">
        <v>227</v>
      </c>
      <c r="D50" s="53"/>
      <c r="E50" s="55" t="s">
        <v>300</v>
      </c>
    </row>
    <row r="51" spans="1:5" x14ac:dyDescent="0.25">
      <c r="A51" s="122" t="s">
        <v>301</v>
      </c>
      <c r="B51" s="123"/>
      <c r="C51" s="56" t="s">
        <v>230</v>
      </c>
      <c r="D51" s="53"/>
      <c r="E51" s="57" t="s">
        <v>302</v>
      </c>
    </row>
    <row r="52" spans="1:5" x14ac:dyDescent="0.25">
      <c r="A52" s="122" t="s">
        <v>303</v>
      </c>
      <c r="B52" s="123"/>
      <c r="C52" s="56" t="s">
        <v>233</v>
      </c>
      <c r="E52" s="57" t="s">
        <v>304</v>
      </c>
    </row>
    <row r="53" spans="1:5" x14ac:dyDescent="0.25">
      <c r="A53" s="122" t="s">
        <v>232</v>
      </c>
      <c r="B53" s="123"/>
      <c r="C53" s="56" t="s">
        <v>296</v>
      </c>
      <c r="E53" s="57" t="s">
        <v>305</v>
      </c>
    </row>
    <row r="54" spans="1:5" x14ac:dyDescent="0.25">
      <c r="A54" s="58" t="s">
        <v>235</v>
      </c>
      <c r="C54" s="59" t="s">
        <v>236</v>
      </c>
      <c r="E54" s="58" t="s">
        <v>306</v>
      </c>
    </row>
    <row r="55" spans="1:5" x14ac:dyDescent="0.25">
      <c r="A55" s="122" t="s">
        <v>244</v>
      </c>
      <c r="B55" s="123"/>
      <c r="C55" s="56" t="s">
        <v>227</v>
      </c>
      <c r="E55" s="57" t="s">
        <v>307</v>
      </c>
    </row>
    <row r="56" spans="1:5" x14ac:dyDescent="0.25">
      <c r="A56" s="122" t="s">
        <v>301</v>
      </c>
      <c r="B56" s="123"/>
      <c r="C56" s="56" t="s">
        <v>230</v>
      </c>
      <c r="E56" s="57" t="s">
        <v>308</v>
      </c>
    </row>
    <row r="57" spans="1:5" x14ac:dyDescent="0.25">
      <c r="A57" s="122" t="s">
        <v>247</v>
      </c>
      <c r="B57" s="123"/>
      <c r="C57" s="56" t="s">
        <v>233</v>
      </c>
      <c r="E57" s="57" t="s">
        <v>309</v>
      </c>
    </row>
    <row r="58" spans="1:5" x14ac:dyDescent="0.25">
      <c r="A58" s="122" t="s">
        <v>303</v>
      </c>
      <c r="B58" s="123"/>
      <c r="C58" s="56" t="s">
        <v>296</v>
      </c>
      <c r="E58" s="57" t="s">
        <v>310</v>
      </c>
    </row>
    <row r="59" spans="1:5" x14ac:dyDescent="0.25">
      <c r="A59" s="122" t="s">
        <v>249</v>
      </c>
      <c r="B59" s="123"/>
      <c r="C59" s="59" t="s">
        <v>236</v>
      </c>
      <c r="E59" s="58" t="s">
        <v>311</v>
      </c>
    </row>
    <row r="60" spans="1:5" x14ac:dyDescent="0.25">
      <c r="A60" s="122" t="s">
        <v>244</v>
      </c>
      <c r="B60" s="123"/>
      <c r="C60" s="56" t="s">
        <v>227</v>
      </c>
      <c r="E60" s="57" t="s">
        <v>312</v>
      </c>
    </row>
    <row r="61" spans="1:5" x14ac:dyDescent="0.25">
      <c r="A61" s="122" t="s">
        <v>301</v>
      </c>
      <c r="B61" s="123"/>
      <c r="C61" s="56" t="s">
        <v>230</v>
      </c>
      <c r="E61" s="57" t="s">
        <v>313</v>
      </c>
    </row>
    <row r="62" spans="1:5" x14ac:dyDescent="0.25">
      <c r="A62" s="122" t="s">
        <v>253</v>
      </c>
      <c r="B62" s="123"/>
      <c r="C62" s="56" t="s">
        <v>233</v>
      </c>
      <c r="E62" s="57" t="s">
        <v>314</v>
      </c>
    </row>
    <row r="63" spans="1:5" x14ac:dyDescent="0.25">
      <c r="A63" s="122" t="s">
        <v>303</v>
      </c>
      <c r="B63" s="123"/>
      <c r="C63" s="56" t="s">
        <v>296</v>
      </c>
      <c r="E63" s="57" t="s">
        <v>315</v>
      </c>
    </row>
    <row r="64" spans="1:5" x14ac:dyDescent="0.25">
      <c r="A64" s="122" t="s">
        <v>249</v>
      </c>
      <c r="B64" s="123"/>
      <c r="C64" s="59" t="s">
        <v>236</v>
      </c>
      <c r="E64" s="58" t="s">
        <v>316</v>
      </c>
    </row>
    <row r="65" spans="1:5" x14ac:dyDescent="0.25">
      <c r="A65" s="122" t="s">
        <v>244</v>
      </c>
      <c r="B65" s="123"/>
      <c r="C65" s="56" t="s">
        <v>227</v>
      </c>
      <c r="E65" s="57" t="s">
        <v>317</v>
      </c>
    </row>
    <row r="66" spans="1:5" x14ac:dyDescent="0.25">
      <c r="A66" s="122" t="s">
        <v>301</v>
      </c>
      <c r="B66" s="123"/>
      <c r="C66" s="56" t="s">
        <v>230</v>
      </c>
      <c r="E66" s="57" t="s">
        <v>318</v>
      </c>
    </row>
    <row r="67" spans="1:5" x14ac:dyDescent="0.25">
      <c r="A67" s="122" t="s">
        <v>319</v>
      </c>
      <c r="B67" s="123"/>
      <c r="C67" s="56" t="s">
        <v>233</v>
      </c>
      <c r="E67" s="57" t="s">
        <v>320</v>
      </c>
    </row>
    <row r="68" spans="1:5" x14ac:dyDescent="0.25">
      <c r="A68" s="122" t="s">
        <v>303</v>
      </c>
      <c r="B68" s="123"/>
      <c r="C68" s="56" t="s">
        <v>296</v>
      </c>
      <c r="E68" s="57" t="s">
        <v>321</v>
      </c>
    </row>
    <row r="69" spans="1:5" x14ac:dyDescent="0.25">
      <c r="A69" s="122" t="s">
        <v>249</v>
      </c>
      <c r="B69" s="123"/>
      <c r="C69" s="59" t="s">
        <v>236</v>
      </c>
      <c r="E69" s="58" t="s">
        <v>322</v>
      </c>
    </row>
    <row r="70" spans="1:5" x14ac:dyDescent="0.25">
      <c r="A70" s="122" t="s">
        <v>244</v>
      </c>
      <c r="B70" s="123"/>
      <c r="C70" s="56" t="s">
        <v>227</v>
      </c>
      <c r="E70" s="57" t="s">
        <v>323</v>
      </c>
    </row>
    <row r="71" spans="1:5" x14ac:dyDescent="0.25">
      <c r="A71" s="122" t="s">
        <v>324</v>
      </c>
      <c r="B71" s="123"/>
      <c r="C71" s="56" t="s">
        <v>230</v>
      </c>
      <c r="E71" s="57" t="s">
        <v>325</v>
      </c>
    </row>
    <row r="72" spans="1:5" x14ac:dyDescent="0.25">
      <c r="A72" s="122" t="s">
        <v>287</v>
      </c>
      <c r="B72" s="123"/>
      <c r="C72" s="56" t="s">
        <v>233</v>
      </c>
      <c r="E72" s="57" t="s">
        <v>326</v>
      </c>
    </row>
    <row r="73" spans="1:5" x14ac:dyDescent="0.25">
      <c r="A73" s="122" t="s">
        <v>235</v>
      </c>
      <c r="B73" s="123"/>
      <c r="C73" s="56" t="s">
        <v>296</v>
      </c>
      <c r="E73" s="57" t="s">
        <v>327</v>
      </c>
    </row>
    <row r="74" spans="1:5" x14ac:dyDescent="0.25">
      <c r="A74" s="122" t="s">
        <v>235</v>
      </c>
      <c r="B74" s="123"/>
      <c r="C74" s="60" t="s">
        <v>236</v>
      </c>
      <c r="E74" s="59" t="s">
        <v>328</v>
      </c>
    </row>
  </sheetData>
  <mergeCells count="118">
    <mergeCell ref="A4:B4"/>
    <mergeCell ref="C4:D4"/>
    <mergeCell ref="A5:B5"/>
    <mergeCell ref="C5:D5"/>
    <mergeCell ref="A6:B6"/>
    <mergeCell ref="C6:D6"/>
    <mergeCell ref="A1:B1"/>
    <mergeCell ref="C1:D1"/>
    <mergeCell ref="A2:B2"/>
    <mergeCell ref="C2:D2"/>
    <mergeCell ref="A3:B3"/>
    <mergeCell ref="C3:D3"/>
    <mergeCell ref="A10:B10"/>
    <mergeCell ref="C10:D10"/>
    <mergeCell ref="A11:B11"/>
    <mergeCell ref="C11:D11"/>
    <mergeCell ref="A12:B12"/>
    <mergeCell ref="C12:D12"/>
    <mergeCell ref="A7:B7"/>
    <mergeCell ref="C7:D7"/>
    <mergeCell ref="A8:B8"/>
    <mergeCell ref="C8:D8"/>
    <mergeCell ref="A9:B9"/>
    <mergeCell ref="C9:D9"/>
    <mergeCell ref="A16:B16"/>
    <mergeCell ref="C16:D16"/>
    <mergeCell ref="A17:B17"/>
    <mergeCell ref="C17:D17"/>
    <mergeCell ref="A18:B18"/>
    <mergeCell ref="C18:D18"/>
    <mergeCell ref="A13:B13"/>
    <mergeCell ref="C13:D13"/>
    <mergeCell ref="A14:B14"/>
    <mergeCell ref="C14:D14"/>
    <mergeCell ref="A15:B15"/>
    <mergeCell ref="C15:D15"/>
    <mergeCell ref="A22:B22"/>
    <mergeCell ref="C22:D22"/>
    <mergeCell ref="A23:B23"/>
    <mergeCell ref="C23:D23"/>
    <mergeCell ref="A24:B24"/>
    <mergeCell ref="C24:D24"/>
    <mergeCell ref="A19:B19"/>
    <mergeCell ref="C19:D19"/>
    <mergeCell ref="A20:B20"/>
    <mergeCell ref="C20:D20"/>
    <mergeCell ref="A21:B21"/>
    <mergeCell ref="C21:D21"/>
    <mergeCell ref="A28:B28"/>
    <mergeCell ref="C28:D28"/>
    <mergeCell ref="A29:B29"/>
    <mergeCell ref="C29:D29"/>
    <mergeCell ref="A30:B30"/>
    <mergeCell ref="C30:D30"/>
    <mergeCell ref="A25:B25"/>
    <mergeCell ref="C25:D25"/>
    <mergeCell ref="A26:B26"/>
    <mergeCell ref="C26:D26"/>
    <mergeCell ref="A27:B27"/>
    <mergeCell ref="C27:D27"/>
    <mergeCell ref="A34:B34"/>
    <mergeCell ref="C34:D34"/>
    <mergeCell ref="A35:B35"/>
    <mergeCell ref="C35:D35"/>
    <mergeCell ref="A36:B36"/>
    <mergeCell ref="C36:D36"/>
    <mergeCell ref="A31:B31"/>
    <mergeCell ref="C31:D31"/>
    <mergeCell ref="A32:B32"/>
    <mergeCell ref="C32:D32"/>
    <mergeCell ref="A33:B33"/>
    <mergeCell ref="C33:D33"/>
    <mergeCell ref="A40:B40"/>
    <mergeCell ref="C40:D40"/>
    <mergeCell ref="A41:B41"/>
    <mergeCell ref="C41:D41"/>
    <mergeCell ref="A42:B42"/>
    <mergeCell ref="C42:D42"/>
    <mergeCell ref="A37:B37"/>
    <mergeCell ref="C37:D37"/>
    <mergeCell ref="A38:B38"/>
    <mergeCell ref="C38:D38"/>
    <mergeCell ref="A39:B39"/>
    <mergeCell ref="C39:D39"/>
    <mergeCell ref="A46:B46"/>
    <mergeCell ref="C46:D46"/>
    <mergeCell ref="A48:B48"/>
    <mergeCell ref="C48:D48"/>
    <mergeCell ref="A50:B50"/>
    <mergeCell ref="A51:B51"/>
    <mergeCell ref="A43:B43"/>
    <mergeCell ref="C43:D43"/>
    <mergeCell ref="A44:B44"/>
    <mergeCell ref="C44:D44"/>
    <mergeCell ref="A45:B45"/>
    <mergeCell ref="C45:D45"/>
    <mergeCell ref="A59:B59"/>
    <mergeCell ref="A60:B60"/>
    <mergeCell ref="A61:B61"/>
    <mergeCell ref="A62:B62"/>
    <mergeCell ref="A63:B63"/>
    <mergeCell ref="A64:B64"/>
    <mergeCell ref="A52:B52"/>
    <mergeCell ref="A53:B53"/>
    <mergeCell ref="A55:B55"/>
    <mergeCell ref="A56:B56"/>
    <mergeCell ref="A57:B57"/>
    <mergeCell ref="A58:B58"/>
    <mergeCell ref="A71:B71"/>
    <mergeCell ref="A72:B72"/>
    <mergeCell ref="A73:B73"/>
    <mergeCell ref="A74:B74"/>
    <mergeCell ref="A65:B65"/>
    <mergeCell ref="A66:B66"/>
    <mergeCell ref="A67:B67"/>
    <mergeCell ref="A68:B68"/>
    <mergeCell ref="A69:B69"/>
    <mergeCell ref="A70:B7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Calculator</vt:lpstr>
      <vt:lpstr>Calculations</vt:lpstr>
      <vt:lpstr>Price List</vt:lpstr>
      <vt:lpstr>Product List</vt:lpstr>
      <vt:lpstr>EnhancedGrain</vt:lpstr>
      <vt:lpstr>LastaGrip</vt:lpstr>
      <vt:lpstr>No</vt:lpstr>
      <vt:lpstr>WeatheredOak</vt:lpstr>
      <vt:lpstr>Yes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Hornsby | Millboard</dc:creator>
  <cp:lastModifiedBy>Phil Hornsby | Millboard</cp:lastModifiedBy>
  <dcterms:created xsi:type="dcterms:W3CDTF">2023-04-24T11:02:53Z</dcterms:created>
  <dcterms:modified xsi:type="dcterms:W3CDTF">2023-04-25T09:26:39Z</dcterms:modified>
</cp:coreProperties>
</file>