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ger\Documents\Budgets\2026 Budget\2026 Approved Budget\"/>
    </mc:Choice>
  </mc:AlternateContent>
  <xr:revisionPtr revIDLastSave="0" documentId="8_{B9B81698-561A-4880-B77F-D96B752C90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Draft Reserve Schedule" sheetId="1" r:id="rId1"/>
  </sheets>
  <definedNames>
    <definedName name="_xlnm.Print_Area" localSheetId="0">'2026 Draft Reserve Schedule'!$A$1:$AP$135</definedName>
    <definedName name="_xlnm.Print_Titles" localSheetId="0">'2026 Draft Reserve Schedule'!$A:$F,'2026 Draft Reserve Schedule'!$1:$3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2" i="1" l="1"/>
  <c r="K21" i="1"/>
  <c r="K9" i="1"/>
  <c r="G122" i="1" l="1"/>
  <c r="K66" i="1" l="1"/>
  <c r="L86" i="1" l="1"/>
  <c r="L55" i="1"/>
  <c r="L23" i="1"/>
  <c r="L7" i="1"/>
  <c r="L6" i="1"/>
  <c r="K111" i="1" l="1"/>
  <c r="K67" i="1" s="1"/>
  <c r="K24" i="1"/>
  <c r="K74" i="1" l="1"/>
  <c r="K110" i="1" l="1"/>
  <c r="F78" i="1" l="1"/>
  <c r="K86" i="1" l="1"/>
  <c r="K77" i="1"/>
  <c r="AO120" i="1" l="1"/>
  <c r="J119" i="1"/>
  <c r="J110" i="1"/>
  <c r="J107" i="1"/>
  <c r="J63" i="1"/>
  <c r="J66" i="1"/>
  <c r="H78" i="1"/>
  <c r="H74" i="1"/>
  <c r="H107" i="1" s="1"/>
  <c r="H21" i="1"/>
  <c r="H9" i="1"/>
  <c r="H8" i="1"/>
  <c r="H63" i="1" l="1"/>
  <c r="H117" i="1" s="1"/>
  <c r="J120" i="1"/>
  <c r="J117" i="1"/>
  <c r="K8" i="1" l="1"/>
  <c r="M109" i="1" l="1"/>
  <c r="N109" i="1" s="1"/>
  <c r="O109" i="1" s="1"/>
  <c r="P109" i="1" s="1"/>
  <c r="Q109" i="1" s="1"/>
  <c r="R109" i="1" s="1"/>
  <c r="S109" i="1" s="1"/>
  <c r="T109" i="1" s="1"/>
  <c r="U109" i="1" s="1"/>
  <c r="V109" i="1" s="1"/>
  <c r="W109" i="1" s="1"/>
  <c r="X109" i="1" s="1"/>
  <c r="Y109" i="1" s="1"/>
  <c r="Z109" i="1" s="1"/>
  <c r="AA109" i="1" s="1"/>
  <c r="AB109" i="1" s="1"/>
  <c r="AC109" i="1" s="1"/>
  <c r="AD109" i="1" s="1"/>
  <c r="AE109" i="1" s="1"/>
  <c r="AF109" i="1" s="1"/>
  <c r="AG109" i="1" s="1"/>
  <c r="AH109" i="1" s="1"/>
  <c r="AI109" i="1" s="1"/>
  <c r="AJ109" i="1" s="1"/>
  <c r="AK109" i="1" s="1"/>
  <c r="AL109" i="1" s="1"/>
  <c r="AM109" i="1" s="1"/>
  <c r="AN109" i="1" s="1"/>
  <c r="AO109" i="1" s="1"/>
  <c r="M65" i="1"/>
  <c r="N65" i="1" s="1"/>
  <c r="O65" i="1" s="1"/>
  <c r="P65" i="1" s="1"/>
  <c r="Q65" i="1" s="1"/>
  <c r="R65" i="1" s="1"/>
  <c r="S65" i="1" s="1"/>
  <c r="T65" i="1" s="1"/>
  <c r="U65" i="1" s="1"/>
  <c r="V65" i="1" s="1"/>
  <c r="W65" i="1" s="1"/>
  <c r="X65" i="1" s="1"/>
  <c r="Y65" i="1" s="1"/>
  <c r="Z65" i="1" s="1"/>
  <c r="AA65" i="1" s="1"/>
  <c r="AB65" i="1" s="1"/>
  <c r="AC65" i="1" s="1"/>
  <c r="AD65" i="1" s="1"/>
  <c r="AE65" i="1" s="1"/>
  <c r="AF65" i="1" s="1"/>
  <c r="AG65" i="1" s="1"/>
  <c r="AH65" i="1" s="1"/>
  <c r="AI65" i="1" s="1"/>
  <c r="AJ65" i="1" s="1"/>
  <c r="AK65" i="1" s="1"/>
  <c r="AL65" i="1" s="1"/>
  <c r="AM65" i="1" s="1"/>
  <c r="AN65" i="1" s="1"/>
  <c r="AO65" i="1" s="1"/>
  <c r="AO119" i="1" l="1"/>
  <c r="B128" i="1"/>
  <c r="J69" i="1" s="1"/>
  <c r="AB119" i="1"/>
  <c r="AN119" i="1"/>
  <c r="AA119" i="1" l="1"/>
  <c r="Z119" i="1"/>
  <c r="Y119" i="1"/>
  <c r="X119" i="1"/>
  <c r="R119" i="1"/>
  <c r="AM119" i="1"/>
  <c r="Q119" i="1"/>
  <c r="AL119" i="1"/>
  <c r="P119" i="1"/>
  <c r="AK119" i="1"/>
  <c r="O119" i="1"/>
  <c r="AI119" i="1"/>
  <c r="N119" i="1"/>
  <c r="AD119" i="1"/>
  <c r="M119" i="1"/>
  <c r="AC119" i="1"/>
  <c r="L119" i="1"/>
  <c r="AJ119" i="1"/>
  <c r="W119" i="1"/>
  <c r="AH119" i="1"/>
  <c r="V119" i="1"/>
  <c r="AG119" i="1"/>
  <c r="U119" i="1"/>
  <c r="AF119" i="1"/>
  <c r="T119" i="1"/>
  <c r="AE119" i="1"/>
  <c r="S119" i="1"/>
  <c r="K119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G107" i="1" l="1"/>
  <c r="G63" i="1"/>
  <c r="I107" i="1"/>
  <c r="I63" i="1"/>
  <c r="G117" i="1" l="1"/>
  <c r="G123" i="1" s="1"/>
  <c r="H120" i="1" l="1"/>
  <c r="H123" i="1" s="1"/>
  <c r="M3" i="1"/>
  <c r="K120" i="1"/>
  <c r="M56" i="1" l="1"/>
  <c r="M86" i="1"/>
  <c r="J121" i="1"/>
  <c r="N3" i="1"/>
  <c r="N86" i="1" s="1"/>
  <c r="K63" i="1"/>
  <c r="K69" i="1" s="1"/>
  <c r="J113" i="1" l="1"/>
  <c r="J123" i="1" s="1"/>
  <c r="O3" i="1"/>
  <c r="N107" i="1"/>
  <c r="L107" i="1"/>
  <c r="K107" i="1"/>
  <c r="O102" i="1" l="1"/>
  <c r="O51" i="1"/>
  <c r="O86" i="1"/>
  <c r="O26" i="1"/>
  <c r="P3" i="1"/>
  <c r="M107" i="1"/>
  <c r="AK63" i="1"/>
  <c r="N63" i="1"/>
  <c r="M63" i="1"/>
  <c r="P99" i="1" l="1"/>
  <c r="P7" i="1"/>
  <c r="P37" i="1"/>
  <c r="P88" i="1"/>
  <c r="P45" i="1"/>
  <c r="P41" i="1"/>
  <c r="P43" i="1"/>
  <c r="P40" i="1"/>
  <c r="P86" i="1"/>
  <c r="P6" i="1"/>
  <c r="P34" i="1"/>
  <c r="O107" i="1"/>
  <c r="Q3" i="1"/>
  <c r="N117" i="1"/>
  <c r="Q92" i="1" l="1"/>
  <c r="Q86" i="1"/>
  <c r="P107" i="1"/>
  <c r="P63" i="1"/>
  <c r="R3" i="1"/>
  <c r="R56" i="1" l="1"/>
  <c r="R29" i="1"/>
  <c r="R22" i="1"/>
  <c r="R86" i="1"/>
  <c r="Q107" i="1"/>
  <c r="P117" i="1"/>
  <c r="S3" i="1"/>
  <c r="S77" i="1" s="1"/>
  <c r="R107" i="1"/>
  <c r="I117" i="1"/>
  <c r="I123" i="1" s="1"/>
  <c r="K113" i="1" s="1"/>
  <c r="K123" i="1" s="1"/>
  <c r="S15" i="1" l="1"/>
  <c r="S47" i="1"/>
  <c r="S95" i="1"/>
  <c r="S57" i="1"/>
  <c r="S86" i="1"/>
  <c r="S16" i="1"/>
  <c r="R63" i="1"/>
  <c r="R117" i="1" s="1"/>
  <c r="T3" i="1"/>
  <c r="T86" i="1" l="1"/>
  <c r="T25" i="1"/>
  <c r="T7" i="1"/>
  <c r="T55" i="1"/>
  <c r="T6" i="1"/>
  <c r="S107" i="1"/>
  <c r="S63" i="1"/>
  <c r="U3" i="1"/>
  <c r="L63" i="1"/>
  <c r="U86" i="1" l="1"/>
  <c r="U83" i="1"/>
  <c r="U98" i="1"/>
  <c r="U88" i="1"/>
  <c r="U14" i="1"/>
  <c r="U87" i="1"/>
  <c r="U24" i="1"/>
  <c r="U42" i="1"/>
  <c r="U28" i="1"/>
  <c r="U10" i="1"/>
  <c r="U54" i="1"/>
  <c r="U53" i="1"/>
  <c r="U35" i="1"/>
  <c r="U20" i="1"/>
  <c r="L67" i="1"/>
  <c r="L69" i="1" s="1"/>
  <c r="S117" i="1"/>
  <c r="L111" i="1"/>
  <c r="T63" i="1"/>
  <c r="T107" i="1"/>
  <c r="V3" i="1"/>
  <c r="L117" i="1"/>
  <c r="AH63" i="1"/>
  <c r="V86" i="1" l="1"/>
  <c r="V107" i="1" s="1"/>
  <c r="V23" i="1"/>
  <c r="V63" i="1" s="1"/>
  <c r="L121" i="1"/>
  <c r="L113" i="1"/>
  <c r="M111" i="1" s="1"/>
  <c r="T117" i="1"/>
  <c r="U107" i="1"/>
  <c r="U63" i="1"/>
  <c r="W3" i="1"/>
  <c r="O63" i="1"/>
  <c r="O117" i="1" s="1"/>
  <c r="V117" i="1" l="1"/>
  <c r="W51" i="1"/>
  <c r="W86" i="1"/>
  <c r="W56" i="1"/>
  <c r="M67" i="1"/>
  <c r="M69" i="1" s="1"/>
  <c r="L123" i="1"/>
  <c r="M113" i="1"/>
  <c r="N111" i="1" s="1"/>
  <c r="U117" i="1"/>
  <c r="X3" i="1"/>
  <c r="W107" i="1"/>
  <c r="Q63" i="1"/>
  <c r="Q117" i="1" s="1"/>
  <c r="K117" i="1"/>
  <c r="M117" i="1"/>
  <c r="X7" i="1" l="1"/>
  <c r="X86" i="1"/>
  <c r="X44" i="1"/>
  <c r="X6" i="1"/>
  <c r="M121" i="1"/>
  <c r="N67" i="1"/>
  <c r="N69" i="1" s="1"/>
  <c r="M123" i="1"/>
  <c r="N113" i="1"/>
  <c r="O111" i="1" s="1"/>
  <c r="W63" i="1"/>
  <c r="W117" i="1" s="1"/>
  <c r="Y3" i="1"/>
  <c r="X107" i="1"/>
  <c r="Y81" i="1" l="1"/>
  <c r="Y86" i="1"/>
  <c r="Y26" i="1"/>
  <c r="Y63" i="1" s="1"/>
  <c r="N121" i="1"/>
  <c r="N123" i="1"/>
  <c r="O67" i="1"/>
  <c r="O69" i="1" s="1"/>
  <c r="O113" i="1"/>
  <c r="P111" i="1" s="1"/>
  <c r="X63" i="1"/>
  <c r="Z3" i="1"/>
  <c r="Z39" i="1" l="1"/>
  <c r="Z41" i="1"/>
  <c r="Z88" i="1"/>
  <c r="Z46" i="1"/>
  <c r="Z37" i="1"/>
  <c r="Z86" i="1"/>
  <c r="Z107" i="1"/>
  <c r="Z27" i="1"/>
  <c r="Z34" i="1"/>
  <c r="O121" i="1"/>
  <c r="O123" i="1"/>
  <c r="P67" i="1"/>
  <c r="P69" i="1" s="1"/>
  <c r="P113" i="1"/>
  <c r="Q111" i="1" s="1"/>
  <c r="X117" i="1"/>
  <c r="Y107" i="1"/>
  <c r="Y117" i="1" s="1"/>
  <c r="AA3" i="1"/>
  <c r="AA77" i="1" s="1"/>
  <c r="AA15" i="1" l="1"/>
  <c r="AB6" i="1"/>
  <c r="AA95" i="1"/>
  <c r="AA86" i="1"/>
  <c r="P121" i="1"/>
  <c r="P123" i="1"/>
  <c r="Q67" i="1"/>
  <c r="Q69" i="1" s="1"/>
  <c r="Q113" i="1"/>
  <c r="R111" i="1" s="1"/>
  <c r="Z63" i="1"/>
  <c r="Z117" i="1" s="1"/>
  <c r="AB3" i="1"/>
  <c r="AB7" i="1" l="1"/>
  <c r="AB29" i="1"/>
  <c r="AB55" i="1"/>
  <c r="AB22" i="1"/>
  <c r="AB56" i="1"/>
  <c r="AB86" i="1"/>
  <c r="AB107" i="1" s="1"/>
  <c r="Q121" i="1"/>
  <c r="Q123" i="1"/>
  <c r="R67" i="1"/>
  <c r="R69" i="1" s="1"/>
  <c r="AA63" i="1"/>
  <c r="AA107" i="1"/>
  <c r="R113" i="1"/>
  <c r="S111" i="1" s="1"/>
  <c r="AC3" i="1"/>
  <c r="AC57" i="1" l="1"/>
  <c r="AC82" i="1"/>
  <c r="AC86" i="1"/>
  <c r="R123" i="1"/>
  <c r="S67" i="1"/>
  <c r="S69" i="1" s="1"/>
  <c r="R121" i="1"/>
  <c r="AA117" i="1"/>
  <c r="S113" i="1"/>
  <c r="T111" i="1" s="1"/>
  <c r="AB63" i="1"/>
  <c r="AB117" i="1" s="1"/>
  <c r="AD3" i="1"/>
  <c r="AC63" i="1"/>
  <c r="AD25" i="1" l="1"/>
  <c r="AD86" i="1"/>
  <c r="S121" i="1"/>
  <c r="S123" i="1"/>
  <c r="T67" i="1"/>
  <c r="T69" i="1" s="1"/>
  <c r="T113" i="1"/>
  <c r="AC107" i="1"/>
  <c r="AC117" i="1" s="1"/>
  <c r="AE3" i="1"/>
  <c r="AE88" i="1" l="1"/>
  <c r="AE30" i="1"/>
  <c r="AE103" i="1"/>
  <c r="AE87" i="1"/>
  <c r="AE10" i="1"/>
  <c r="AE24" i="1"/>
  <c r="AE43" i="1"/>
  <c r="AE86" i="1"/>
  <c r="AE8" i="1"/>
  <c r="AE40" i="1"/>
  <c r="AE51" i="1"/>
  <c r="AE91" i="1"/>
  <c r="AE35" i="1"/>
  <c r="AE74" i="1"/>
  <c r="AE78" i="1"/>
  <c r="T123" i="1"/>
  <c r="U67" i="1"/>
  <c r="U69" i="1" s="1"/>
  <c r="T121" i="1"/>
  <c r="AD63" i="1"/>
  <c r="U111" i="1"/>
  <c r="AD107" i="1"/>
  <c r="AF3" i="1"/>
  <c r="AF86" i="1" l="1"/>
  <c r="AF107" i="1" s="1"/>
  <c r="AF23" i="1"/>
  <c r="AF6" i="1"/>
  <c r="AF7" i="1"/>
  <c r="U121" i="1"/>
  <c r="V67" i="1"/>
  <c r="V69" i="1" s="1"/>
  <c r="AE107" i="1"/>
  <c r="U113" i="1"/>
  <c r="V111" i="1" s="1"/>
  <c r="AE63" i="1"/>
  <c r="AD117" i="1"/>
  <c r="AG3" i="1"/>
  <c r="AF63" i="1" l="1"/>
  <c r="AG86" i="1"/>
  <c r="AG107" i="1" s="1"/>
  <c r="AG54" i="1"/>
  <c r="AG36" i="1"/>
  <c r="AG56" i="1"/>
  <c r="V121" i="1"/>
  <c r="U123" i="1"/>
  <c r="W67" i="1"/>
  <c r="W69" i="1" s="1"/>
  <c r="AE117" i="1"/>
  <c r="AF117" i="1"/>
  <c r="V113" i="1"/>
  <c r="V123" i="1" s="1"/>
  <c r="AH3" i="1"/>
  <c r="AH86" i="1" l="1"/>
  <c r="AH107" i="1" s="1"/>
  <c r="AH117" i="1" s="1"/>
  <c r="X67" i="1"/>
  <c r="X69" i="1" s="1"/>
  <c r="W111" i="1"/>
  <c r="W121" i="1" s="1"/>
  <c r="AG63" i="1"/>
  <c r="AG117" i="1" s="1"/>
  <c r="AI3" i="1"/>
  <c r="AI77" i="1" s="1"/>
  <c r="AI86" i="1" l="1"/>
  <c r="AI95" i="1"/>
  <c r="AI26" i="1"/>
  <c r="AI15" i="1"/>
  <c r="Y67" i="1"/>
  <c r="Y69" i="1" s="1"/>
  <c r="W113" i="1"/>
  <c r="W123" i="1" s="1"/>
  <c r="AJ3" i="1"/>
  <c r="AJ38" i="1" l="1"/>
  <c r="AJ55" i="1"/>
  <c r="AJ37" i="1"/>
  <c r="AJ86" i="1"/>
  <c r="AJ45" i="1"/>
  <c r="AJ28" i="1"/>
  <c r="AJ6" i="1"/>
  <c r="AJ42" i="1"/>
  <c r="AJ88" i="1"/>
  <c r="AJ107" i="1" s="1"/>
  <c r="AJ7" i="1"/>
  <c r="AJ21" i="1"/>
  <c r="AJ20" i="1"/>
  <c r="AJ34" i="1"/>
  <c r="AJ41" i="1"/>
  <c r="Z67" i="1"/>
  <c r="Z69" i="1" s="1"/>
  <c r="X111" i="1"/>
  <c r="X121" i="1" s="1"/>
  <c r="AI63" i="1"/>
  <c r="AI107" i="1"/>
  <c r="AK3" i="1"/>
  <c r="AK86" i="1" s="1"/>
  <c r="AA67" i="1" l="1"/>
  <c r="AA69" i="1" s="1"/>
  <c r="X113" i="1"/>
  <c r="X123" i="1" s="1"/>
  <c r="AJ63" i="1"/>
  <c r="AJ117" i="1" s="1"/>
  <c r="AI117" i="1"/>
  <c r="AL3" i="1"/>
  <c r="AK107" i="1"/>
  <c r="AK117" i="1" s="1"/>
  <c r="AL29" i="1" l="1"/>
  <c r="AL22" i="1"/>
  <c r="AL86" i="1"/>
  <c r="AL56" i="1"/>
  <c r="AB67" i="1"/>
  <c r="AB69" i="1" s="1"/>
  <c r="Y111" i="1"/>
  <c r="Y121" i="1" s="1"/>
  <c r="AM3" i="1"/>
  <c r="AL107" i="1"/>
  <c r="AM47" i="1" l="1"/>
  <c r="AM57" i="1"/>
  <c r="AM86" i="1"/>
  <c r="AM52" i="1"/>
  <c r="AM51" i="1"/>
  <c r="AC67" i="1"/>
  <c r="AC69" i="1" s="1"/>
  <c r="Y113" i="1"/>
  <c r="AL63" i="1"/>
  <c r="AL117" i="1" s="1"/>
  <c r="AN3" i="1"/>
  <c r="AM107" i="1"/>
  <c r="AN6" i="1" l="1"/>
  <c r="AN7" i="1"/>
  <c r="AN86" i="1"/>
  <c r="AN25" i="1"/>
  <c r="Z111" i="1"/>
  <c r="Z121" i="1" s="1"/>
  <c r="Y123" i="1"/>
  <c r="AD67" i="1"/>
  <c r="AD69" i="1" s="1"/>
  <c r="AO3" i="1"/>
  <c r="AM63" i="1"/>
  <c r="AM117" i="1" s="1"/>
  <c r="AO83" i="1" l="1"/>
  <c r="AO14" i="1"/>
  <c r="AO10" i="1"/>
  <c r="AO27" i="1"/>
  <c r="AO9" i="1"/>
  <c r="AO88" i="1"/>
  <c r="AO87" i="1"/>
  <c r="AO35" i="1"/>
  <c r="AO53" i="1"/>
  <c r="AO24" i="1"/>
  <c r="AO86" i="1"/>
  <c r="Z113" i="1"/>
  <c r="AA111" i="1" s="1"/>
  <c r="AA121" i="1" s="1"/>
  <c r="AE67" i="1"/>
  <c r="AE69" i="1" s="1"/>
  <c r="AN107" i="1"/>
  <c r="AN63" i="1"/>
  <c r="AN117" i="1" l="1"/>
  <c r="AA113" i="1"/>
  <c r="AA123" i="1" s="1"/>
  <c r="Z123" i="1"/>
  <c r="AO63" i="1"/>
  <c r="AF67" i="1"/>
  <c r="AF69" i="1" s="1"/>
  <c r="AO107" i="1"/>
  <c r="AO117" i="1" l="1"/>
  <c r="AB111" i="1"/>
  <c r="AB121" i="1" s="1"/>
  <c r="AG67" i="1"/>
  <c r="AG69" i="1" s="1"/>
  <c r="AB113" i="1" l="1"/>
  <c r="AB123" i="1" s="1"/>
  <c r="AH67" i="1"/>
  <c r="AH69" i="1" s="1"/>
  <c r="AC111" i="1" l="1"/>
  <c r="AC121" i="1" s="1"/>
  <c r="AI67" i="1"/>
  <c r="AI69" i="1" s="1"/>
  <c r="AC113" i="1" l="1"/>
  <c r="AD111" i="1" s="1"/>
  <c r="AJ67" i="1"/>
  <c r="AJ69" i="1" s="1"/>
  <c r="AD121" i="1" l="1"/>
  <c r="AD113" i="1"/>
  <c r="AE111" i="1" s="1"/>
  <c r="AC123" i="1"/>
  <c r="AK67" i="1"/>
  <c r="AK69" i="1" s="1"/>
  <c r="AD123" i="1" l="1"/>
  <c r="AE121" i="1"/>
  <c r="AE113" i="1"/>
  <c r="AF111" i="1" s="1"/>
  <c r="AF121" i="1" s="1"/>
  <c r="AL67" i="1"/>
  <c r="AL69" i="1" s="1"/>
  <c r="AE123" i="1" l="1"/>
  <c r="AF113" i="1"/>
  <c r="AF123" i="1" s="1"/>
  <c r="AM67" i="1"/>
  <c r="AM69" i="1" s="1"/>
  <c r="AG111" i="1" l="1"/>
  <c r="AG121" i="1" s="1"/>
  <c r="AN67" i="1"/>
  <c r="AN69" i="1" s="1"/>
  <c r="AG113" i="1" l="1"/>
  <c r="AG123" i="1" s="1"/>
  <c r="AO67" i="1"/>
  <c r="AO69" i="1" s="1"/>
  <c r="AH111" i="1" l="1"/>
  <c r="AH121" i="1" s="1"/>
  <c r="AH113" i="1" l="1"/>
  <c r="AI111" i="1" s="1"/>
  <c r="AI121" i="1" s="1"/>
  <c r="AI113" i="1" l="1"/>
  <c r="AI123" i="1" s="1"/>
  <c r="AH123" i="1"/>
  <c r="AJ111" i="1" l="1"/>
  <c r="AJ121" i="1" s="1"/>
  <c r="AJ113" i="1" l="1"/>
  <c r="AK111" i="1" s="1"/>
  <c r="AK121" i="1" s="1"/>
  <c r="AK113" i="1" l="1"/>
  <c r="AK123" i="1" s="1"/>
  <c r="AJ123" i="1"/>
  <c r="AL111" i="1" l="1"/>
  <c r="AL121" i="1" s="1"/>
  <c r="AL113" i="1" l="1"/>
  <c r="AM111" i="1" s="1"/>
  <c r="AM121" i="1" s="1"/>
  <c r="AM113" i="1" l="1"/>
  <c r="AM123" i="1" s="1"/>
  <c r="AL123" i="1"/>
  <c r="AN111" i="1" l="1"/>
  <c r="AN121" i="1" s="1"/>
  <c r="AN113" i="1" l="1"/>
  <c r="AN123" i="1" s="1"/>
  <c r="AO111" i="1" l="1"/>
  <c r="AO121" i="1" s="1"/>
  <c r="AO113" i="1" l="1"/>
  <c r="AO1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Manager</author>
    <author>William Mahony</author>
    <author>tc={8A18CF1F-C5AF-4800-844C-BD985661BD66}</author>
    <author>tc={A32FAF1E-E4B9-4016-A2D6-A4CD58BA0BB6}</author>
    <author>tc={9DA94318-AEEE-41CE-8761-EC93EA6AF917}</author>
    <author>tc={B937FC7A-C186-4602-9A1D-22779AB80ED3}</author>
  </authors>
  <commentList>
    <comment ref="K8" authorId="0" shapeId="0" xr:uid="{C945C4F0-8CDE-458B-B8F4-69DD1B79794C}">
      <text>
        <r>
          <rPr>
            <b/>
            <sz val="9"/>
            <color indexed="81"/>
            <rFont val="Tahoma"/>
            <family val="2"/>
          </rPr>
          <t>Manager:</t>
        </r>
        <r>
          <rPr>
            <sz val="9"/>
            <color indexed="81"/>
            <rFont val="Tahoma"/>
            <family val="2"/>
          </rPr>
          <t xml:space="preserve">
$140K bid + $60K extra conc + $20K cont + $15K eng + $10K attorney</t>
        </r>
      </text>
    </comment>
    <comment ref="F9" authorId="1" shapeId="0" xr:uid="{11FC058A-7D4D-4893-A549-5DAA86330B41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$720K for installation + $15K for demo</t>
        </r>
      </text>
    </comment>
    <comment ref="H9" authorId="2" shapeId="0" xr:uid="{8A18CF1F-C5AF-4800-844C-BD985661BD66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Garage Lighting</t>
      </text>
    </comment>
    <comment ref="K9" authorId="1" shapeId="0" xr:uid="{3B015398-6355-46D4-B2B4-7600D45A1B12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$718885 + $11,550 demo + 143777 cont + $52453 PM + $10928 attorney - amount paid in 2024 - $70000 carport - $30000 carport PM</t>
        </r>
      </text>
    </comment>
    <comment ref="K10" authorId="1" shapeId="0" xr:uid="{53BBC674-96CB-4EC4-A832-6D1C1166E10D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$28.6K Proposal</t>
        </r>
      </text>
    </comment>
    <comment ref="F15" authorId="1" shapeId="0" xr:uid="{1F59F9DA-4232-46F7-992C-1FB5FD1BDC47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$40K contract + $3K repair drains</t>
        </r>
      </text>
    </comment>
    <comment ref="K15" authorId="1" shapeId="0" xr:uid="{3CDC4F23-4CB9-4DF8-8D27-2FA24BBB7D0D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$40K contract + $3K change order</t>
        </r>
      </text>
    </comment>
    <comment ref="F21" authorId="1" shapeId="0" xr:uid="{DA1A0B52-2219-443D-9B5B-EE8C70F26AA2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$646K contract + $47K interior cab +7K legal and fire</t>
        </r>
      </text>
    </comment>
    <comment ref="K21" authorId="0" shapeId="0" xr:uid="{4FEEBD4A-0469-4131-988B-832854B21531}">
      <text>
        <r>
          <rPr>
            <b/>
            <sz val="9"/>
            <color indexed="81"/>
            <rFont val="Tahoma"/>
            <family val="2"/>
          </rPr>
          <t>Manager:</t>
        </r>
        <r>
          <rPr>
            <sz val="9"/>
            <color indexed="81"/>
            <rFont val="Tahoma"/>
            <family val="2"/>
          </rPr>
          <t xml:space="preserve">
780000 elev + $46800 PM - amount paid in 2024 - 50000 elevator balance</t>
        </r>
      </text>
    </comment>
    <comment ref="F27" authorId="1" shapeId="0" xr:uid="{024D7097-97CC-4E81-AB22-A6BAE6B46CDE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$102.5K per contract</t>
        </r>
      </text>
    </comment>
    <comment ref="K30" authorId="1" shapeId="0" xr:uid="{34A35E4B-3395-4D94-BD45-7814BB19A834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$17.1K + $5.3K Proposals</t>
        </r>
      </text>
    </comment>
    <comment ref="K35" authorId="1" shapeId="0" xr:uid="{CDF09075-BDEF-4E35-A504-EF12CF7C8BA5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$15525 bid from Sustinere</t>
        </r>
      </text>
    </comment>
    <comment ref="K43" authorId="1" shapeId="0" xr:uid="{225EDF74-5886-4B02-BCA1-E8A8F94D16A2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2025 budgeted amount</t>
        </r>
      </text>
    </comment>
    <comment ref="K51" authorId="1" shapeId="0" xr:uid="{B7EFF7D3-FE42-4B1B-91B5-5994435F7EBF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Actuals spent YTD</t>
        </r>
      </text>
    </comment>
    <comment ref="K66" authorId="1" shapeId="0" xr:uid="{4D341855-DD4A-4A7E-AA64-95E72948F56A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$137.5K HVAC Roof, Stair Handrail, Hallway Furnish + $619562 Carport + $52453 PM Carport + $10928 Attorney Carport + $171000 Paving/Drain + 13000 Upper Deck Water + 30000 Landscape + $25000 Irrigation + 15000 Engineering Pav/Drai + $10000 Attorney Pav/Drain - $70000 reduced assess Carport - $30000 reduced assess PM Carport - $50000 reduced assess Elevator - $100000 Ian Claim Reimbursement</t>
        </r>
      </text>
    </comment>
    <comment ref="K68" authorId="1" shapeId="0" xr:uid="{278E9D8C-BC91-4426-963E-4B02F3FC872A}">
      <text>
        <r>
          <rPr>
            <b/>
            <sz val="9"/>
            <color indexed="81"/>
            <rFont val="Tahoma"/>
            <charset val="1"/>
          </rPr>
          <t>William Mahony:</t>
        </r>
        <r>
          <rPr>
            <sz val="9"/>
            <color indexed="81"/>
            <rFont val="Tahoma"/>
            <charset val="1"/>
          </rPr>
          <t xml:space="preserve">
Remainder of insurance claim for carport
</t>
        </r>
      </text>
    </comment>
    <comment ref="K69" authorId="1" shapeId="0" xr:uid="{A3812A6E-D03D-4AE2-AB87-BF13F0169A16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$849461 is needed from the 2024 Year End Reserve Balance to net to zero</t>
        </r>
      </text>
    </comment>
    <comment ref="F74" authorId="1" shapeId="0" xr:uid="{025CC440-C209-4902-956F-DC13E293BBAB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$366 Roof Replac + 25K eng + 5K attorney</t>
        </r>
      </text>
    </comment>
    <comment ref="K74" authorId="1" shapeId="0" xr:uid="{B728CFCF-B46B-4B19-B44A-EEA08A4D6FC3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$396K assess #4 + $400K assess #1 - 2004 expense</t>
        </r>
      </text>
    </comment>
    <comment ref="F77" authorId="1" shapeId="0" xr:uid="{50207083-32F2-4F73-8935-E6E6E70B3762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Revised estimate for concrete repairs</t>
        </r>
      </text>
    </comment>
    <comment ref="K77" authorId="1" shapeId="0" xr:uid="{06DB9160-E20C-4FED-A745-654ADAEFFE86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$140K conc repair + $140K A/C cond + $33K utility balcony</t>
        </r>
      </text>
    </comment>
    <comment ref="F78" authorId="1" shapeId="0" xr:uid="{637FD642-F31D-4272-8DFD-E15F7E9152C2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$325K contract + $35K contingeny for removal, etc.</t>
        </r>
      </text>
    </comment>
    <comment ref="K78" authorId="1" shapeId="0" xr:uid="{5E8F3681-3EDC-45D9-A465-475339D52EE2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$325K contract + $35K contingency + 73K demo</t>
        </r>
      </text>
    </comment>
    <comment ref="K86" authorId="1" shapeId="0" xr:uid="{7A012B80-3B09-43E8-AA53-2486F044EF04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Spend as of 8/25/25</t>
        </r>
      </text>
    </comment>
    <comment ref="F91" authorId="1" shapeId="0" xr:uid="{BAFDE484-B822-4282-A6FB-DE711C10C3C4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$130K based upon cost of unit and installation</t>
        </r>
      </text>
    </comment>
    <comment ref="F95" authorId="1" shapeId="0" xr:uid="{1FA98EC9-D619-44B8-A176-AF67088FA517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$166K to replace all caulk</t>
        </r>
      </text>
    </comment>
    <comment ref="K110" authorId="1" shapeId="0" xr:uid="{B52FF18B-A9A9-41EE-B0C9-3DF236322A4E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$130000 Generator + $140000 Conc Spalling + $333000 Deco Block + 140000 AC Cond Relo + $33000 Util Balcony + $31000 Build Paint/Water + 396000 Roof, Eng, Attorney</t>
        </r>
      </text>
    </comment>
    <comment ref="K113" authorId="1" shapeId="0" xr:uid="{CAFACEE6-2670-4678-994C-E4A054E8EF54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Balance of $1340494 less funds needed to achieve zero balance in Non-SIRS </t>
        </r>
      </text>
    </comment>
    <comment ref="G122" authorId="1" shapeId="0" xr:uid="{A7D4607D-478B-4FBF-BE8D-8A8B42BE196A}">
      <text>
        <r>
          <rPr>
            <b/>
            <sz val="9"/>
            <color indexed="81"/>
            <rFont val="Tahoma"/>
            <charset val="1"/>
          </rPr>
          <t>William Mahony:</t>
        </r>
        <r>
          <rPr>
            <sz val="9"/>
            <color indexed="81"/>
            <rFont val="Tahoma"/>
            <charset val="1"/>
          </rPr>
          <t xml:space="preserve">
Insurance claim deposit. Adjustment to tie to 2023 Audited Financials
 </t>
        </r>
      </text>
    </comment>
    <comment ref="I122" authorId="1" shapeId="0" xr:uid="{B6CC4AED-95A6-420C-9B9A-5AE970B26CD5}">
      <text>
        <r>
          <rPr>
            <b/>
            <sz val="9"/>
            <color indexed="81"/>
            <rFont val="Tahoma"/>
            <family val="2"/>
          </rPr>
          <t>William Mahony:</t>
        </r>
        <r>
          <rPr>
            <sz val="9"/>
            <color indexed="81"/>
            <rFont val="Tahoma"/>
            <family val="2"/>
          </rPr>
          <t xml:space="preserve">
Adjustment totie to 2024 Audited financials</t>
        </r>
      </text>
    </comment>
    <comment ref="B126" authorId="3" shapeId="0" xr:uid="{A32FAF1E-E4B9-4016-A2D6-A4CD58BA0BB6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inflation rate here and component costs will recalculate</t>
      </text>
    </comment>
    <comment ref="B127" authorId="4" shapeId="0" xr:uid="{9DA94318-AEEE-41CE-8761-EC93EA6AF917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interest rate here and annual interest will be automatically calculated</t>
      </text>
    </comment>
    <comment ref="B128" authorId="5" shapeId="0" xr:uid="{B937FC7A-C186-4602-9A1D-22779AB80ED3}">
      <text>
        <t>[Threaded comment]
Your version of Excel allows you to read this threaded comment; however, any edits to it will get removed if the file is opened in a newer version of Excel. Learn more: https://go.microsoft.com/fwlink/?linkid=870924
Comment:
    Do not change this rate as it is calculated from Interest Rate</t>
      </text>
    </comment>
  </commentList>
</comments>
</file>

<file path=xl/sharedStrings.xml><?xml version="1.0" encoding="utf-8"?>
<sst xmlns="http://schemas.openxmlformats.org/spreadsheetml/2006/main" count="211" uniqueCount="108">
  <si>
    <t>Plumbing</t>
  </si>
  <si>
    <t>TOTALS EXPENSES:</t>
  </si>
  <si>
    <t>Roof</t>
  </si>
  <si>
    <t>Reserve Item</t>
  </si>
  <si>
    <t>Service Date</t>
  </si>
  <si>
    <t>Replace Date</t>
  </si>
  <si>
    <t xml:space="preserve"> </t>
  </si>
  <si>
    <t>Comments</t>
  </si>
  <si>
    <t>Building Exteriors</t>
  </si>
  <si>
    <t>Projected Year End Reserve Balance (1)</t>
  </si>
  <si>
    <t>Notes:</t>
  </si>
  <si>
    <t>New Item</t>
  </si>
  <si>
    <t>Electrical Systems - Repair/Replace</t>
  </si>
  <si>
    <t>Utility Doors - Partial Replace</t>
  </si>
  <si>
    <t>Lightning Rod System - Replace</t>
  </si>
  <si>
    <t>SIRS</t>
  </si>
  <si>
    <t>Interior Surfaces - Repaint</t>
  </si>
  <si>
    <t>Suspended Ceilings - Replace</t>
  </si>
  <si>
    <t>Mailboxes - Replace</t>
  </si>
  <si>
    <t>Fitness Room - Remodel</t>
  </si>
  <si>
    <t>Rental Unit #104 - Remodel Allowance</t>
  </si>
  <si>
    <t>OVERALL RESERVES</t>
  </si>
  <si>
    <t>Site and Grounds</t>
  </si>
  <si>
    <t>Driveway Concrete - Repair Allowance</t>
  </si>
  <si>
    <t>Mechanical/Electrical/Plumbing</t>
  </si>
  <si>
    <t>Common Interiors</t>
  </si>
  <si>
    <t>Exterior Amenities</t>
  </si>
  <si>
    <t>Asphalt - Resurface</t>
  </si>
  <si>
    <t>Garage Deck - Repair/Re-coat</t>
  </si>
  <si>
    <t>Intercom/Entry Systems - Replace</t>
  </si>
  <si>
    <t>Elevator - Modernize</t>
  </si>
  <si>
    <t>HVAC (Men's Bathroom w/Fitness) - Replace</t>
  </si>
  <si>
    <t>HVAC (Elevator) - Replace</t>
  </si>
  <si>
    <t>HVAC (Kitchen w/Bathroom) - Replace</t>
  </si>
  <si>
    <t>HVAC (Maintenance) - Replace</t>
  </si>
  <si>
    <t>HVAC (Rental Unit 104) - Replace</t>
  </si>
  <si>
    <t>Trash Chute - Partial Replace</t>
  </si>
  <si>
    <t>Survellance System - Replace</t>
  </si>
  <si>
    <t>Tile Flooring - Replace</t>
  </si>
  <si>
    <t>Useful Life (yrs)</t>
  </si>
  <si>
    <t>Carpeting - Replace</t>
  </si>
  <si>
    <t>Fitness Equipment (All) - Replace</t>
  </si>
  <si>
    <t>Bathrooms - Remodel</t>
  </si>
  <si>
    <t>Pool Deck Furniture - Replace</t>
  </si>
  <si>
    <t>Pool Deck (Pavers) - Resurface</t>
  </si>
  <si>
    <t>Pool Fence - Replace</t>
  </si>
  <si>
    <t>Swimming Pool - Resurface</t>
  </si>
  <si>
    <t>Pool Equipment - Repair/Replace</t>
  </si>
  <si>
    <t>Single Ply Roofing - Replace</t>
  </si>
  <si>
    <t>Structure</t>
  </si>
  <si>
    <t>Building Exterior - Restoration</t>
  </si>
  <si>
    <t>Fireproofing and Fire Protection Services</t>
  </si>
  <si>
    <t>Fire Sprinkler Pump/Controls - Replace</t>
  </si>
  <si>
    <t>Plumbing System - Annual Repairs</t>
  </si>
  <si>
    <t>Plumbing System - Kitchen Pipe Cleaning</t>
  </si>
  <si>
    <t>Electrical Systems</t>
  </si>
  <si>
    <t>Gas Generator - Replace</t>
  </si>
  <si>
    <t>Waterproofing and Exterior Painting</t>
  </si>
  <si>
    <t>Building Exterior - Seal/Paint</t>
  </si>
  <si>
    <t>Exterior Windows and Doors</t>
  </si>
  <si>
    <t>Other SIRS - Related Items</t>
  </si>
  <si>
    <t>Domestic Water System - Replace</t>
  </si>
  <si>
    <t>Plumbing System - Sanitary Pipe Cleaning</t>
  </si>
  <si>
    <t>Asphalt - Seal/Repair</t>
  </si>
  <si>
    <t>Non-SIRS</t>
  </si>
  <si>
    <t>Hallway Furnishings - Replace</t>
  </si>
  <si>
    <t>Carports/Walkways Covers - Replace</t>
  </si>
  <si>
    <t>Exterior Lights - Replace</t>
  </si>
  <si>
    <t>Garage Deck - Resurface</t>
  </si>
  <si>
    <t>Furniture/Fixtures/Equip - Replace</t>
  </si>
  <si>
    <t>Kitchen - Remodel</t>
  </si>
  <si>
    <t>Office - Remodel</t>
  </si>
  <si>
    <t>Pool Heater (Electric) - Replace</t>
  </si>
  <si>
    <t>Pool Heater (Gas) - Replace</t>
  </si>
  <si>
    <t>Fire Alarm System - Modernize</t>
  </si>
  <si>
    <t>Common Windows &amp; Doors - Replace</t>
  </si>
  <si>
    <t>Balcony Railings - Replace</t>
  </si>
  <si>
    <t>Annual Reserve Funding</t>
  </si>
  <si>
    <t>Interest Earnings</t>
  </si>
  <si>
    <t>Recommended Special Assessments</t>
  </si>
  <si>
    <t>HVAC (Common) - Replace</t>
  </si>
  <si>
    <t>New item</t>
  </si>
  <si>
    <t>Annual</t>
  </si>
  <si>
    <t>NON-SIRS</t>
  </si>
  <si>
    <t>2022 Year End Reserve Balance (2)</t>
  </si>
  <si>
    <t>(3) 2023 Actuals drawn from RSA Balance Sheet as of 12/31/23</t>
  </si>
  <si>
    <t>Inflation Rate</t>
  </si>
  <si>
    <t>(2) 2022 Actuals drawn from RSA Balance Sheet as of 12/31/22</t>
  </si>
  <si>
    <t>Interest Rate</t>
  </si>
  <si>
    <t>Annualized Compounded Interest Rate</t>
  </si>
  <si>
    <t>Rem. Useful Life from 2026 (yrs)</t>
  </si>
  <si>
    <t>(4) 2024 Actuals drawn from RSA Monthly Financial Report as of 12/31/24</t>
  </si>
  <si>
    <t>Budget</t>
  </si>
  <si>
    <t>Stairwell Railings - Repaint</t>
  </si>
  <si>
    <t>(1) 2024 Budgeted Year End Reserve Balance of $68,406 is applied against SIRS.  Non-SIRS balance starts at $0.</t>
  </si>
  <si>
    <t>Projected</t>
  </si>
  <si>
    <t>Actual (3)</t>
  </si>
  <si>
    <t>Actual (4)</t>
  </si>
  <si>
    <t>Current Average Cost</t>
  </si>
  <si>
    <t>Irrigation Infrastructure - Repair/Replace</t>
  </si>
  <si>
    <t>Landscape - Refurbishment/Renovation</t>
  </si>
  <si>
    <t>Architectural Metal Screen - Replace</t>
  </si>
  <si>
    <t>Financial Adjustment (5)</t>
  </si>
  <si>
    <t>(5) Financial adjustment to tie to 12/31/24 financial statement reserve balance</t>
  </si>
  <si>
    <t>FUNDING BASED ON FULLY FUNDED MODEL</t>
  </si>
  <si>
    <t>a</t>
  </si>
  <si>
    <t>Financial Adjustment</t>
  </si>
  <si>
    <t>APPROVED RESERVE SCHEDULE BASED ON DRAFT ASSOC. RESERVES STUDY September 12,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</si>
</sst>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  <font>
      <u val="singleAccounting"/>
      <sz val="11"/>
      <name val="Arial"/>
      <family val="2"/>
    </font>
    <font>
      <sz val="11"/>
      <color rgb="FF006100"/>
      <name val="Calibri"/>
      <family val="2"/>
      <scheme val="minor"/>
    </font>
    <font>
      <b/>
      <u/>
      <sz val="24"/>
      <color theme="1"/>
      <name val="Arial"/>
      <family val="2"/>
    </font>
    <font>
      <sz val="11"/>
      <name val="Calibri"/>
      <family val="2"/>
      <scheme val="minor"/>
    </font>
    <font>
      <b/>
      <sz val="24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7" fillId="0" borderId="0" xfId="0" applyFont="1"/>
    <xf numFmtId="14" fontId="3" fillId="0" borderId="0" xfId="3" applyNumberFormat="1" applyFont="1" applyAlignment="1">
      <alignment horizontal="right"/>
    </xf>
    <xf numFmtId="165" fontId="3" fillId="0" borderId="0" xfId="1" applyNumberFormat="1" applyFont="1" applyFill="1"/>
    <xf numFmtId="165" fontId="7" fillId="0" borderId="0" xfId="1" applyNumberFormat="1" applyFont="1" applyFill="1"/>
    <xf numFmtId="0" fontId="3" fillId="0" borderId="0" xfId="3" applyFont="1"/>
    <xf numFmtId="165" fontId="3" fillId="0" borderId="0" xfId="3" applyNumberFormat="1" applyFont="1"/>
    <xf numFmtId="165" fontId="10" fillId="0" borderId="0" xfId="3" applyNumberFormat="1" applyFont="1"/>
    <xf numFmtId="43" fontId="3" fillId="0" borderId="0" xfId="1" applyFont="1" applyFill="1" applyAlignment="1">
      <alignment wrapText="1"/>
    </xf>
    <xf numFmtId="14" fontId="3" fillId="0" borderId="0" xfId="3" applyNumberFormat="1" applyFont="1"/>
    <xf numFmtId="165" fontId="5" fillId="0" borderId="0" xfId="1" applyNumberFormat="1" applyFont="1" applyFill="1" applyAlignment="1">
      <alignment horizontal="center" vertical="center"/>
    </xf>
    <xf numFmtId="165" fontId="5" fillId="0" borderId="1" xfId="3" applyNumberFormat="1" applyFont="1" applyBorder="1"/>
    <xf numFmtId="165" fontId="5" fillId="0" borderId="0" xfId="3" applyNumberFormat="1" applyFont="1"/>
    <xf numFmtId="165" fontId="5" fillId="0" borderId="2" xfId="3" applyNumberFormat="1" applyFont="1" applyBorder="1"/>
    <xf numFmtId="165" fontId="11" fillId="0" borderId="0" xfId="1" applyNumberFormat="1" applyFont="1" applyFill="1" applyBorder="1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43" fontId="3" fillId="0" borderId="0" xfId="1" applyFont="1" applyFill="1" applyBorder="1" applyAlignment="1">
      <alignment wrapText="1"/>
    </xf>
    <xf numFmtId="164" fontId="7" fillId="0" borderId="0" xfId="1" applyNumberFormat="1" applyFont="1" applyFill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1" applyNumberFormat="1" applyFont="1" applyFill="1"/>
    <xf numFmtId="43" fontId="7" fillId="0" borderId="0" xfId="1" applyFont="1" applyFill="1"/>
    <xf numFmtId="0" fontId="5" fillId="0" borderId="0" xfId="3" applyFont="1" applyAlignment="1">
      <alignment horizontal="center" vertical="center"/>
    </xf>
    <xf numFmtId="165" fontId="5" fillId="0" borderId="0" xfId="3" applyNumberFormat="1" applyFont="1" applyAlignment="1">
      <alignment horizontal="center" vertical="center"/>
    </xf>
    <xf numFmtId="0" fontId="6" fillId="0" borderId="0" xfId="3" applyFont="1"/>
    <xf numFmtId="165" fontId="8" fillId="0" borderId="0" xfId="1" applyNumberFormat="1" applyFont="1" applyFill="1" applyBorder="1"/>
    <xf numFmtId="165" fontId="7" fillId="0" borderId="0" xfId="1" applyNumberFormat="1" applyFont="1" applyFill="1" applyBorder="1"/>
    <xf numFmtId="43" fontId="7" fillId="0" borderId="0" xfId="1" applyFont="1" applyFill="1" applyBorder="1"/>
    <xf numFmtId="165" fontId="8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9" fillId="0" borderId="0" xfId="1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165" fontId="8" fillId="0" borderId="0" xfId="1" applyNumberFormat="1" applyFont="1" applyFill="1"/>
    <xf numFmtId="165" fontId="7" fillId="0" borderId="0" xfId="0" applyNumberFormat="1" applyFont="1"/>
    <xf numFmtId="0" fontId="5" fillId="0" borderId="0" xfId="3" applyFont="1"/>
    <xf numFmtId="165" fontId="8" fillId="0" borderId="0" xfId="2" applyNumberFormat="1" applyFont="1" applyFill="1"/>
    <xf numFmtId="43" fontId="3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3" fillId="0" borderId="0" xfId="3" applyFont="1" applyAlignment="1">
      <alignment wrapText="1"/>
    </xf>
    <xf numFmtId="165" fontId="4" fillId="0" borderId="0" xfId="3" applyNumberFormat="1" applyFont="1"/>
    <xf numFmtId="0" fontId="14" fillId="0" borderId="0" xfId="4" applyFont="1" applyFill="1"/>
    <xf numFmtId="0" fontId="7" fillId="3" borderId="0" xfId="0" applyFont="1" applyFill="1"/>
    <xf numFmtId="165" fontId="8" fillId="3" borderId="0" xfId="2" applyNumberFormat="1" applyFont="1" applyFill="1"/>
    <xf numFmtId="164" fontId="7" fillId="3" borderId="0" xfId="1" applyNumberFormat="1" applyFont="1" applyFill="1"/>
    <xf numFmtId="0" fontId="5" fillId="3" borderId="0" xfId="3" applyFont="1" applyFill="1"/>
    <xf numFmtId="0" fontId="3" fillId="3" borderId="0" xfId="3" applyFont="1" applyFill="1"/>
    <xf numFmtId="165" fontId="5" fillId="3" borderId="1" xfId="3" applyNumberFormat="1" applyFont="1" applyFill="1" applyBorder="1"/>
    <xf numFmtId="165" fontId="3" fillId="3" borderId="0" xfId="3" applyNumberFormat="1" applyFont="1" applyFill="1"/>
    <xf numFmtId="165" fontId="7" fillId="3" borderId="0" xfId="0" applyNumberFormat="1" applyFont="1" applyFill="1"/>
    <xf numFmtId="165" fontId="7" fillId="3" borderId="0" xfId="1" applyNumberFormat="1" applyFont="1" applyFill="1"/>
    <xf numFmtId="165" fontId="5" fillId="3" borderId="2" xfId="3" applyNumberFormat="1" applyFont="1" applyFill="1" applyBorder="1"/>
    <xf numFmtId="0" fontId="6" fillId="3" borderId="0" xfId="3" applyFont="1" applyFill="1" applyAlignment="1">
      <alignment horizontal="center"/>
    </xf>
    <xf numFmtId="0" fontId="6" fillId="0" borderId="0" xfId="3" applyFont="1" applyAlignment="1">
      <alignment horizontal="center"/>
    </xf>
    <xf numFmtId="0" fontId="13" fillId="3" borderId="0" xfId="0" applyFont="1" applyFill="1"/>
    <xf numFmtId="0" fontId="15" fillId="3" borderId="0" xfId="0" applyFont="1" applyFill="1"/>
    <xf numFmtId="0" fontId="9" fillId="0" borderId="0" xfId="0" applyFont="1" applyAlignment="1">
      <alignment horizontal="center" wrapText="1"/>
    </xf>
    <xf numFmtId="0" fontId="9" fillId="0" borderId="0" xfId="0" applyFont="1"/>
    <xf numFmtId="165" fontId="5" fillId="3" borderId="0" xfId="3" applyNumberFormat="1" applyFont="1" applyFill="1"/>
    <xf numFmtId="14" fontId="7" fillId="0" borderId="0" xfId="0" applyNumberFormat="1" applyFont="1"/>
    <xf numFmtId="14" fontId="9" fillId="0" borderId="0" xfId="0" applyNumberFormat="1" applyFont="1" applyAlignment="1">
      <alignment horizontal="center"/>
    </xf>
    <xf numFmtId="14" fontId="10" fillId="0" borderId="0" xfId="3" applyNumberFormat="1" applyFont="1"/>
    <xf numFmtId="14" fontId="7" fillId="3" borderId="0" xfId="0" applyNumberFormat="1" applyFont="1" applyFill="1"/>
    <xf numFmtId="14" fontId="10" fillId="3" borderId="0" xfId="3" applyNumberFormat="1" applyFont="1" applyFill="1"/>
    <xf numFmtId="14" fontId="3" fillId="3" borderId="0" xfId="3" applyNumberFormat="1" applyFont="1" applyFill="1"/>
    <xf numFmtId="14" fontId="10" fillId="0" borderId="0" xfId="0" applyNumberFormat="1" applyFont="1"/>
    <xf numFmtId="0" fontId="3" fillId="0" borderId="0" xfId="4" applyFont="1" applyFill="1"/>
    <xf numFmtId="0" fontId="7" fillId="4" borderId="0" xfId="0" applyFont="1" applyFill="1"/>
    <xf numFmtId="0" fontId="0" fillId="3" borderId="0" xfId="0" applyFill="1"/>
    <xf numFmtId="165" fontId="3" fillId="4" borderId="0" xfId="3" applyNumberFormat="1" applyFont="1" applyFill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3" applyFont="1" applyAlignment="1">
      <alignment horizontal="right"/>
    </xf>
    <xf numFmtId="0" fontId="10" fillId="0" borderId="0" xfId="3" applyFont="1" applyAlignment="1">
      <alignment horizontal="right"/>
    </xf>
    <xf numFmtId="165" fontId="3" fillId="0" borderId="0" xfId="3" applyNumberFormat="1" applyFont="1" applyAlignment="1">
      <alignment horizontal="right"/>
    </xf>
    <xf numFmtId="0" fontId="7" fillId="3" borderId="0" xfId="0" applyFont="1" applyFill="1" applyAlignment="1">
      <alignment horizontal="right"/>
    </xf>
    <xf numFmtId="0" fontId="10" fillId="3" borderId="0" xfId="3" applyFont="1" applyFill="1" applyAlignment="1">
      <alignment horizontal="right"/>
    </xf>
    <xf numFmtId="0" fontId="3" fillId="3" borderId="0" xfId="3" applyFont="1" applyFill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165" fontId="7" fillId="0" borderId="0" xfId="1" applyNumberFormat="1" applyFont="1" applyFill="1" applyAlignment="1">
      <alignment horizontal="right"/>
    </xf>
    <xf numFmtId="165" fontId="8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5" fillId="0" borderId="1" xfId="3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5" fillId="0" borderId="2" xfId="3" applyNumberFormat="1" applyFont="1" applyBorder="1" applyAlignment="1">
      <alignment horizontal="right"/>
    </xf>
    <xf numFmtId="165" fontId="5" fillId="3" borderId="1" xfId="3" applyNumberFormat="1" applyFont="1" applyFill="1" applyBorder="1" applyAlignment="1">
      <alignment horizontal="right"/>
    </xf>
    <xf numFmtId="165" fontId="7" fillId="3" borderId="0" xfId="0" applyNumberFormat="1" applyFont="1" applyFill="1" applyAlignment="1">
      <alignment horizontal="right"/>
    </xf>
    <xf numFmtId="165" fontId="3" fillId="3" borderId="0" xfId="3" applyNumberFormat="1" applyFont="1" applyFill="1" applyAlignment="1">
      <alignment horizontal="right"/>
    </xf>
    <xf numFmtId="165" fontId="5" fillId="3" borderId="2" xfId="3" applyNumberFormat="1" applyFont="1" applyFill="1" applyBorder="1" applyAlignment="1">
      <alignment horizontal="right"/>
    </xf>
    <xf numFmtId="0" fontId="6" fillId="0" borderId="0" xfId="4" applyFont="1" applyFill="1"/>
    <xf numFmtId="165" fontId="3" fillId="0" borderId="0" xfId="1" applyNumberFormat="1" applyFont="1" applyFill="1" applyAlignment="1">
      <alignment horizontal="right"/>
    </xf>
    <xf numFmtId="5" fontId="7" fillId="3" borderId="0" xfId="2" applyNumberFormat="1" applyFont="1" applyFill="1"/>
    <xf numFmtId="5" fontId="3" fillId="3" borderId="0" xfId="2" applyNumberFormat="1" applyFont="1" applyFill="1"/>
    <xf numFmtId="5" fontId="7" fillId="0" borderId="0" xfId="2" applyNumberFormat="1" applyFont="1"/>
    <xf numFmtId="9" fontId="7" fillId="0" borderId="0" xfId="5" applyFont="1"/>
    <xf numFmtId="165" fontId="5" fillId="4" borderId="2" xfId="3" applyNumberFormat="1" applyFont="1" applyFill="1" applyBorder="1"/>
    <xf numFmtId="165" fontId="7" fillId="4" borderId="0" xfId="0" applyNumberFormat="1" applyFont="1" applyFill="1"/>
    <xf numFmtId="165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8" fillId="0" borderId="0" xfId="1" applyNumberFormat="1" applyFont="1"/>
    <xf numFmtId="164" fontId="7" fillId="0" borderId="0" xfId="0" applyNumberFormat="1" applyFont="1"/>
    <xf numFmtId="165" fontId="7" fillId="0" borderId="0" xfId="2" applyNumberFormat="1" applyFont="1" applyFill="1"/>
    <xf numFmtId="0" fontId="5" fillId="0" borderId="0" xfId="3" applyFont="1" applyAlignment="1">
      <alignment horizontal="right" vertical="center"/>
    </xf>
    <xf numFmtId="14" fontId="5" fillId="0" borderId="0" xfId="3" applyNumberFormat="1" applyFont="1" applyAlignment="1">
      <alignment horizontal="center" vertical="center"/>
    </xf>
    <xf numFmtId="0" fontId="4" fillId="0" borderId="0" xfId="3" applyFont="1"/>
    <xf numFmtId="1" fontId="3" fillId="0" borderId="0" xfId="3" applyNumberFormat="1" applyFont="1" applyProtection="1">
      <protection locked="0"/>
    </xf>
    <xf numFmtId="9" fontId="0" fillId="0" borderId="0" xfId="5" applyFont="1"/>
    <xf numFmtId="0" fontId="8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</cellXfs>
  <cellStyles count="6">
    <cellStyle name="Comma" xfId="1" builtinId="3"/>
    <cellStyle name="Currency" xfId="2" builtinId="4"/>
    <cellStyle name="Good" xfId="4" builtinId="26"/>
    <cellStyle name="Normal" xfId="0" builtinId="0"/>
    <cellStyle name="Normal 3" xfId="3" xr:uid="{00000000-0005-0000-0000-000003000000}"/>
    <cellStyle name="Percent" xfId="5" builtinId="5"/>
  </cellStyles>
  <dxfs count="0"/>
  <tableStyles count="0" defaultTableStyle="TableStyleMedium9" defaultPivotStyle="PivotStyleLight16"/>
  <colors>
    <mruColors>
      <color rgb="FFE500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ahr Mahony" id="{E8E6C80D-F404-4FF8-88FA-68A0BDDE78F4}" userId="2f2a9bd8d49d0e02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9" dT="2024-10-24T14:47:36.19" personId="{E8E6C80D-F404-4FF8-88FA-68A0BDDE78F4}" id="{8A18CF1F-C5AF-4800-844C-BD985661BD66}">
    <text>Includes Garage Lighting</text>
  </threadedComment>
  <threadedComment ref="B126" dT="2024-10-26T16:29:46.40" personId="{E8E6C80D-F404-4FF8-88FA-68A0BDDE78F4}" id="{A32FAF1E-E4B9-4016-A2D6-A4CD58BA0BB6}">
    <text>Input inflation rate here and component costs will recalculate</text>
  </threadedComment>
  <threadedComment ref="B127" dT="2024-10-30T18:30:04.08" personId="{E8E6C80D-F404-4FF8-88FA-68A0BDDE78F4}" id="{9DA94318-AEEE-41CE-8761-EC93EA6AF917}">
    <text>Input interest rate here and annual interest will be automatically calculated</text>
  </threadedComment>
  <threadedComment ref="B128" dT="2024-10-30T18:30:55.84" personId="{E8E6C80D-F404-4FF8-88FA-68A0BDDE78F4}" id="{B937FC7A-C186-4602-9A1D-22779AB80ED3}">
    <text>Do not change this rate as it is calculated from Interest Rate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5"/>
  <sheetViews>
    <sheetView tabSelected="1" zoomScaleNormal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2" sqref="A2"/>
    </sheetView>
  </sheetViews>
  <sheetFormatPr defaultColWidth="8.85546875" defaultRowHeight="14.25" x14ac:dyDescent="0.2"/>
  <cols>
    <col min="1" max="1" width="40.85546875" style="1" customWidth="1"/>
    <col min="2" max="2" width="10.5703125" style="1" bestFit="1" customWidth="1"/>
    <col min="3" max="3" width="10.5703125" style="1" customWidth="1"/>
    <col min="4" max="4" width="12.5703125" style="72" customWidth="1"/>
    <col min="5" max="5" width="12.5703125" style="61" customWidth="1"/>
    <col min="6" max="6" width="12.5703125" style="1" customWidth="1"/>
    <col min="7" max="10" width="12.7109375" style="1" customWidth="1"/>
    <col min="11" max="11" width="12.7109375" style="72" customWidth="1"/>
    <col min="12" max="13" width="12.7109375" style="1" customWidth="1"/>
    <col min="14" max="14" width="12.7109375" style="18" customWidth="1"/>
    <col min="15" max="41" width="12.7109375" style="1" customWidth="1"/>
    <col min="42" max="42" width="68.42578125" style="15" customWidth="1"/>
    <col min="43" max="16384" width="8.85546875" style="1"/>
  </cols>
  <sheetData>
    <row r="1" spans="1:43" ht="15" customHeight="1" x14ac:dyDescent="0.25">
      <c r="A1" s="111" t="s">
        <v>107</v>
      </c>
      <c r="B1" s="111"/>
      <c r="C1" s="111"/>
      <c r="D1" s="111"/>
      <c r="E1" s="111"/>
      <c r="F1" s="111"/>
      <c r="G1" s="111"/>
      <c r="I1" s="19"/>
      <c r="J1" s="19"/>
      <c r="K1" s="110" t="s">
        <v>104</v>
      </c>
      <c r="L1" s="110"/>
      <c r="M1" s="110"/>
      <c r="N1" s="110"/>
    </row>
    <row r="2" spans="1:43" s="19" customFormat="1" ht="15" customHeight="1" x14ac:dyDescent="0.25">
      <c r="B2" s="20"/>
      <c r="C2" s="20"/>
      <c r="D2" s="73"/>
      <c r="E2" s="62"/>
      <c r="F2" s="21"/>
      <c r="G2" s="21" t="s">
        <v>96</v>
      </c>
      <c r="H2" s="21" t="s">
        <v>92</v>
      </c>
      <c r="I2" s="21" t="s">
        <v>97</v>
      </c>
      <c r="J2" s="21" t="s">
        <v>92</v>
      </c>
      <c r="K2" s="81" t="s">
        <v>95</v>
      </c>
      <c r="N2" s="22"/>
      <c r="AP2" s="16"/>
    </row>
    <row r="3" spans="1:43" s="19" customFormat="1" ht="45" customHeight="1" x14ac:dyDescent="0.25">
      <c r="A3" s="19" t="s">
        <v>3</v>
      </c>
      <c r="B3" s="58" t="s">
        <v>39</v>
      </c>
      <c r="C3" s="58" t="s">
        <v>90</v>
      </c>
      <c r="D3" s="20" t="s">
        <v>4</v>
      </c>
      <c r="E3" s="62" t="s">
        <v>5</v>
      </c>
      <c r="F3" s="58" t="s">
        <v>98</v>
      </c>
      <c r="G3" s="20">
        <v>2023</v>
      </c>
      <c r="H3" s="20">
        <v>2024</v>
      </c>
      <c r="I3" s="20">
        <v>2024</v>
      </c>
      <c r="J3" s="20">
        <v>2025</v>
      </c>
      <c r="K3" s="20">
        <v>2025</v>
      </c>
      <c r="L3" s="20">
        <v>2026</v>
      </c>
      <c r="M3" s="20">
        <f t="shared" ref="M3:AO3" si="0">+L3+1</f>
        <v>2027</v>
      </c>
      <c r="N3" s="20">
        <f t="shared" si="0"/>
        <v>2028</v>
      </c>
      <c r="O3" s="20">
        <f t="shared" si="0"/>
        <v>2029</v>
      </c>
      <c r="P3" s="20">
        <f t="shared" si="0"/>
        <v>2030</v>
      </c>
      <c r="Q3" s="20">
        <f t="shared" si="0"/>
        <v>2031</v>
      </c>
      <c r="R3" s="20">
        <f t="shared" si="0"/>
        <v>2032</v>
      </c>
      <c r="S3" s="20">
        <f t="shared" si="0"/>
        <v>2033</v>
      </c>
      <c r="T3" s="20">
        <f t="shared" si="0"/>
        <v>2034</v>
      </c>
      <c r="U3" s="20">
        <f t="shared" si="0"/>
        <v>2035</v>
      </c>
      <c r="V3" s="20">
        <f t="shared" si="0"/>
        <v>2036</v>
      </c>
      <c r="W3" s="20">
        <f t="shared" si="0"/>
        <v>2037</v>
      </c>
      <c r="X3" s="20">
        <f t="shared" si="0"/>
        <v>2038</v>
      </c>
      <c r="Y3" s="20">
        <f t="shared" si="0"/>
        <v>2039</v>
      </c>
      <c r="Z3" s="20">
        <f t="shared" si="0"/>
        <v>2040</v>
      </c>
      <c r="AA3" s="20">
        <f t="shared" si="0"/>
        <v>2041</v>
      </c>
      <c r="AB3" s="20">
        <f t="shared" si="0"/>
        <v>2042</v>
      </c>
      <c r="AC3" s="20">
        <f t="shared" si="0"/>
        <v>2043</v>
      </c>
      <c r="AD3" s="20">
        <f t="shared" si="0"/>
        <v>2044</v>
      </c>
      <c r="AE3" s="20">
        <f t="shared" si="0"/>
        <v>2045</v>
      </c>
      <c r="AF3" s="20">
        <f t="shared" si="0"/>
        <v>2046</v>
      </c>
      <c r="AG3" s="20">
        <f t="shared" si="0"/>
        <v>2047</v>
      </c>
      <c r="AH3" s="20">
        <f t="shared" si="0"/>
        <v>2048</v>
      </c>
      <c r="AI3" s="20">
        <f t="shared" si="0"/>
        <v>2049</v>
      </c>
      <c r="AJ3" s="20">
        <f t="shared" si="0"/>
        <v>2050</v>
      </c>
      <c r="AK3" s="20">
        <f t="shared" si="0"/>
        <v>2051</v>
      </c>
      <c r="AL3" s="20">
        <f t="shared" si="0"/>
        <v>2052</v>
      </c>
      <c r="AM3" s="20">
        <f t="shared" si="0"/>
        <v>2053</v>
      </c>
      <c r="AN3" s="20">
        <f t="shared" si="0"/>
        <v>2054</v>
      </c>
      <c r="AO3" s="20">
        <f t="shared" si="0"/>
        <v>2055</v>
      </c>
      <c r="AP3" s="16" t="s">
        <v>7</v>
      </c>
    </row>
    <row r="4" spans="1:43" s="19" customFormat="1" ht="30" x14ac:dyDescent="0.4">
      <c r="A4" s="57" t="s">
        <v>64</v>
      </c>
      <c r="B4" s="20"/>
      <c r="C4" s="20"/>
      <c r="D4" s="73"/>
      <c r="E4" s="62"/>
      <c r="F4" s="21"/>
      <c r="G4" s="21"/>
      <c r="H4" s="21"/>
      <c r="I4" s="20"/>
      <c r="J4" s="20"/>
      <c r="K4" s="73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16"/>
    </row>
    <row r="5" spans="1:43" s="19" customFormat="1" ht="15" x14ac:dyDescent="0.25">
      <c r="A5" s="26" t="s">
        <v>22</v>
      </c>
      <c r="B5" s="5"/>
      <c r="C5" s="5"/>
      <c r="D5" s="2"/>
      <c r="E5" s="2"/>
      <c r="F5" s="6"/>
      <c r="G5" s="6"/>
      <c r="H5" s="6"/>
      <c r="I5" s="3"/>
      <c r="J5" s="3"/>
      <c r="K5" s="82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8"/>
      <c r="AQ5" s="23"/>
    </row>
    <row r="6" spans="1:43" s="19" customFormat="1" ht="15" x14ac:dyDescent="0.25">
      <c r="A6" s="5" t="s">
        <v>23</v>
      </c>
      <c r="B6" s="5">
        <v>4</v>
      </c>
      <c r="C6" s="5">
        <v>1</v>
      </c>
      <c r="D6" s="2" t="s">
        <v>81</v>
      </c>
      <c r="E6" s="2">
        <v>46174</v>
      </c>
      <c r="F6" s="6">
        <v>5265</v>
      </c>
      <c r="G6" s="6"/>
      <c r="H6" s="3"/>
      <c r="I6" s="3"/>
      <c r="J6" s="82"/>
      <c r="K6" s="82"/>
      <c r="L6" s="4">
        <f>F6</f>
        <v>5265</v>
      </c>
      <c r="M6" s="4"/>
      <c r="N6" s="4"/>
      <c r="O6" s="4"/>
      <c r="P6" s="4">
        <f>$F6/((1+$B$126)^-(P$3-$L$3))</f>
        <v>5925.8038846499994</v>
      </c>
      <c r="Q6" s="4"/>
      <c r="R6" s="4"/>
      <c r="S6" s="4"/>
      <c r="T6" s="4">
        <f>$F6/((1+$B$126)^-(T$3-$L$3))</f>
        <v>6669.544478505798</v>
      </c>
      <c r="U6" s="4"/>
      <c r="V6" s="4"/>
      <c r="W6" s="4"/>
      <c r="X6" s="4">
        <f>$F6/((1+$B$126)^-(X$3-$L$3))</f>
        <v>7506.6310692451298</v>
      </c>
      <c r="Y6" s="4"/>
      <c r="Z6" s="4"/>
      <c r="AA6" s="4"/>
      <c r="AB6" s="4">
        <f>$F6/((1+$B$126)^-(AA$3-$K$3))</f>
        <v>8448.779401855114</v>
      </c>
      <c r="AC6" s="4"/>
      <c r="AD6" s="4"/>
      <c r="AE6" s="4"/>
      <c r="AF6" s="4">
        <f>$F6/((1+$B$126)^-(AF$3-$L$3))</f>
        <v>9509.1756505344601</v>
      </c>
      <c r="AG6" s="4"/>
      <c r="AH6" s="4"/>
      <c r="AI6" s="4"/>
      <c r="AJ6" s="4">
        <f>$F6/((1+$B$126)^-(AJ$3-$L$3))</f>
        <v>10702.660970514016</v>
      </c>
      <c r="AK6" s="4"/>
      <c r="AL6" s="4"/>
      <c r="AM6" s="4"/>
      <c r="AN6" s="4">
        <f>$F6/((1+$B$126)^-(AN$3-$L$3))</f>
        <v>12045.939212756675</v>
      </c>
      <c r="AO6" s="4"/>
      <c r="AP6" s="8"/>
      <c r="AQ6" s="23"/>
    </row>
    <row r="7" spans="1:43" s="19" customFormat="1" ht="15" x14ac:dyDescent="0.25">
      <c r="A7" s="5" t="s">
        <v>63</v>
      </c>
      <c r="B7" s="5">
        <v>4</v>
      </c>
      <c r="C7" s="5">
        <v>0</v>
      </c>
      <c r="D7" s="2">
        <v>45809</v>
      </c>
      <c r="E7" s="2">
        <v>46174</v>
      </c>
      <c r="F7" s="6">
        <v>4235</v>
      </c>
      <c r="G7" s="6"/>
      <c r="H7" s="3"/>
      <c r="I7" s="3"/>
      <c r="J7" s="82"/>
      <c r="K7" s="82"/>
      <c r="L7" s="4">
        <f>F7</f>
        <v>4235</v>
      </c>
      <c r="M7" s="4"/>
      <c r="N7" s="4"/>
      <c r="P7" s="4">
        <f>$F7/((1+$B$126)^-(P$3-$L$3))</f>
        <v>4766.5298103499999</v>
      </c>
      <c r="Q7" s="4"/>
      <c r="R7" s="4"/>
      <c r="S7" s="4"/>
      <c r="T7" s="4">
        <f>$F7/((1+$B$126)^-(T$3-$L$3))</f>
        <v>5364.7712946765541</v>
      </c>
      <c r="U7" s="4"/>
      <c r="V7" s="4"/>
      <c r="W7" s="4"/>
      <c r="X7" s="4">
        <f>$F7/((1+$B$126)^-(X$3-$L$3))</f>
        <v>6038.0973557935658</v>
      </c>
      <c r="Y7" s="4"/>
      <c r="Z7" s="4"/>
      <c r="AA7" s="4"/>
      <c r="AB7" s="4">
        <f>$F7/((1+$B$126)^-(AB$3-$L$3))</f>
        <v>6795.9317695833633</v>
      </c>
      <c r="AC7" s="4"/>
      <c r="AD7" s="4"/>
      <c r="AE7" s="4"/>
      <c r="AF7" s="4">
        <f>$F7/((1+$B$126)^-(AF$3-$L$3))</f>
        <v>7648.8810788249648</v>
      </c>
      <c r="AG7" s="4"/>
      <c r="AH7" s="4"/>
      <c r="AI7" s="4"/>
      <c r="AJ7" s="4">
        <f>$F7/((1+$B$126)^-(AJ$3-$L$3))</f>
        <v>8608.8830408598023</v>
      </c>
      <c r="AK7" s="4"/>
      <c r="AL7" s="4"/>
      <c r="AM7" s="4"/>
      <c r="AN7" s="4">
        <f>$F7/((1+$B$126)^-(AN$3-$L$3))</f>
        <v>9689.3737067472975</v>
      </c>
      <c r="AO7" s="4"/>
      <c r="AP7" s="8"/>
      <c r="AQ7" s="23"/>
    </row>
    <row r="8" spans="1:43" s="19" customFormat="1" ht="15" x14ac:dyDescent="0.25">
      <c r="A8" s="5" t="s">
        <v>27</v>
      </c>
      <c r="B8" s="5">
        <v>20</v>
      </c>
      <c r="C8" s="5">
        <v>19</v>
      </c>
      <c r="D8" s="2">
        <v>45962</v>
      </c>
      <c r="E8" s="2">
        <v>53114</v>
      </c>
      <c r="F8" s="6">
        <v>140000</v>
      </c>
      <c r="G8" s="6"/>
      <c r="H8" s="3">
        <f>((49581+250419)*1.06)+50000+12500+450</f>
        <v>380950</v>
      </c>
      <c r="I8" s="3">
        <v>1888</v>
      </c>
      <c r="J8" s="82" t="s">
        <v>6</v>
      </c>
      <c r="K8" s="82">
        <f>220000+15000+10000</f>
        <v>245000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E8" s="4">
        <f>$F8/((1+$B$126)^-(AE$3-$L$3))</f>
        <v>245490.84743079406</v>
      </c>
      <c r="AF8" s="4"/>
      <c r="AG8" s="1"/>
      <c r="AH8" s="4" t="s">
        <v>6</v>
      </c>
      <c r="AI8" s="4"/>
      <c r="AJ8" s="4"/>
      <c r="AK8" s="4"/>
      <c r="AL8" s="4"/>
      <c r="AM8" s="4"/>
      <c r="AN8" s="4"/>
      <c r="AO8" s="4"/>
      <c r="AP8" s="8" t="s">
        <v>6</v>
      </c>
      <c r="AQ8" s="23"/>
    </row>
    <row r="9" spans="1:43" s="19" customFormat="1" ht="15" x14ac:dyDescent="0.25">
      <c r="A9" s="5" t="s">
        <v>66</v>
      </c>
      <c r="B9" s="5">
        <v>30</v>
      </c>
      <c r="C9" s="5">
        <v>29</v>
      </c>
      <c r="D9" s="2">
        <v>45657</v>
      </c>
      <c r="E9" s="2">
        <v>56766</v>
      </c>
      <c r="F9" s="3">
        <v>735000</v>
      </c>
      <c r="G9" s="3">
        <v>8500</v>
      </c>
      <c r="H9" s="3">
        <f>((261650+638350)*1.06)+12500+450</f>
        <v>966950</v>
      </c>
      <c r="I9" s="3">
        <v>61190</v>
      </c>
      <c r="J9" s="82" t="s">
        <v>6</v>
      </c>
      <c r="K9" s="82">
        <f>874212+52453+10928-I9-70000-30000</f>
        <v>776403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O9" s="4">
        <f>$F9/((1+$B$126)^-(AO$3-$L$3))</f>
        <v>1732075.6469168926</v>
      </c>
      <c r="AP9" s="8"/>
      <c r="AQ9" s="23"/>
    </row>
    <row r="10" spans="1:43" x14ac:dyDescent="0.2">
      <c r="A10" s="41" t="s">
        <v>100</v>
      </c>
      <c r="B10" s="5">
        <v>10</v>
      </c>
      <c r="C10" s="5">
        <v>9</v>
      </c>
      <c r="D10" s="2">
        <v>45992</v>
      </c>
      <c r="E10" s="2">
        <v>49461</v>
      </c>
      <c r="F10" s="3">
        <v>30000</v>
      </c>
      <c r="G10" s="3"/>
      <c r="H10" s="3"/>
      <c r="I10" s="3"/>
      <c r="J10" s="3"/>
      <c r="K10" s="82">
        <v>30000</v>
      </c>
      <c r="L10" s="4"/>
      <c r="M10" s="4"/>
      <c r="N10" s="4"/>
      <c r="O10" s="4"/>
      <c r="P10" s="4"/>
      <c r="Q10" s="4"/>
      <c r="R10" s="4"/>
      <c r="S10" s="4"/>
      <c r="T10" s="4"/>
      <c r="U10" s="4">
        <f>$F10/((1+$B$126)^-(U$3-$L$3))</f>
        <v>39143.195514877334</v>
      </c>
      <c r="V10" s="4"/>
      <c r="W10" s="4"/>
      <c r="X10" s="4"/>
      <c r="Y10" s="4"/>
      <c r="Z10" s="4"/>
      <c r="AA10" s="4"/>
      <c r="AB10" s="4"/>
      <c r="AC10" s="4"/>
      <c r="AD10" s="4"/>
      <c r="AE10" s="4">
        <f>$F10/((1+$B$126)^-(AE$3-$L$3))</f>
        <v>52605.181592313013</v>
      </c>
      <c r="AF10" s="4"/>
      <c r="AG10" s="4"/>
      <c r="AH10" s="4"/>
      <c r="AI10" s="4"/>
      <c r="AJ10" s="4"/>
      <c r="AK10" s="4"/>
      <c r="AL10" s="4"/>
      <c r="AM10" s="4"/>
      <c r="AN10" s="4"/>
      <c r="AO10" s="4">
        <f>$F10/((1+$B$126)^-(AO$3-$L$3))</f>
        <v>70696.965180281331</v>
      </c>
      <c r="AP10" s="8"/>
      <c r="AQ10" s="23"/>
    </row>
    <row r="11" spans="1:43" x14ac:dyDescent="0.2">
      <c r="A11" s="41"/>
      <c r="B11" s="5"/>
      <c r="C11" s="5"/>
      <c r="D11" s="2"/>
      <c r="E11" s="2"/>
      <c r="F11" s="3"/>
      <c r="G11" s="3"/>
      <c r="H11" s="3"/>
      <c r="I11" s="3"/>
      <c r="J11" s="3"/>
      <c r="K11" s="8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8"/>
      <c r="AQ11" s="23"/>
    </row>
    <row r="12" spans="1:43" s="19" customFormat="1" ht="15" x14ac:dyDescent="0.25">
      <c r="A12" s="5"/>
      <c r="B12" s="5"/>
      <c r="C12" s="5"/>
      <c r="D12" s="2"/>
      <c r="E12" s="2" t="s">
        <v>6</v>
      </c>
      <c r="F12" s="6" t="s">
        <v>6</v>
      </c>
      <c r="G12" s="6"/>
      <c r="H12" s="3"/>
      <c r="I12" s="3"/>
      <c r="J12" s="82"/>
      <c r="K12" s="8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8"/>
      <c r="AQ12" s="23"/>
    </row>
    <row r="13" spans="1:43" s="19" customFormat="1" ht="16.5" x14ac:dyDescent="0.35">
      <c r="A13" s="26" t="s">
        <v>8</v>
      </c>
      <c r="B13" s="5"/>
      <c r="C13" s="5"/>
      <c r="D13" s="2"/>
      <c r="E13" s="9"/>
      <c r="F13" s="14"/>
      <c r="G13" s="14"/>
      <c r="H13" s="3"/>
      <c r="I13" s="3"/>
      <c r="J13" s="83"/>
      <c r="K13" s="83"/>
      <c r="L13" s="30"/>
      <c r="M13" s="31"/>
      <c r="N13" s="30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38"/>
      <c r="AQ13" s="23"/>
    </row>
    <row r="14" spans="1:43" s="19" customFormat="1" ht="15" x14ac:dyDescent="0.25">
      <c r="A14" s="5" t="s">
        <v>67</v>
      </c>
      <c r="B14" s="5">
        <v>20</v>
      </c>
      <c r="C14" s="5">
        <v>9</v>
      </c>
      <c r="D14" s="2" t="s">
        <v>81</v>
      </c>
      <c r="E14" s="9">
        <v>49461</v>
      </c>
      <c r="F14" s="33">
        <v>6180</v>
      </c>
      <c r="G14" s="33"/>
      <c r="H14" s="3"/>
      <c r="I14" s="3"/>
      <c r="J14" s="83"/>
      <c r="K14" s="83"/>
      <c r="L14" s="30"/>
      <c r="M14" s="31"/>
      <c r="N14" s="30"/>
      <c r="O14" s="28"/>
      <c r="P14" s="28"/>
      <c r="Q14" s="28"/>
      <c r="R14" s="28"/>
      <c r="S14" s="28"/>
      <c r="T14" s="28"/>
      <c r="U14" s="4">
        <f>$F14/((1+$B$126)^-(U$3-$L$3))</f>
        <v>8063.4982760647308</v>
      </c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4">
        <f>$F14/((1+$B$126)^-(AO$3-$L$3))</f>
        <v>14563.574827137954</v>
      </c>
      <c r="AP14" s="38"/>
      <c r="AQ14" s="23"/>
    </row>
    <row r="15" spans="1:43" s="19" customFormat="1" ht="15" x14ac:dyDescent="0.25">
      <c r="A15" s="5" t="s">
        <v>28</v>
      </c>
      <c r="B15" s="5">
        <v>8</v>
      </c>
      <c r="C15" s="5">
        <v>7</v>
      </c>
      <c r="D15" s="2">
        <v>45870</v>
      </c>
      <c r="E15" s="9">
        <v>48731</v>
      </c>
      <c r="F15" s="33">
        <v>43000</v>
      </c>
      <c r="G15" s="33"/>
      <c r="H15" s="3"/>
      <c r="I15" s="3"/>
      <c r="J15" s="80">
        <v>30000</v>
      </c>
      <c r="K15" s="80">
        <v>43000</v>
      </c>
      <c r="L15" s="30"/>
      <c r="M15" s="31"/>
      <c r="N15" s="30"/>
      <c r="O15" s="28"/>
      <c r="P15" s="28"/>
      <c r="Q15" s="28"/>
      <c r="R15" s="28"/>
      <c r="S15" s="4">
        <f>$F15/((1+$B$126)^-(S$3-$L$3))</f>
        <v>52884.576213269407</v>
      </c>
      <c r="T15" s="28"/>
      <c r="U15" s="28"/>
      <c r="V15" s="28"/>
      <c r="W15" s="28"/>
      <c r="X15" s="28"/>
      <c r="Y15" s="28"/>
      <c r="Z15" s="28"/>
      <c r="AA15" s="4">
        <f>$F15/((1+$B$126)^-(AA$3-$L$3))</f>
        <v>66992.598913832873</v>
      </c>
      <c r="AB15" s="28"/>
      <c r="AC15" s="28"/>
      <c r="AD15" s="28"/>
      <c r="AE15" s="28"/>
      <c r="AF15" s="28"/>
      <c r="AG15" s="28"/>
      <c r="AH15" s="28"/>
      <c r="AI15" s="4">
        <f>$F15/((1+$B$126)^-(AI$3-$L$3))</f>
        <v>84864.219978443973</v>
      </c>
      <c r="AJ15" s="28"/>
      <c r="AK15" s="28"/>
      <c r="AL15" s="28"/>
      <c r="AM15" s="28"/>
      <c r="AN15" s="28"/>
      <c r="AO15" s="28"/>
      <c r="AP15" s="38"/>
      <c r="AQ15" s="23"/>
    </row>
    <row r="16" spans="1:43" s="19" customFormat="1" ht="15" x14ac:dyDescent="0.25">
      <c r="A16" s="5" t="s">
        <v>68</v>
      </c>
      <c r="B16" s="5">
        <v>24</v>
      </c>
      <c r="C16" s="5">
        <v>7</v>
      </c>
      <c r="D16" s="2" t="s">
        <v>81</v>
      </c>
      <c r="E16" s="9">
        <v>48731</v>
      </c>
      <c r="F16" s="33">
        <v>133866</v>
      </c>
      <c r="G16" s="33"/>
      <c r="H16" s="3"/>
      <c r="I16" s="3"/>
      <c r="J16" s="83"/>
      <c r="K16" s="80" t="s">
        <v>6</v>
      </c>
      <c r="L16" s="30"/>
      <c r="N16" s="30"/>
      <c r="O16" s="28"/>
      <c r="P16" s="28"/>
      <c r="Q16" s="28"/>
      <c r="R16" s="28"/>
      <c r="S16" s="4">
        <f>$F16/((1+$B$126)^-(S$3-$L$3))</f>
        <v>164638.29486896563</v>
      </c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38"/>
      <c r="AQ16" s="23"/>
    </row>
    <row r="17" spans="1:43" s="19" customFormat="1" ht="15" x14ac:dyDescent="0.25">
      <c r="A17" s="5"/>
      <c r="B17" s="5"/>
      <c r="C17" s="5"/>
      <c r="D17" s="2"/>
      <c r="E17" s="61"/>
      <c r="F17" s="1"/>
      <c r="G17" s="1"/>
      <c r="H17" s="3"/>
      <c r="I17" s="3"/>
      <c r="J17" s="84"/>
      <c r="K17" s="84"/>
      <c r="L17" s="32"/>
      <c r="M17" s="32"/>
      <c r="N17" s="32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 t="s">
        <v>6</v>
      </c>
      <c r="AJ17" s="28"/>
      <c r="AK17" s="28"/>
      <c r="AL17" s="28"/>
      <c r="AM17" s="28"/>
      <c r="AN17" s="28"/>
      <c r="AO17" s="28"/>
      <c r="AP17" s="17"/>
      <c r="AQ17" s="23"/>
    </row>
    <row r="18" spans="1:43" ht="15" x14ac:dyDescent="0.2">
      <c r="A18" s="24"/>
      <c r="B18" s="24"/>
      <c r="C18" s="24"/>
      <c r="D18" s="105"/>
      <c r="E18" s="106"/>
      <c r="F18" s="25"/>
      <c r="G18" s="25"/>
      <c r="H18" s="10"/>
      <c r="I18" s="10"/>
      <c r="J18" s="82"/>
      <c r="K18" s="82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8"/>
      <c r="AQ18" s="23"/>
    </row>
    <row r="19" spans="1:43" ht="15" x14ac:dyDescent="0.25">
      <c r="A19" s="26" t="s">
        <v>24</v>
      </c>
      <c r="B19" s="107"/>
      <c r="C19" s="107"/>
      <c r="D19" s="74"/>
      <c r="E19" s="9"/>
      <c r="F19" s="6"/>
      <c r="G19" s="6"/>
      <c r="H19" s="3"/>
      <c r="I19" s="3"/>
      <c r="J19" s="82"/>
      <c r="K19" s="82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8"/>
      <c r="AQ19" s="23"/>
    </row>
    <row r="20" spans="1:43" x14ac:dyDescent="0.2">
      <c r="A20" s="5" t="s">
        <v>29</v>
      </c>
      <c r="B20" s="5">
        <v>15</v>
      </c>
      <c r="C20" s="5">
        <v>9</v>
      </c>
      <c r="D20" s="2">
        <v>44440</v>
      </c>
      <c r="E20" s="2">
        <v>49461</v>
      </c>
      <c r="F20" s="3">
        <v>12000</v>
      </c>
      <c r="G20" s="3"/>
      <c r="H20" s="3"/>
      <c r="I20" s="3"/>
      <c r="J20" s="82"/>
      <c r="K20" s="82"/>
      <c r="L20" s="4"/>
      <c r="M20" s="4"/>
      <c r="N20" s="4"/>
      <c r="O20" s="4"/>
      <c r="P20" s="4"/>
      <c r="Q20" s="4" t="s">
        <v>6</v>
      </c>
      <c r="R20" s="4"/>
      <c r="S20" s="4"/>
      <c r="T20" s="4"/>
      <c r="U20" s="4">
        <f>$F20/((1+$B$126)^-(U$3-$L$3))</f>
        <v>15657.278205950934</v>
      </c>
      <c r="V20" s="4"/>
      <c r="W20" s="4"/>
      <c r="X20" s="4"/>
      <c r="Y20" s="4"/>
      <c r="Z20" s="4"/>
      <c r="AA20" s="4" t="s">
        <v>6</v>
      </c>
      <c r="AB20" s="4"/>
      <c r="AC20" s="4"/>
      <c r="AD20" s="4"/>
      <c r="AE20" s="4"/>
      <c r="AF20" s="4"/>
      <c r="AG20" s="4"/>
      <c r="AH20" s="4"/>
      <c r="AI20" s="4"/>
      <c r="AJ20" s="4">
        <f>$F20/((1+$B$126)^-(AJ$3-$L$3))</f>
        <v>24393.529277524824</v>
      </c>
      <c r="AK20" s="4"/>
      <c r="AL20" s="4"/>
      <c r="AM20" s="4"/>
      <c r="AN20" s="4"/>
      <c r="AO20" s="4"/>
      <c r="AP20" s="8" t="s">
        <v>6</v>
      </c>
      <c r="AQ20" s="23"/>
    </row>
    <row r="21" spans="1:43" x14ac:dyDescent="0.2">
      <c r="A21" s="5" t="s">
        <v>30</v>
      </c>
      <c r="B21" s="5">
        <v>25</v>
      </c>
      <c r="C21" s="5">
        <v>24</v>
      </c>
      <c r="D21" s="2">
        <v>45809</v>
      </c>
      <c r="E21" s="2">
        <v>54940</v>
      </c>
      <c r="F21" s="3">
        <v>700000</v>
      </c>
      <c r="G21" s="3">
        <v>10339</v>
      </c>
      <c r="H21" s="3">
        <f>169333+610667+46800</f>
        <v>826800</v>
      </c>
      <c r="I21" s="3">
        <v>220996</v>
      </c>
      <c r="J21" s="82"/>
      <c r="K21" s="82">
        <f>780000+46800-I21-50000</f>
        <v>555804</v>
      </c>
      <c r="L21" s="4"/>
      <c r="M21" s="4"/>
      <c r="N21" s="4"/>
      <c r="O21" s="4"/>
      <c r="P21" s="4"/>
      <c r="Q21" s="4"/>
      <c r="R21" s="4"/>
      <c r="S21" s="4"/>
      <c r="T21" s="4" t="s">
        <v>6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>
        <f>$F21/((1+$B$126)^-(AJ$3-$L$3))</f>
        <v>1422955.8745222813</v>
      </c>
      <c r="AK21" s="4"/>
      <c r="AL21" s="4"/>
      <c r="AM21" s="4"/>
      <c r="AN21" s="4"/>
      <c r="AO21" s="4"/>
      <c r="AP21" s="8" t="s">
        <v>6</v>
      </c>
      <c r="AQ21" s="23"/>
    </row>
    <row r="22" spans="1:43" ht="15" x14ac:dyDescent="0.25">
      <c r="A22" s="5" t="s">
        <v>31</v>
      </c>
      <c r="B22" s="5">
        <v>10</v>
      </c>
      <c r="C22" s="108">
        <v>6</v>
      </c>
      <c r="D22" s="2">
        <v>44774</v>
      </c>
      <c r="E22" s="2">
        <v>48366</v>
      </c>
      <c r="F22" s="3">
        <v>6700</v>
      </c>
      <c r="G22" s="3"/>
      <c r="H22" s="3"/>
      <c r="I22" s="3"/>
      <c r="J22" s="83"/>
      <c r="K22" s="83"/>
      <c r="L22" s="27"/>
      <c r="M22" s="27"/>
      <c r="N22" s="27"/>
      <c r="O22" s="28"/>
      <c r="P22" s="28"/>
      <c r="R22" s="4">
        <f>$F22/((1+$B$126)^-(R$3-$L$3))</f>
        <v>8000.1503867442989</v>
      </c>
      <c r="S22" s="28"/>
      <c r="T22" s="28"/>
      <c r="U22" s="28"/>
      <c r="V22" s="28"/>
      <c r="W22" s="28"/>
      <c r="X22" s="28"/>
      <c r="Y22" s="28"/>
      <c r="Z22" s="28"/>
      <c r="AB22" s="4">
        <f>$F22/((1+$B$126)^-(AB$3-$L$3))</f>
        <v>10751.533141961874</v>
      </c>
      <c r="AC22" s="28"/>
      <c r="AD22" s="28"/>
      <c r="AE22" s="28"/>
      <c r="AF22" s="28"/>
      <c r="AG22" s="28"/>
      <c r="AH22" s="28"/>
      <c r="AI22" s="28"/>
      <c r="AJ22" s="28"/>
      <c r="AK22" s="28"/>
      <c r="AL22" s="4">
        <f>$F22/((1+$B$126)^-(AL$3-$L$3))</f>
        <v>14449.161492543732</v>
      </c>
      <c r="AM22" s="28"/>
      <c r="AN22" s="28"/>
      <c r="AO22" s="28"/>
      <c r="AP22" s="17" t="s">
        <v>6</v>
      </c>
      <c r="AQ22" s="29"/>
    </row>
    <row r="23" spans="1:43" x14ac:dyDescent="0.2">
      <c r="A23" s="5" t="s">
        <v>32</v>
      </c>
      <c r="B23" s="108">
        <v>10</v>
      </c>
      <c r="C23" s="108">
        <v>0</v>
      </c>
      <c r="D23" s="2">
        <v>42036</v>
      </c>
      <c r="E23" s="9">
        <v>46174</v>
      </c>
      <c r="F23" s="6">
        <v>5500</v>
      </c>
      <c r="G23" s="6"/>
      <c r="H23" s="3"/>
      <c r="I23" s="3"/>
      <c r="J23" s="82">
        <v>5500</v>
      </c>
      <c r="K23" s="82">
        <v>0</v>
      </c>
      <c r="L23" s="4">
        <f>F23</f>
        <v>5500</v>
      </c>
      <c r="M23" s="4"/>
      <c r="N23" s="4"/>
      <c r="O23" s="4"/>
      <c r="P23" s="4"/>
      <c r="Q23" s="4"/>
      <c r="R23" s="4"/>
      <c r="S23" s="4"/>
      <c r="T23" s="4"/>
      <c r="V23" s="4">
        <f>$F23/((1+$B$126)^-(V$3-$L$3))</f>
        <v>7391.5400863926698</v>
      </c>
      <c r="W23" s="4"/>
      <c r="X23" s="4"/>
      <c r="Y23" s="4"/>
      <c r="Z23" s="4"/>
      <c r="AA23" s="4"/>
      <c r="AB23" s="4"/>
      <c r="AC23" s="4"/>
      <c r="AD23" s="4"/>
      <c r="AF23" s="4">
        <f>$F23/((1+$B$126)^-(AF$3-$L$3))</f>
        <v>9933.6117906817726</v>
      </c>
      <c r="AG23" s="4"/>
      <c r="AH23" s="4"/>
      <c r="AI23" s="4"/>
      <c r="AJ23" s="4"/>
      <c r="AK23" s="4"/>
      <c r="AL23" s="4"/>
      <c r="AM23" s="4"/>
      <c r="AN23" s="4"/>
      <c r="AO23" s="4"/>
      <c r="AP23" s="8"/>
      <c r="AQ23" s="23"/>
    </row>
    <row r="24" spans="1:43" x14ac:dyDescent="0.2">
      <c r="A24" s="5" t="s">
        <v>33</v>
      </c>
      <c r="B24" s="5">
        <v>10</v>
      </c>
      <c r="C24" s="108">
        <v>9</v>
      </c>
      <c r="D24" s="2">
        <v>45931</v>
      </c>
      <c r="E24" s="2">
        <v>49461</v>
      </c>
      <c r="F24" s="3">
        <v>7730</v>
      </c>
      <c r="G24" s="3"/>
      <c r="H24" s="3"/>
      <c r="I24" s="3"/>
      <c r="J24" s="82">
        <v>7500</v>
      </c>
      <c r="K24" s="82">
        <f>F24</f>
        <v>7730</v>
      </c>
      <c r="L24" s="4"/>
      <c r="M24" s="4"/>
      <c r="N24" s="4"/>
      <c r="O24" s="4"/>
      <c r="P24" s="4"/>
      <c r="T24" s="4" t="s">
        <v>6</v>
      </c>
      <c r="U24" s="4">
        <f>$F24/((1+$B$126)^-(U$3-$L$3))</f>
        <v>10085.896711000059</v>
      </c>
      <c r="W24" s="4"/>
      <c r="X24" s="4"/>
      <c r="Y24" s="4"/>
      <c r="Z24" s="4"/>
      <c r="AD24" s="4" t="s">
        <v>6</v>
      </c>
      <c r="AE24" s="4">
        <f>$F24/((1+$B$126)^-(AE$3-$L$3))</f>
        <v>13554.601790285986</v>
      </c>
      <c r="AG24" s="4"/>
      <c r="AH24" s="4"/>
      <c r="AI24" s="4"/>
      <c r="AJ24" s="4"/>
      <c r="AK24" s="4"/>
      <c r="AL24" s="4"/>
      <c r="AM24" s="4"/>
      <c r="AN24" s="4"/>
      <c r="AO24" s="4">
        <f>$F24/((1+$B$126)^-(AO$3-$L$3))</f>
        <v>18216.251361452491</v>
      </c>
      <c r="AP24" s="8" t="s">
        <v>6</v>
      </c>
      <c r="AQ24" s="23"/>
    </row>
    <row r="25" spans="1:43" ht="15" x14ac:dyDescent="0.25">
      <c r="A25" s="5" t="s">
        <v>34</v>
      </c>
      <c r="B25" s="5">
        <v>10</v>
      </c>
      <c r="C25" s="108">
        <v>8</v>
      </c>
      <c r="D25" s="2">
        <v>45536</v>
      </c>
      <c r="E25" s="2">
        <v>49096</v>
      </c>
      <c r="F25" s="3">
        <v>11800</v>
      </c>
      <c r="G25" s="3"/>
      <c r="H25" s="3">
        <v>11482</v>
      </c>
      <c r="I25" s="3">
        <v>11482</v>
      </c>
      <c r="J25" s="80" t="s">
        <v>6</v>
      </c>
      <c r="K25" s="80"/>
      <c r="L25" s="27"/>
      <c r="M25" s="27"/>
      <c r="N25" s="27"/>
      <c r="O25" s="28"/>
      <c r="P25" s="28"/>
      <c r="T25" s="4">
        <f>$F25/((1+$B$126)^-(T$3-$L$3))</f>
        <v>14947.886960373869</v>
      </c>
      <c r="U25" s="28"/>
      <c r="V25" s="28"/>
      <c r="W25" s="28"/>
      <c r="X25" s="28"/>
      <c r="Y25" s="28"/>
      <c r="Z25" s="28"/>
      <c r="AD25" s="4">
        <f>$F25/((1+$B$126)^-(AD$3-$L$3))</f>
        <v>20088.710122630859</v>
      </c>
      <c r="AE25" s="28"/>
      <c r="AF25" s="28"/>
      <c r="AG25" s="28"/>
      <c r="AH25" s="28"/>
      <c r="AI25" s="28"/>
      <c r="AJ25" s="28"/>
      <c r="AK25" s="28"/>
      <c r="AL25" s="28"/>
      <c r="AM25" s="28"/>
      <c r="AN25" s="4">
        <f>$F25/((1+$B$126)^-(AN$3-$L$3))</f>
        <v>26997.54657369967</v>
      </c>
      <c r="AO25" s="4"/>
      <c r="AP25" s="8" t="s">
        <v>6</v>
      </c>
      <c r="AQ25" s="29"/>
    </row>
    <row r="26" spans="1:43" x14ac:dyDescent="0.2">
      <c r="A26" s="5" t="s">
        <v>35</v>
      </c>
      <c r="B26" s="5">
        <v>10</v>
      </c>
      <c r="C26" s="108">
        <v>3</v>
      </c>
      <c r="D26" s="2">
        <v>43647</v>
      </c>
      <c r="E26" s="9">
        <v>47270</v>
      </c>
      <c r="F26" s="3">
        <v>6180</v>
      </c>
      <c r="G26" s="3"/>
      <c r="H26" s="3"/>
      <c r="I26" s="3"/>
      <c r="J26" s="80"/>
      <c r="K26" s="80"/>
      <c r="L26" s="28"/>
      <c r="M26" s="28"/>
      <c r="N26" s="28"/>
      <c r="O26" s="4">
        <f>$F26/((1+$B$126)^-(O$3-$L$3))</f>
        <v>6753.0528599999998</v>
      </c>
      <c r="P26" s="28"/>
      <c r="Q26" s="28"/>
      <c r="R26" s="28"/>
      <c r="S26" s="28"/>
      <c r="T26" s="28"/>
      <c r="U26" s="28"/>
      <c r="V26" s="28"/>
      <c r="W26" s="28"/>
      <c r="X26" s="28"/>
      <c r="Y26" s="4">
        <f>$F26/((1+$B$126)^-(Y$3-$L$3))</f>
        <v>9075.5383491306657</v>
      </c>
      <c r="Z26" s="28"/>
      <c r="AA26" s="28"/>
      <c r="AB26" s="28"/>
      <c r="AC26" s="28"/>
      <c r="AD26" s="28"/>
      <c r="AE26" s="28"/>
      <c r="AF26" s="28"/>
      <c r="AG26" s="28"/>
      <c r="AH26" s="28"/>
      <c r="AI26" s="4">
        <f>$F26/((1+$B$126)^-(AI$3-$L$3))</f>
        <v>12196.764638762412</v>
      </c>
      <c r="AJ26" s="28"/>
      <c r="AK26" s="28"/>
      <c r="AL26" s="28"/>
      <c r="AM26" s="28"/>
      <c r="AN26" s="28"/>
      <c r="AO26" s="28"/>
      <c r="AP26" s="39"/>
      <c r="AQ26" s="29"/>
    </row>
    <row r="27" spans="1:43" ht="15" x14ac:dyDescent="0.25">
      <c r="A27" s="5" t="s">
        <v>80</v>
      </c>
      <c r="B27" s="5">
        <v>15</v>
      </c>
      <c r="C27" s="5">
        <v>14</v>
      </c>
      <c r="D27" s="2">
        <v>45901</v>
      </c>
      <c r="E27" s="9">
        <v>51288</v>
      </c>
      <c r="F27" s="33">
        <v>102500</v>
      </c>
      <c r="G27" s="33"/>
      <c r="H27" s="3"/>
      <c r="I27" s="3"/>
      <c r="J27" s="80">
        <v>119500</v>
      </c>
      <c r="K27" s="80">
        <v>119500</v>
      </c>
      <c r="L27" s="30"/>
      <c r="M27" s="31" t="s">
        <v>6</v>
      </c>
      <c r="N27" s="30"/>
      <c r="O27" s="28"/>
      <c r="P27" s="28"/>
      <c r="Q27" s="28"/>
      <c r="R27" s="28"/>
      <c r="S27" s="28"/>
      <c r="T27" s="28"/>
      <c r="U27" s="28"/>
      <c r="V27" s="28"/>
      <c r="W27" s="28"/>
      <c r="X27" s="28" t="s">
        <v>6</v>
      </c>
      <c r="Y27" s="28"/>
      <c r="Z27" s="4">
        <f>$F27/((1+$B$126)^-(Z$3-$L$3))</f>
        <v>155040.44679764888</v>
      </c>
      <c r="AA27" s="28"/>
      <c r="AB27" s="28"/>
      <c r="AC27" s="28"/>
      <c r="AD27" s="28"/>
      <c r="AE27" s="28"/>
      <c r="AF27" s="28"/>
      <c r="AG27" s="28"/>
      <c r="AH27" s="28"/>
      <c r="AI27" s="28" t="s">
        <v>6</v>
      </c>
      <c r="AJ27" s="28"/>
      <c r="AK27" s="28"/>
      <c r="AL27" s="28"/>
      <c r="AM27" s="28"/>
      <c r="AN27" s="28"/>
      <c r="AO27" s="4">
        <f>$F27/((1+$B$126)^-(AO$3-$L$3))</f>
        <v>241547.96436596123</v>
      </c>
      <c r="AP27" s="38"/>
      <c r="AQ27" s="29"/>
    </row>
    <row r="28" spans="1:43" x14ac:dyDescent="0.2">
      <c r="A28" s="5" t="s">
        <v>36</v>
      </c>
      <c r="B28" s="5">
        <v>15</v>
      </c>
      <c r="C28" s="5">
        <v>9</v>
      </c>
      <c r="D28" s="2">
        <v>25355</v>
      </c>
      <c r="E28" s="2">
        <v>49461</v>
      </c>
      <c r="F28" s="3">
        <v>16600</v>
      </c>
      <c r="G28" s="3"/>
      <c r="H28" s="3"/>
      <c r="I28" s="3"/>
      <c r="J28" s="82"/>
      <c r="K28" s="82"/>
      <c r="L28" s="4"/>
      <c r="M28" s="4"/>
      <c r="N28" s="4"/>
      <c r="O28" s="4" t="s">
        <v>6</v>
      </c>
      <c r="P28" s="4"/>
      <c r="Q28" s="4"/>
      <c r="R28" s="4"/>
      <c r="S28" s="4"/>
      <c r="T28" s="4"/>
      <c r="U28" s="4">
        <f>$F28/((1+$B$126)^-(U$3-$L$3))</f>
        <v>21659.234851565459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>
        <f>$F28/((1+$B$126)^-(AJ$3-$L$3))</f>
        <v>33744.382167242671</v>
      </c>
      <c r="AK28" s="4"/>
      <c r="AL28" s="4"/>
      <c r="AM28" s="4"/>
      <c r="AN28" s="4"/>
      <c r="AO28" s="4"/>
      <c r="AP28" s="8" t="s">
        <v>6</v>
      </c>
      <c r="AQ28" s="23"/>
    </row>
    <row r="29" spans="1:43" x14ac:dyDescent="0.2">
      <c r="A29" s="5" t="s">
        <v>37</v>
      </c>
      <c r="B29" s="5">
        <v>10</v>
      </c>
      <c r="C29" s="5">
        <v>6</v>
      </c>
      <c r="D29" s="2">
        <v>44687</v>
      </c>
      <c r="E29" s="2">
        <v>48366</v>
      </c>
      <c r="F29" s="3">
        <v>22800</v>
      </c>
      <c r="G29" s="3"/>
      <c r="H29" s="3"/>
      <c r="I29" s="3"/>
      <c r="J29" s="82"/>
      <c r="K29" s="82"/>
      <c r="L29" s="4"/>
      <c r="M29" s="4"/>
      <c r="N29" s="4"/>
      <c r="O29" s="4"/>
      <c r="P29" s="4"/>
      <c r="Q29" s="4"/>
      <c r="R29" s="4">
        <f>$F29/((1+$B$126)^-(R$3-$L$3))</f>
        <v>27224.392360861199</v>
      </c>
      <c r="S29" s="4" t="s">
        <v>6</v>
      </c>
      <c r="T29" s="4"/>
      <c r="U29" s="4"/>
      <c r="V29" s="4"/>
      <c r="W29" s="4"/>
      <c r="X29" s="4"/>
      <c r="Y29" s="4"/>
      <c r="Z29" s="4"/>
      <c r="AA29" s="4"/>
      <c r="AB29" s="4">
        <f>$F29/((1+$B$126)^-(AB$3-$L$3))</f>
        <v>36587.306811452348</v>
      </c>
      <c r="AD29" s="4" t="s">
        <v>6</v>
      </c>
      <c r="AE29" s="4"/>
      <c r="AF29" s="4"/>
      <c r="AG29" s="4"/>
      <c r="AH29" s="4"/>
      <c r="AI29" s="4"/>
      <c r="AJ29" s="4"/>
      <c r="AK29" s="4"/>
      <c r="AL29" s="4">
        <f>$F29/((1+$B$126)^-(AL$3-$L$3))</f>
        <v>49170.280899999561</v>
      </c>
      <c r="AM29" s="4"/>
      <c r="AN29" s="4"/>
      <c r="AO29" s="4"/>
      <c r="AP29" s="8" t="s">
        <v>6</v>
      </c>
      <c r="AQ29" s="23"/>
    </row>
    <row r="30" spans="1:43" x14ac:dyDescent="0.2">
      <c r="A30" s="41" t="s">
        <v>99</v>
      </c>
      <c r="B30" s="5">
        <v>20</v>
      </c>
      <c r="C30" s="5">
        <v>19</v>
      </c>
      <c r="D30" s="2">
        <v>45992</v>
      </c>
      <c r="E30" s="2">
        <v>53114</v>
      </c>
      <c r="F30" s="3">
        <v>15000</v>
      </c>
      <c r="G30" s="3"/>
      <c r="H30" s="3"/>
      <c r="I30" s="3"/>
      <c r="J30" s="3"/>
      <c r="K30" s="82">
        <v>25000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>
        <f>$F30/((1+$B$126)^-(AE$3-$L$3))</f>
        <v>26302.590796156506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8"/>
      <c r="AQ30" s="23"/>
    </row>
    <row r="31" spans="1:43" ht="15" x14ac:dyDescent="0.25">
      <c r="A31" s="5"/>
      <c r="B31" s="5"/>
      <c r="C31" s="5"/>
      <c r="D31" s="2"/>
      <c r="E31" s="2"/>
      <c r="F31" s="6"/>
      <c r="G31" s="6"/>
      <c r="H31" s="3"/>
      <c r="I31" s="3"/>
      <c r="J31" s="83"/>
      <c r="K31" s="83"/>
      <c r="L31" s="30"/>
      <c r="M31" s="31"/>
      <c r="N31" s="30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38"/>
      <c r="AQ31" s="29"/>
    </row>
    <row r="32" spans="1:43" x14ac:dyDescent="0.2">
      <c r="J32" s="72"/>
      <c r="N32" s="1"/>
      <c r="AP32" s="1"/>
      <c r="AQ32" s="29"/>
    </row>
    <row r="33" spans="1:43" ht="15" x14ac:dyDescent="0.25">
      <c r="A33" s="26" t="s">
        <v>25</v>
      </c>
      <c r="B33" s="107"/>
      <c r="C33" s="107"/>
      <c r="D33" s="2"/>
      <c r="E33" s="9"/>
      <c r="F33" s="6"/>
      <c r="G33" s="6"/>
      <c r="H33" s="3"/>
      <c r="I33" s="3"/>
      <c r="J33" s="80"/>
      <c r="K33" s="80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7"/>
      <c r="AQ33" s="29"/>
    </row>
    <row r="34" spans="1:43" x14ac:dyDescent="0.2">
      <c r="A34" s="5" t="s">
        <v>16</v>
      </c>
      <c r="B34" s="5">
        <v>10</v>
      </c>
      <c r="C34" s="5">
        <v>4</v>
      </c>
      <c r="D34" s="2">
        <v>42887</v>
      </c>
      <c r="E34" s="2">
        <v>47635</v>
      </c>
      <c r="F34" s="3">
        <v>48900</v>
      </c>
      <c r="G34" s="3"/>
      <c r="H34" s="3"/>
      <c r="I34" s="3"/>
      <c r="L34" s="4"/>
      <c r="M34" s="4"/>
      <c r="N34" s="4"/>
      <c r="O34" s="4"/>
      <c r="P34" s="4">
        <f>$F34/((1+$B$126)^-(P$3-$L$3))</f>
        <v>55037.380808999995</v>
      </c>
      <c r="Q34" s="4"/>
      <c r="R34" s="4"/>
      <c r="S34" s="4"/>
      <c r="T34" s="4"/>
      <c r="U34" s="4"/>
      <c r="V34" s="4"/>
      <c r="W34" s="4"/>
      <c r="X34" s="4"/>
      <c r="Y34" s="4"/>
      <c r="Z34" s="4">
        <f>$F34/((1+$B$126)^-(Z$3-$L$3))</f>
        <v>73965.637545414924</v>
      </c>
      <c r="AA34" s="4"/>
      <c r="AB34" s="4"/>
      <c r="AC34" s="4"/>
      <c r="AD34" s="4"/>
      <c r="AE34" s="4"/>
      <c r="AF34" s="4"/>
      <c r="AG34" s="4"/>
      <c r="AH34" s="4"/>
      <c r="AI34" s="4"/>
      <c r="AJ34" s="4">
        <f>$F34/((1+$B$126)^-(AJ$3-$L$3))</f>
        <v>99403.631805913654</v>
      </c>
      <c r="AK34" s="4"/>
      <c r="AL34" s="4"/>
      <c r="AM34" s="4"/>
      <c r="AN34" s="4"/>
      <c r="AO34" s="4"/>
      <c r="AP34" s="8"/>
      <c r="AQ34" s="23"/>
    </row>
    <row r="35" spans="1:43" x14ac:dyDescent="0.2">
      <c r="A35" s="5" t="s">
        <v>93</v>
      </c>
      <c r="B35" s="5">
        <v>10</v>
      </c>
      <c r="C35" s="5">
        <v>9</v>
      </c>
      <c r="D35" s="2">
        <v>45962</v>
      </c>
      <c r="E35" s="2">
        <v>49461</v>
      </c>
      <c r="F35" s="3">
        <v>15525</v>
      </c>
      <c r="G35" s="3"/>
      <c r="H35" s="3"/>
      <c r="I35" s="3"/>
      <c r="J35" s="82">
        <v>8000</v>
      </c>
      <c r="K35" s="82">
        <v>15525</v>
      </c>
      <c r="L35" s="4"/>
      <c r="M35" s="4"/>
      <c r="N35" s="4"/>
      <c r="O35" s="4"/>
      <c r="P35" s="4"/>
      <c r="Q35" s="4"/>
      <c r="R35" s="4"/>
      <c r="S35" s="4"/>
      <c r="T35" s="4"/>
      <c r="U35" s="4">
        <f>$F35/((1+$B$126)^-(U$3-$L$3))</f>
        <v>20256.603678949021</v>
      </c>
      <c r="V35" s="4"/>
      <c r="W35" s="4"/>
      <c r="X35" s="4"/>
      <c r="Y35" s="4"/>
      <c r="Z35" s="4"/>
      <c r="AA35" s="4"/>
      <c r="AB35" s="4"/>
      <c r="AC35" s="4"/>
      <c r="AD35" s="4"/>
      <c r="AE35" s="4">
        <f>$F35/((1+$B$126)^-(AE$3-$L$3))</f>
        <v>27223.181474021982</v>
      </c>
      <c r="AF35" s="4"/>
      <c r="AG35" s="4"/>
      <c r="AH35" s="4"/>
      <c r="AI35" s="4"/>
      <c r="AJ35" s="4"/>
      <c r="AK35" s="4"/>
      <c r="AL35" s="4"/>
      <c r="AM35" s="4"/>
      <c r="AN35" s="4"/>
      <c r="AO35" s="4">
        <f>$F35/((1+$B$126)^-(AO$3-$L$3))</f>
        <v>36585.679480795588</v>
      </c>
      <c r="AP35" s="8"/>
      <c r="AQ35" s="23"/>
    </row>
    <row r="36" spans="1:43" x14ac:dyDescent="0.2">
      <c r="A36" s="5" t="s">
        <v>38</v>
      </c>
      <c r="B36" s="5">
        <v>30</v>
      </c>
      <c r="C36" s="5">
        <v>21</v>
      </c>
      <c r="D36" s="2">
        <v>42887</v>
      </c>
      <c r="E36" s="2">
        <v>53844</v>
      </c>
      <c r="F36" s="3">
        <v>106000</v>
      </c>
      <c r="G36" s="3"/>
      <c r="H36" s="3"/>
      <c r="I36" s="3"/>
      <c r="J36" s="82"/>
      <c r="K36" s="8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 t="s">
        <v>6</v>
      </c>
      <c r="AF36" s="4"/>
      <c r="AG36" s="4">
        <f>$F36/((1+$B$126)^-(AG$3-$L$3))</f>
        <v>197191.22460120654</v>
      </c>
      <c r="AH36" s="4"/>
      <c r="AI36" s="4"/>
      <c r="AJ36" s="4"/>
      <c r="AK36" s="4"/>
      <c r="AL36" s="4"/>
      <c r="AM36" s="4"/>
      <c r="AN36" s="4"/>
      <c r="AO36" s="4"/>
      <c r="AP36" s="8" t="s">
        <v>6</v>
      </c>
      <c r="AQ36" s="23"/>
    </row>
    <row r="37" spans="1:43" x14ac:dyDescent="0.2">
      <c r="A37" s="5" t="s">
        <v>40</v>
      </c>
      <c r="B37" s="5">
        <v>10</v>
      </c>
      <c r="C37" s="5">
        <v>4</v>
      </c>
      <c r="D37" s="2">
        <v>43983</v>
      </c>
      <c r="E37" s="2">
        <v>47635</v>
      </c>
      <c r="F37" s="3">
        <v>8030</v>
      </c>
      <c r="G37" s="3"/>
      <c r="H37" s="3"/>
      <c r="I37" s="3"/>
      <c r="J37" s="82"/>
      <c r="K37" s="82"/>
      <c r="L37" s="4"/>
      <c r="M37" s="4"/>
      <c r="N37" s="4"/>
      <c r="O37" s="4"/>
      <c r="P37" s="4">
        <f>$F37/((1+$B$126)^-(P$3-$L$3))</f>
        <v>9037.8357442999986</v>
      </c>
      <c r="Q37" s="4"/>
      <c r="R37" s="4"/>
      <c r="S37" s="4"/>
      <c r="T37" s="4" t="s">
        <v>6</v>
      </c>
      <c r="U37" s="4"/>
      <c r="V37" s="4"/>
      <c r="W37" s="4"/>
      <c r="X37" s="4"/>
      <c r="Y37" s="4"/>
      <c r="Z37" s="4">
        <f>$F37/((1+$B$126)^-(Z$3-$L$3))</f>
        <v>12146.095490586542</v>
      </c>
      <c r="AA37" s="4"/>
      <c r="AB37" s="4"/>
      <c r="AC37" s="4"/>
      <c r="AD37" s="4"/>
      <c r="AE37" s="4"/>
      <c r="AF37" s="4"/>
      <c r="AG37" s="4"/>
      <c r="AH37" s="4" t="s">
        <v>6</v>
      </c>
      <c r="AI37" s="4"/>
      <c r="AJ37" s="4">
        <f>$F37/((1+$B$126)^-(AJ$3-$L$3))</f>
        <v>16323.336674877028</v>
      </c>
      <c r="AK37" s="4"/>
      <c r="AL37" s="4"/>
      <c r="AM37" s="4"/>
      <c r="AN37" s="4"/>
      <c r="AO37" s="4"/>
      <c r="AP37" s="17"/>
      <c r="AQ37" s="23"/>
    </row>
    <row r="38" spans="1:43" x14ac:dyDescent="0.2">
      <c r="A38" s="5" t="s">
        <v>17</v>
      </c>
      <c r="B38" s="5">
        <v>40</v>
      </c>
      <c r="C38" s="5">
        <v>24</v>
      </c>
      <c r="D38" s="2" t="s">
        <v>81</v>
      </c>
      <c r="E38" s="2">
        <v>54940</v>
      </c>
      <c r="F38" s="3">
        <v>55800</v>
      </c>
      <c r="G38" s="3"/>
      <c r="H38" s="3"/>
      <c r="I38" s="3"/>
      <c r="J38" s="82"/>
      <c r="K38" s="8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>
        <f>$F38/((1+$B$126)^-(AJ$3-$L$3))</f>
        <v>113429.91114049043</v>
      </c>
      <c r="AK38" s="4"/>
      <c r="AL38" s="4"/>
      <c r="AM38" s="4"/>
      <c r="AN38" s="4"/>
      <c r="AO38" s="4"/>
      <c r="AP38" s="8"/>
      <c r="AQ38" s="23"/>
    </row>
    <row r="39" spans="1:43" x14ac:dyDescent="0.2">
      <c r="A39" s="5" t="s">
        <v>18</v>
      </c>
      <c r="B39" s="5">
        <v>30</v>
      </c>
      <c r="C39" s="5">
        <v>14</v>
      </c>
      <c r="D39" s="2" t="s">
        <v>81</v>
      </c>
      <c r="E39" s="2">
        <v>51288</v>
      </c>
      <c r="F39" s="3">
        <v>12600</v>
      </c>
      <c r="G39" s="3"/>
      <c r="H39" s="3"/>
      <c r="I39" s="3"/>
      <c r="J39" s="82"/>
      <c r="K39" s="8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>
        <f>$F39/((1+$B$126)^-(Z$3-$L$3))</f>
        <v>19058.630533174401</v>
      </c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8"/>
      <c r="AQ39" s="23"/>
    </row>
    <row r="40" spans="1:43" x14ac:dyDescent="0.2">
      <c r="A40" s="5" t="s">
        <v>19</v>
      </c>
      <c r="B40" s="5">
        <v>15</v>
      </c>
      <c r="C40" s="5">
        <v>4</v>
      </c>
      <c r="D40" s="2" t="s">
        <v>81</v>
      </c>
      <c r="E40" s="2">
        <v>47635</v>
      </c>
      <c r="F40" s="6">
        <v>5150</v>
      </c>
      <c r="G40" s="6"/>
      <c r="H40" s="3"/>
      <c r="I40" s="3"/>
      <c r="J40" s="80"/>
      <c r="K40" s="80"/>
      <c r="L40" s="28"/>
      <c r="M40" s="28"/>
      <c r="N40" s="28"/>
      <c r="O40" s="28"/>
      <c r="P40" s="4">
        <f>$F40/((1+$B$126)^-(P$3-$L$3))</f>
        <v>5796.3703714999992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4">
        <f>$F40/((1+$B$126)^-(AE$3-$L$3))</f>
        <v>9030.5561733470677</v>
      </c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17"/>
      <c r="AQ40" s="29"/>
    </row>
    <row r="41" spans="1:43" x14ac:dyDescent="0.2">
      <c r="A41" s="5" t="s">
        <v>41</v>
      </c>
      <c r="B41" s="5">
        <v>10</v>
      </c>
      <c r="C41" s="5">
        <v>4</v>
      </c>
      <c r="D41" s="2">
        <v>43983</v>
      </c>
      <c r="E41" s="2">
        <v>47635</v>
      </c>
      <c r="F41" s="3">
        <v>29250</v>
      </c>
      <c r="G41" s="3"/>
      <c r="H41" s="3"/>
      <c r="I41" s="3"/>
      <c r="J41" s="80"/>
      <c r="K41" s="80"/>
      <c r="L41" s="28"/>
      <c r="M41" s="28"/>
      <c r="N41" s="28"/>
      <c r="O41" s="28"/>
      <c r="P41" s="4">
        <f>$F41/((1+$B$126)^-(P$3-$L$3))</f>
        <v>32921.132692499996</v>
      </c>
      <c r="Q41" s="28" t="s">
        <v>6</v>
      </c>
      <c r="R41" s="28"/>
      <c r="S41" s="28"/>
      <c r="T41" s="28"/>
      <c r="U41" s="28"/>
      <c r="V41" s="28"/>
      <c r="W41" s="28"/>
      <c r="X41" s="28"/>
      <c r="Y41" s="28"/>
      <c r="Z41" s="4">
        <f>$F41/((1+$B$126)^-(Z$3-$L$3))</f>
        <v>44243.249452012002</v>
      </c>
      <c r="AA41" s="28"/>
      <c r="AB41" s="28"/>
      <c r="AC41" s="28"/>
      <c r="AD41" s="28"/>
      <c r="AE41" s="28"/>
      <c r="AF41" s="28"/>
      <c r="AG41" s="28"/>
      <c r="AH41" s="28"/>
      <c r="AI41" s="28"/>
      <c r="AJ41" s="4">
        <f>$F41/((1+$B$126)^-(AJ$3-$L$3))</f>
        <v>59459.227613966752</v>
      </c>
      <c r="AK41" s="28"/>
      <c r="AL41" s="28"/>
      <c r="AM41" s="28"/>
      <c r="AN41" s="28"/>
      <c r="AO41" s="28"/>
      <c r="AP41" s="17"/>
      <c r="AQ41" s="29"/>
    </row>
    <row r="42" spans="1:43" x14ac:dyDescent="0.2">
      <c r="A42" s="5" t="s">
        <v>69</v>
      </c>
      <c r="B42" s="5">
        <v>15</v>
      </c>
      <c r="C42" s="5">
        <v>9</v>
      </c>
      <c r="D42" s="2">
        <v>39083</v>
      </c>
      <c r="E42" s="2">
        <v>49461</v>
      </c>
      <c r="F42" s="3">
        <v>43800</v>
      </c>
      <c r="G42" s="3"/>
      <c r="H42" s="3"/>
      <c r="I42" s="3"/>
      <c r="J42" s="82"/>
      <c r="K42" s="82"/>
      <c r="L42" s="4"/>
      <c r="M42" s="4"/>
      <c r="N42" s="4"/>
      <c r="O42" s="4"/>
      <c r="P42" s="4"/>
      <c r="Q42" s="4"/>
      <c r="R42" s="4"/>
      <c r="S42" s="4"/>
      <c r="T42" s="4"/>
      <c r="U42" s="4">
        <f>$F42/((1+$B$126)^-(U$3-$L$3))</f>
        <v>57149.065451720904</v>
      </c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>
        <f>$F42/((1+$B$126)^-(AJ$3-$L$3))</f>
        <v>89036.381862965602</v>
      </c>
      <c r="AK42" s="4"/>
      <c r="AL42" s="4"/>
      <c r="AM42" s="4"/>
      <c r="AN42" s="4"/>
      <c r="AO42" s="4"/>
      <c r="AP42" s="8"/>
      <c r="AQ42" s="23"/>
    </row>
    <row r="43" spans="1:43" ht="14.25" customHeight="1" x14ac:dyDescent="0.2">
      <c r="A43" s="5" t="s">
        <v>65</v>
      </c>
      <c r="B43" s="5">
        <v>15</v>
      </c>
      <c r="C43" s="5">
        <v>4</v>
      </c>
      <c r="D43" s="2">
        <v>39083</v>
      </c>
      <c r="E43" s="2">
        <v>47635</v>
      </c>
      <c r="F43" s="3">
        <v>24500</v>
      </c>
      <c r="G43" s="3"/>
      <c r="H43" s="3"/>
      <c r="I43" s="3"/>
      <c r="J43" s="93">
        <v>10000</v>
      </c>
      <c r="K43" s="93">
        <v>10000</v>
      </c>
      <c r="L43" s="4"/>
      <c r="M43" s="4"/>
      <c r="N43" s="4"/>
      <c r="O43" s="4"/>
      <c r="P43" s="4">
        <f>$F43/((1+$B$126)^-(P$3-$L$3))</f>
        <v>27574.965844999999</v>
      </c>
      <c r="Q43" s="4"/>
      <c r="R43" s="4"/>
      <c r="S43" s="4"/>
      <c r="T43" s="4"/>
      <c r="U43" s="4" t="s">
        <v>6</v>
      </c>
      <c r="V43" s="4"/>
      <c r="W43" s="4"/>
      <c r="X43" s="4"/>
      <c r="Y43" s="4"/>
      <c r="Z43" s="4"/>
      <c r="AA43" s="4"/>
      <c r="AB43" s="4"/>
      <c r="AC43" s="4"/>
      <c r="AD43" s="4"/>
      <c r="AE43" s="4">
        <f>$F43/((1+$B$126)^-(AE$3-$L$3))</f>
        <v>42960.898300388959</v>
      </c>
      <c r="AF43" s="4"/>
      <c r="AG43" s="4"/>
      <c r="AH43" s="4"/>
      <c r="AI43" s="4" t="s">
        <v>6</v>
      </c>
      <c r="AJ43" s="4"/>
      <c r="AK43" s="4"/>
      <c r="AL43" s="4"/>
      <c r="AM43" s="4"/>
      <c r="AN43" s="4"/>
      <c r="AO43" s="4"/>
      <c r="AP43" s="8" t="s">
        <v>6</v>
      </c>
      <c r="AQ43" s="23"/>
    </row>
    <row r="44" spans="1:43" x14ac:dyDescent="0.2">
      <c r="A44" s="5" t="s">
        <v>70</v>
      </c>
      <c r="B44" s="5">
        <v>20</v>
      </c>
      <c r="C44" s="5">
        <v>12</v>
      </c>
      <c r="D44" s="2">
        <v>43252</v>
      </c>
      <c r="E44" s="2">
        <v>50557</v>
      </c>
      <c r="F44" s="3">
        <v>18000</v>
      </c>
      <c r="G44" s="3"/>
      <c r="H44" s="3"/>
      <c r="I44" s="3"/>
      <c r="J44" s="82"/>
      <c r="K44" s="8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>
        <f>$F44/((1+$B$126)^-(X$3-$L$3))</f>
        <v>25663.695963231214</v>
      </c>
      <c r="Y44" s="4"/>
      <c r="Z44" s="4"/>
      <c r="AA44" s="4"/>
      <c r="AB44" s="4"/>
      <c r="AC44" s="4" t="s">
        <v>6</v>
      </c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8"/>
      <c r="AQ44" s="23"/>
    </row>
    <row r="45" spans="1:43" x14ac:dyDescent="0.2">
      <c r="A45" s="5" t="s">
        <v>42</v>
      </c>
      <c r="B45" s="5">
        <v>20</v>
      </c>
      <c r="C45" s="5">
        <v>4</v>
      </c>
      <c r="D45" s="2">
        <v>39083</v>
      </c>
      <c r="E45" s="2">
        <v>47635</v>
      </c>
      <c r="F45" s="3">
        <v>14400</v>
      </c>
      <c r="G45" s="3"/>
      <c r="H45" s="3"/>
      <c r="I45" s="3"/>
      <c r="J45" s="82" t="s">
        <v>6</v>
      </c>
      <c r="K45" s="82"/>
      <c r="L45" s="4"/>
      <c r="M45" s="4"/>
      <c r="N45" s="4"/>
      <c r="O45" s="4"/>
      <c r="P45" s="4">
        <f>$F45/((1+$B$126)^-(P$3-$L$3))</f>
        <v>16207.326863999999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>
        <f>$F45/((1+$B$126)^-(AJ$3-$L$3))</f>
        <v>29272.235133029786</v>
      </c>
      <c r="AK45" s="4"/>
      <c r="AL45" s="4"/>
      <c r="AM45" s="4"/>
      <c r="AN45" s="4"/>
      <c r="AO45" s="4"/>
      <c r="AP45" s="8" t="s">
        <v>6</v>
      </c>
      <c r="AQ45" s="23"/>
    </row>
    <row r="46" spans="1:43" x14ac:dyDescent="0.2">
      <c r="A46" s="5" t="s">
        <v>71</v>
      </c>
      <c r="B46" s="5">
        <v>20</v>
      </c>
      <c r="C46" s="5">
        <v>14</v>
      </c>
      <c r="D46" s="2">
        <v>43983</v>
      </c>
      <c r="E46" s="2">
        <v>51288</v>
      </c>
      <c r="F46" s="6">
        <v>7730</v>
      </c>
      <c r="G46" s="6"/>
      <c r="H46" s="3"/>
      <c r="I46" s="3"/>
      <c r="J46" s="80"/>
      <c r="K46" s="80"/>
      <c r="L46" s="28"/>
      <c r="M46" s="28"/>
      <c r="N46" s="28"/>
      <c r="O46" s="28"/>
      <c r="P46" s="28"/>
      <c r="Q46" s="28"/>
      <c r="R46" s="28"/>
      <c r="S46" s="28"/>
      <c r="T46" s="28" t="s">
        <v>6</v>
      </c>
      <c r="U46" s="28"/>
      <c r="V46" s="28"/>
      <c r="W46" s="28"/>
      <c r="X46" s="28"/>
      <c r="Y46" s="28"/>
      <c r="Z46" s="4">
        <f>$F46/((1+$B$126)^-(Z$3-$L$3))</f>
        <v>11692.318573130009</v>
      </c>
      <c r="AA46" s="28"/>
      <c r="AB46" s="28"/>
      <c r="AC46" s="28"/>
      <c r="AD46" s="28"/>
      <c r="AE46" s="28"/>
      <c r="AF46" s="28"/>
      <c r="AG46" s="28"/>
      <c r="AH46" s="28" t="s">
        <v>6</v>
      </c>
      <c r="AI46" s="28"/>
      <c r="AJ46" s="28"/>
      <c r="AK46" s="28"/>
      <c r="AL46" s="28"/>
      <c r="AM46" s="28"/>
      <c r="AN46" s="28"/>
      <c r="AO46" s="28"/>
      <c r="AP46" s="17"/>
      <c r="AQ46" s="29"/>
    </row>
    <row r="47" spans="1:43" x14ac:dyDescent="0.2">
      <c r="A47" s="5" t="s">
        <v>20</v>
      </c>
      <c r="B47" s="5">
        <v>20</v>
      </c>
      <c r="C47" s="5">
        <v>7</v>
      </c>
      <c r="D47" s="2" t="s">
        <v>81</v>
      </c>
      <c r="E47" s="2">
        <v>48731</v>
      </c>
      <c r="F47" s="3">
        <v>30900</v>
      </c>
      <c r="G47" s="3"/>
      <c r="H47" s="3"/>
      <c r="I47" s="3"/>
      <c r="J47" s="82"/>
      <c r="K47" s="82"/>
      <c r="L47" s="4"/>
      <c r="M47" s="4"/>
      <c r="N47" s="4"/>
      <c r="O47" s="4"/>
      <c r="P47" s="4"/>
      <c r="Q47" s="4"/>
      <c r="R47" s="4"/>
      <c r="S47" s="4">
        <f>$F47/((1+$B$126)^-(S$3-$L$3))</f>
        <v>38003.102441628478</v>
      </c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>
        <f>$F47/((1+$B$126)^-(AM$3-$L$3))</f>
        <v>68637.830272117804</v>
      </c>
      <c r="AN47" s="4"/>
      <c r="AO47" s="4"/>
      <c r="AP47" s="8"/>
      <c r="AQ47" s="23"/>
    </row>
    <row r="48" spans="1:43" x14ac:dyDescent="0.2">
      <c r="A48" s="5"/>
      <c r="B48" s="5"/>
      <c r="C48" s="5"/>
      <c r="D48" s="2"/>
      <c r="E48" s="2"/>
      <c r="F48" s="3"/>
      <c r="G48" s="3"/>
      <c r="H48" s="3"/>
      <c r="I48" s="3"/>
      <c r="J48" s="82"/>
      <c r="K48" s="8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8"/>
      <c r="AQ48" s="23"/>
    </row>
    <row r="49" spans="1:43" x14ac:dyDescent="0.2">
      <c r="J49" s="72"/>
    </row>
    <row r="50" spans="1:43" ht="15" x14ac:dyDescent="0.25">
      <c r="A50" s="26" t="s">
        <v>26</v>
      </c>
      <c r="J50" s="72"/>
      <c r="N50" s="1"/>
      <c r="AP50" s="1"/>
      <c r="AQ50" s="23"/>
    </row>
    <row r="51" spans="1:43" x14ac:dyDescent="0.2">
      <c r="A51" s="5" t="s">
        <v>43</v>
      </c>
      <c r="B51" s="5">
        <v>8</v>
      </c>
      <c r="C51" s="5">
        <v>3</v>
      </c>
      <c r="D51" s="2">
        <v>43282</v>
      </c>
      <c r="E51" s="2">
        <v>47270</v>
      </c>
      <c r="F51" s="6">
        <v>15500</v>
      </c>
      <c r="G51" s="6"/>
      <c r="H51" s="3">
        <v>3000</v>
      </c>
      <c r="I51" s="3"/>
      <c r="J51" s="82"/>
      <c r="K51" s="82">
        <v>1244</v>
      </c>
      <c r="L51" s="4"/>
      <c r="M51" s="4"/>
      <c r="N51" s="4" t="s">
        <v>6</v>
      </c>
      <c r="O51" s="4">
        <f>$F51/((1+$B$126)^-(O$3-$L$3))</f>
        <v>16937.268499999998</v>
      </c>
      <c r="P51" s="4"/>
      <c r="Q51" s="4"/>
      <c r="R51" s="4"/>
      <c r="S51" s="4"/>
      <c r="T51" s="4"/>
      <c r="U51" s="4"/>
      <c r="V51" s="4"/>
      <c r="W51" s="4">
        <f>$F51/((1+$B$126)^-(W$3-$L$3))</f>
        <v>21455.624996228904</v>
      </c>
      <c r="X51" s="4" t="s">
        <v>6</v>
      </c>
      <c r="Y51" s="4"/>
      <c r="Z51" s="4"/>
      <c r="AA51" s="4"/>
      <c r="AB51" s="4"/>
      <c r="AC51" s="4"/>
      <c r="AD51" s="4"/>
      <c r="AE51" s="4">
        <f>$F51/((1+$B$126)^-(AE$3-$L$3))</f>
        <v>27179.343822695057</v>
      </c>
      <c r="AF51" s="4"/>
      <c r="AG51" s="4"/>
      <c r="AH51" s="4" t="s">
        <v>6</v>
      </c>
      <c r="AI51" s="4"/>
      <c r="AJ51" s="4"/>
      <c r="AK51" s="4"/>
      <c r="AL51" s="4"/>
      <c r="AM51" s="4">
        <f>$F51/((1+$B$126)^-(AM$3-$L$3))</f>
        <v>34429.979586337409</v>
      </c>
      <c r="AN51" s="4"/>
      <c r="AO51" s="4"/>
      <c r="AP51" s="8" t="s">
        <v>6</v>
      </c>
      <c r="AQ51" s="23"/>
    </row>
    <row r="52" spans="1:43" ht="14.25" customHeight="1" x14ac:dyDescent="0.2">
      <c r="A52" s="5" t="s">
        <v>44</v>
      </c>
      <c r="B52" s="5">
        <v>30</v>
      </c>
      <c r="C52" s="5">
        <v>27</v>
      </c>
      <c r="D52" s="2">
        <v>45200</v>
      </c>
      <c r="E52" s="2">
        <v>56036</v>
      </c>
      <c r="F52" s="3">
        <v>29400</v>
      </c>
      <c r="G52" s="3">
        <v>27033</v>
      </c>
      <c r="H52" s="3"/>
      <c r="I52" s="3"/>
      <c r="J52" s="82"/>
      <c r="K52" s="8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 t="s">
        <v>6</v>
      </c>
      <c r="AI52" s="4"/>
      <c r="AJ52" s="4"/>
      <c r="AK52" s="4"/>
      <c r="AL52" s="4"/>
      <c r="AM52" s="4">
        <f>$F52/((1+$B$126)^-(AM$3-$L$3))</f>
        <v>65305.896763762576</v>
      </c>
      <c r="AN52" s="4"/>
      <c r="AO52" s="4"/>
      <c r="AP52" s="8"/>
      <c r="AQ52" s="23"/>
    </row>
    <row r="53" spans="1:43" x14ac:dyDescent="0.2">
      <c r="A53" s="5" t="s">
        <v>45</v>
      </c>
      <c r="B53" s="5">
        <v>20</v>
      </c>
      <c r="C53" s="5">
        <v>9</v>
      </c>
      <c r="D53" s="2" t="s">
        <v>81</v>
      </c>
      <c r="E53" s="2">
        <v>49461</v>
      </c>
      <c r="F53" s="33">
        <v>7930</v>
      </c>
      <c r="G53" s="33"/>
      <c r="H53" s="3"/>
      <c r="I53" s="3"/>
      <c r="J53" s="82"/>
      <c r="K53" s="82"/>
      <c r="L53" s="4"/>
      <c r="M53" s="4"/>
      <c r="N53" s="4"/>
      <c r="O53" s="4"/>
      <c r="P53" s="4"/>
      <c r="Q53" s="4"/>
      <c r="R53" s="4"/>
      <c r="S53" s="4"/>
      <c r="T53" s="4"/>
      <c r="U53" s="4">
        <f>$F53/((1+$B$126)^-(U$3-$L$3))</f>
        <v>10346.851347765909</v>
      </c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>
        <f>$F53/((1+$B$126)^-(AO$3-$L$3))</f>
        <v>18687.564462654365</v>
      </c>
      <c r="AP53" s="8"/>
      <c r="AQ53" s="23"/>
    </row>
    <row r="54" spans="1:43" x14ac:dyDescent="0.2">
      <c r="A54" s="5" t="s">
        <v>46</v>
      </c>
      <c r="B54" s="5">
        <v>12</v>
      </c>
      <c r="C54" s="5">
        <v>9</v>
      </c>
      <c r="D54" s="2">
        <v>45017</v>
      </c>
      <c r="E54" s="2">
        <v>49461</v>
      </c>
      <c r="F54" s="33">
        <v>36100</v>
      </c>
      <c r="G54" s="33">
        <v>20188</v>
      </c>
      <c r="H54" s="3"/>
      <c r="I54" s="3"/>
      <c r="J54" s="82"/>
      <c r="K54" s="82"/>
      <c r="L54" s="4"/>
      <c r="M54" s="4"/>
      <c r="N54" s="4"/>
      <c r="O54" s="4"/>
      <c r="P54" s="4"/>
      <c r="Q54" s="4"/>
      <c r="R54" s="4"/>
      <c r="S54" s="4"/>
      <c r="T54" s="4"/>
      <c r="U54" s="4">
        <f>$F54/((1+$B$126)^-(U$3-$L$3))</f>
        <v>47102.311936235725</v>
      </c>
      <c r="W54" s="4" t="s">
        <v>6</v>
      </c>
      <c r="X54" s="4"/>
      <c r="Y54" s="4"/>
      <c r="Z54" s="4"/>
      <c r="AA54" s="4"/>
      <c r="AB54" s="4"/>
      <c r="AC54" s="4"/>
      <c r="AD54" s="4"/>
      <c r="AE54" s="4"/>
      <c r="AF54" s="4"/>
      <c r="AG54" s="4">
        <f>$F54/((1+$B$126)^-(AG$3-$L$3))</f>
        <v>67156.634038712786</v>
      </c>
      <c r="AH54" s="4"/>
      <c r="AI54" s="4"/>
      <c r="AJ54" s="4"/>
      <c r="AK54" s="4"/>
      <c r="AL54" s="4"/>
      <c r="AM54" s="4"/>
      <c r="AN54" s="4"/>
      <c r="AO54" s="4"/>
      <c r="AP54" s="8" t="s">
        <v>6</v>
      </c>
      <c r="AQ54" s="23"/>
    </row>
    <row r="55" spans="1:43" x14ac:dyDescent="0.2">
      <c r="A55" s="5" t="s">
        <v>72</v>
      </c>
      <c r="B55" s="5">
        <v>8</v>
      </c>
      <c r="C55" s="5">
        <v>0</v>
      </c>
      <c r="D55" s="2">
        <v>42339</v>
      </c>
      <c r="E55" s="2">
        <v>46174</v>
      </c>
      <c r="F55" s="3">
        <v>6950</v>
      </c>
      <c r="G55" s="3"/>
      <c r="H55" s="3"/>
      <c r="I55" s="3"/>
      <c r="J55" s="82">
        <v>6750</v>
      </c>
      <c r="K55" s="82">
        <v>0</v>
      </c>
      <c r="L55" s="4">
        <f>F55</f>
        <v>6950</v>
      </c>
      <c r="M55" s="4"/>
      <c r="N55" s="4"/>
      <c r="O55" s="4"/>
      <c r="P55" s="4"/>
      <c r="Q55" s="4"/>
      <c r="R55" s="4" t="s">
        <v>6</v>
      </c>
      <c r="S55" s="4"/>
      <c r="T55" s="4">
        <f>$F55/((1+$B$126)^-(T$3-$L$3))</f>
        <v>8804.0520656439312</v>
      </c>
      <c r="U55" s="4"/>
      <c r="V55" s="4"/>
      <c r="W55" s="4" t="s">
        <v>6</v>
      </c>
      <c r="X55" s="4"/>
      <c r="Y55" s="4"/>
      <c r="Z55" s="4"/>
      <c r="AA55" s="4"/>
      <c r="AB55" s="4">
        <f>$F55/((1+$B$126)^-(AB$3-$L$3))</f>
        <v>11152.709751736571</v>
      </c>
      <c r="AC55" s="4"/>
      <c r="AD55" s="4"/>
      <c r="AE55" s="4"/>
      <c r="AF55" s="4"/>
      <c r="AG55" s="4"/>
      <c r="AH55" s="4"/>
      <c r="AI55" s="4"/>
      <c r="AJ55" s="4">
        <f>$F55/((1+$B$126)^-(AJ$3-$L$3))</f>
        <v>14127.919039899793</v>
      </c>
      <c r="AK55" s="4"/>
      <c r="AL55" s="4"/>
      <c r="AM55" s="4"/>
      <c r="AN55" s="4"/>
      <c r="AO55" s="4"/>
      <c r="AP55" s="8" t="s">
        <v>6</v>
      </c>
      <c r="AQ55" s="23"/>
    </row>
    <row r="56" spans="1:43" x14ac:dyDescent="0.2">
      <c r="A56" s="5" t="s">
        <v>73</v>
      </c>
      <c r="B56" s="5">
        <v>5</v>
      </c>
      <c r="C56" s="5">
        <v>1</v>
      </c>
      <c r="D56" s="2">
        <v>44835</v>
      </c>
      <c r="E56" s="2">
        <v>46539</v>
      </c>
      <c r="F56" s="3">
        <v>6950</v>
      </c>
      <c r="G56" s="3"/>
      <c r="H56" s="3"/>
      <c r="I56" s="3"/>
      <c r="J56" s="82"/>
      <c r="K56" s="82"/>
      <c r="L56" s="4"/>
      <c r="M56" s="4">
        <f>$F56/((1+$B$126)^-(M$3-$L$3))</f>
        <v>7158.5</v>
      </c>
      <c r="O56" s="4"/>
      <c r="P56" s="4"/>
      <c r="Q56" s="4"/>
      <c r="R56" s="4">
        <f>$F56/((1+$B$126)^-(R$3-$L$3))</f>
        <v>8298.6634608765489</v>
      </c>
      <c r="S56" s="4" t="s">
        <v>6</v>
      </c>
      <c r="T56" s="4"/>
      <c r="U56" s="4"/>
      <c r="V56" s="4"/>
      <c r="W56" s="4">
        <f>$F56/((1+$B$126)^-(W$3-$L$3))</f>
        <v>9620.4254015348961</v>
      </c>
      <c r="X56" s="4"/>
      <c r="Y56" s="4"/>
      <c r="Z56" s="4"/>
      <c r="AA56" s="4"/>
      <c r="AB56" s="4">
        <f>$F56/((1+$B$126)^-(AB$3-$L$3))</f>
        <v>11152.709751736571</v>
      </c>
      <c r="AC56" s="4"/>
      <c r="AD56" s="4"/>
      <c r="AE56" s="4"/>
      <c r="AF56" s="4"/>
      <c r="AG56" s="4">
        <f>$F56/((1+$B$126)^-(AG$3-$L$3))</f>
        <v>12929.047273380995</v>
      </c>
      <c r="AH56" s="4"/>
      <c r="AI56" s="4"/>
      <c r="AJ56" s="4"/>
      <c r="AK56" s="4"/>
      <c r="AL56" s="4">
        <f>$F56/((1+$B$126)^-(AL$3-$L$3))</f>
        <v>14988.309309429691</v>
      </c>
      <c r="AM56" s="4"/>
      <c r="AN56" s="4"/>
      <c r="AO56" s="4"/>
      <c r="AP56" s="8" t="s">
        <v>6</v>
      </c>
      <c r="AQ56" s="23"/>
    </row>
    <row r="57" spans="1:43" x14ac:dyDescent="0.2">
      <c r="A57" s="41" t="s">
        <v>47</v>
      </c>
      <c r="B57" s="5">
        <v>10</v>
      </c>
      <c r="C57" s="5">
        <v>7</v>
      </c>
      <c r="D57" s="2">
        <v>42156</v>
      </c>
      <c r="E57" s="2">
        <v>48731</v>
      </c>
      <c r="F57" s="3">
        <v>10300</v>
      </c>
      <c r="G57" s="3">
        <v>19960</v>
      </c>
      <c r="H57" s="3"/>
      <c r="I57" s="3"/>
      <c r="J57" s="82" t="s">
        <v>6</v>
      </c>
      <c r="K57" s="82"/>
      <c r="L57" s="4"/>
      <c r="M57" s="4"/>
      <c r="N57" s="4"/>
      <c r="O57" s="4"/>
      <c r="P57" s="4"/>
      <c r="Q57" s="4"/>
      <c r="R57" s="4"/>
      <c r="S57" s="4">
        <f>$F57/((1+$B$126)^-(S$3-$L$3))</f>
        <v>12667.700813876161</v>
      </c>
      <c r="T57" s="4"/>
      <c r="U57" s="4" t="s">
        <v>6</v>
      </c>
      <c r="V57" s="4"/>
      <c r="W57" s="4"/>
      <c r="X57" s="4"/>
      <c r="Y57" s="4"/>
      <c r="Z57" s="4"/>
      <c r="AA57" s="4"/>
      <c r="AB57" s="4"/>
      <c r="AC57" s="4">
        <f>$F57/((1+$B$126)^-(AC$3-$L$3))</f>
        <v>17024.330612399033</v>
      </c>
      <c r="AD57" s="4"/>
      <c r="AE57" s="4" t="s">
        <v>6</v>
      </c>
      <c r="AF57" s="4"/>
      <c r="AG57" s="4"/>
      <c r="AH57" s="4"/>
      <c r="AI57" s="4"/>
      <c r="AJ57" s="4"/>
      <c r="AK57" s="4"/>
      <c r="AL57" s="4"/>
      <c r="AM57" s="4">
        <f>$F57/((1+$B$126)^-(AM$3-$L$3))</f>
        <v>22879.276757372601</v>
      </c>
      <c r="AN57" s="4"/>
      <c r="AO57" s="4"/>
      <c r="AP57" s="8" t="s">
        <v>6</v>
      </c>
      <c r="AQ57" s="23"/>
    </row>
    <row r="59" spans="1:43" x14ac:dyDescent="0.2">
      <c r="F59" s="35"/>
    </row>
    <row r="60" spans="1:43" x14ac:dyDescent="0.2">
      <c r="A60" s="5"/>
      <c r="AP60" s="15" t="s">
        <v>6</v>
      </c>
    </row>
    <row r="61" spans="1:43" x14ac:dyDescent="0.2">
      <c r="A61" s="5"/>
      <c r="B61" s="5"/>
      <c r="C61" s="5"/>
      <c r="D61" s="74"/>
      <c r="E61" s="2"/>
      <c r="F61" s="6"/>
      <c r="G61" s="6"/>
      <c r="H61" s="6"/>
      <c r="I61" s="3"/>
      <c r="J61" s="3"/>
      <c r="K61" s="8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8"/>
      <c r="AQ61" s="23"/>
    </row>
    <row r="62" spans="1:43" ht="15" x14ac:dyDescent="0.25">
      <c r="A62" s="55" t="s">
        <v>83</v>
      </c>
      <c r="B62" s="5"/>
      <c r="C62" s="5"/>
      <c r="D62" s="74"/>
      <c r="E62" s="2"/>
      <c r="F62" s="6"/>
      <c r="G62" s="6"/>
      <c r="H62" s="6"/>
      <c r="I62" s="3"/>
      <c r="J62" s="3"/>
      <c r="K62" s="8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8"/>
      <c r="AQ62" s="23"/>
    </row>
    <row r="63" spans="1:43" ht="15.75" thickBot="1" x14ac:dyDescent="0.3">
      <c r="A63" s="36" t="s">
        <v>1</v>
      </c>
      <c r="B63" s="5"/>
      <c r="C63" s="5"/>
      <c r="D63" s="75"/>
      <c r="E63" s="63"/>
      <c r="F63"/>
      <c r="G63" s="85">
        <f t="shared" ref="G63:AN63" si="1">SUM(G6:G61)</f>
        <v>86020</v>
      </c>
      <c r="H63" s="85">
        <f t="shared" si="1"/>
        <v>2189182</v>
      </c>
      <c r="I63" s="85">
        <f t="shared" si="1"/>
        <v>295556</v>
      </c>
      <c r="J63" s="85">
        <f t="shared" si="1"/>
        <v>187250</v>
      </c>
      <c r="K63" s="85">
        <f t="shared" si="1"/>
        <v>1829206</v>
      </c>
      <c r="L63" s="11">
        <f t="shared" si="1"/>
        <v>21950</v>
      </c>
      <c r="M63" s="11">
        <f t="shared" si="1"/>
        <v>7158.5</v>
      </c>
      <c r="N63" s="11">
        <f t="shared" si="1"/>
        <v>0</v>
      </c>
      <c r="O63" s="11">
        <f t="shared" si="1"/>
        <v>23690.321359999998</v>
      </c>
      <c r="P63" s="11">
        <f t="shared" si="1"/>
        <v>157267.34602129998</v>
      </c>
      <c r="Q63" s="11">
        <f t="shared" si="1"/>
        <v>0</v>
      </c>
      <c r="R63" s="11">
        <f t="shared" si="1"/>
        <v>43523.20620848205</v>
      </c>
      <c r="S63" s="11">
        <f t="shared" si="1"/>
        <v>268193.67433773971</v>
      </c>
      <c r="T63" s="11">
        <f t="shared" si="1"/>
        <v>35786.254799200156</v>
      </c>
      <c r="U63" s="11">
        <f t="shared" si="1"/>
        <v>229463.93597413009</v>
      </c>
      <c r="V63" s="11">
        <f t="shared" si="1"/>
        <v>7391.5400863926698</v>
      </c>
      <c r="W63" s="11">
        <f t="shared" si="1"/>
        <v>31076.0503977638</v>
      </c>
      <c r="X63" s="11">
        <f t="shared" si="1"/>
        <v>39208.424388269908</v>
      </c>
      <c r="Y63" s="11">
        <f t="shared" si="1"/>
        <v>9075.5383491306657</v>
      </c>
      <c r="Z63" s="11">
        <f t="shared" si="1"/>
        <v>316146.37839196675</v>
      </c>
      <c r="AA63" s="11">
        <f t="shared" si="1"/>
        <v>66992.598913832873</v>
      </c>
      <c r="AB63" s="11">
        <f t="shared" si="1"/>
        <v>84888.970628325857</v>
      </c>
      <c r="AC63" s="11">
        <f t="shared" si="1"/>
        <v>17024.330612399033</v>
      </c>
      <c r="AD63" s="11">
        <f t="shared" si="1"/>
        <v>20088.710122630859</v>
      </c>
      <c r="AE63" s="11">
        <f t="shared" si="1"/>
        <v>444347.2013800026</v>
      </c>
      <c r="AF63" s="11">
        <f t="shared" si="1"/>
        <v>27091.668520041196</v>
      </c>
      <c r="AG63" s="11">
        <f t="shared" si="1"/>
        <v>277276.90591330029</v>
      </c>
      <c r="AH63" s="11">
        <f t="shared" si="1"/>
        <v>0</v>
      </c>
      <c r="AI63" s="11">
        <f t="shared" si="1"/>
        <v>97060.984617206384</v>
      </c>
      <c r="AJ63" s="11">
        <f t="shared" si="1"/>
        <v>1921457.9732495656</v>
      </c>
      <c r="AK63" s="11">
        <f t="shared" si="1"/>
        <v>0</v>
      </c>
      <c r="AL63" s="11">
        <f t="shared" si="1"/>
        <v>78607.751701972986</v>
      </c>
      <c r="AM63" s="11">
        <f t="shared" si="1"/>
        <v>191252.98337959038</v>
      </c>
      <c r="AN63" s="11">
        <f t="shared" si="1"/>
        <v>48732.859493203643</v>
      </c>
      <c r="AO63" s="11">
        <f t="shared" ref="AO63" si="2">SUM(AO6:AO61)</f>
        <v>2132373.6465951754</v>
      </c>
      <c r="AP63" s="8"/>
      <c r="AQ63" s="23"/>
    </row>
    <row r="64" spans="1:43" ht="15" thickTop="1" x14ac:dyDescent="0.2">
      <c r="A64" s="5"/>
      <c r="B64" s="5"/>
      <c r="C64" s="5"/>
      <c r="D64" s="74"/>
      <c r="E64" s="63"/>
      <c r="I64" s="6"/>
      <c r="J64" s="6"/>
      <c r="K64" s="86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8"/>
      <c r="AQ64" s="23"/>
    </row>
    <row r="65" spans="1:43" x14ac:dyDescent="0.2">
      <c r="A65" s="5" t="s">
        <v>77</v>
      </c>
      <c r="B65" s="5"/>
      <c r="C65" s="5"/>
      <c r="D65" s="74"/>
      <c r="E65" s="9"/>
      <c r="G65" s="69"/>
      <c r="H65" s="69"/>
      <c r="I65" s="71"/>
      <c r="J65" s="6">
        <v>102000</v>
      </c>
      <c r="K65" s="76">
        <v>102000</v>
      </c>
      <c r="L65" s="76">
        <v>152400</v>
      </c>
      <c r="M65" s="76">
        <f t="shared" ref="M65:AO65" si="3">L65*(1+$B$126)</f>
        <v>156972</v>
      </c>
      <c r="N65" s="76">
        <f t="shared" si="3"/>
        <v>161681.16</v>
      </c>
      <c r="O65" s="76">
        <f t="shared" si="3"/>
        <v>166531.59480000002</v>
      </c>
      <c r="P65" s="76">
        <f t="shared" si="3"/>
        <v>171527.54264400003</v>
      </c>
      <c r="Q65" s="76">
        <f t="shared" si="3"/>
        <v>176673.36892332003</v>
      </c>
      <c r="R65" s="76">
        <f t="shared" si="3"/>
        <v>181973.56999101964</v>
      </c>
      <c r="S65" s="76">
        <f t="shared" si="3"/>
        <v>187432.77709075023</v>
      </c>
      <c r="T65" s="76">
        <f t="shared" si="3"/>
        <v>193055.76040347273</v>
      </c>
      <c r="U65" s="76">
        <f t="shared" si="3"/>
        <v>198847.43321557692</v>
      </c>
      <c r="V65" s="76">
        <f t="shared" si="3"/>
        <v>204812.85621204422</v>
      </c>
      <c r="W65" s="76">
        <f t="shared" si="3"/>
        <v>210957.24189840554</v>
      </c>
      <c r="X65" s="76">
        <f t="shared" si="3"/>
        <v>217285.9591553577</v>
      </c>
      <c r="Y65" s="76">
        <f t="shared" si="3"/>
        <v>223804.53793001844</v>
      </c>
      <c r="Z65" s="76">
        <f t="shared" si="3"/>
        <v>230518.674067919</v>
      </c>
      <c r="AA65" s="76">
        <f t="shared" si="3"/>
        <v>237434.23428995657</v>
      </c>
      <c r="AB65" s="76">
        <f t="shared" si="3"/>
        <v>244557.26131865528</v>
      </c>
      <c r="AC65" s="76">
        <f t="shared" si="3"/>
        <v>251893.97915821493</v>
      </c>
      <c r="AD65" s="76">
        <f t="shared" si="3"/>
        <v>259450.7985329614</v>
      </c>
      <c r="AE65" s="76">
        <f t="shared" si="3"/>
        <v>267234.32248895027</v>
      </c>
      <c r="AF65" s="76">
        <f t="shared" si="3"/>
        <v>275251.35216361878</v>
      </c>
      <c r="AG65" s="76">
        <f t="shared" si="3"/>
        <v>283508.89272852737</v>
      </c>
      <c r="AH65" s="76">
        <f t="shared" si="3"/>
        <v>292014.15951038321</v>
      </c>
      <c r="AI65" s="76">
        <f t="shared" si="3"/>
        <v>300774.58429569472</v>
      </c>
      <c r="AJ65" s="76">
        <f t="shared" si="3"/>
        <v>309797.82182456559</v>
      </c>
      <c r="AK65" s="76">
        <f t="shared" si="3"/>
        <v>319091.75647930254</v>
      </c>
      <c r="AL65" s="76">
        <f t="shared" si="3"/>
        <v>328664.50917368161</v>
      </c>
      <c r="AM65" s="76">
        <f t="shared" si="3"/>
        <v>338524.44444889209</v>
      </c>
      <c r="AN65" s="76">
        <f t="shared" si="3"/>
        <v>348680.17778235883</v>
      </c>
      <c r="AO65" s="76">
        <f t="shared" si="3"/>
        <v>359140.58311582962</v>
      </c>
      <c r="AP65" s="8"/>
      <c r="AQ65" s="23"/>
    </row>
    <row r="66" spans="1:43" x14ac:dyDescent="0.2">
      <c r="A66" s="5" t="s">
        <v>79</v>
      </c>
      <c r="B66" s="5"/>
      <c r="C66" s="5"/>
      <c r="D66" s="74"/>
      <c r="E66" s="9"/>
      <c r="G66" s="69"/>
      <c r="H66" s="69"/>
      <c r="I66" s="71"/>
      <c r="J66" s="76">
        <f>J27+J35+J43</f>
        <v>137500</v>
      </c>
      <c r="K66" s="76">
        <f>137500+619562+52453+10928+171000+13000+30000+25000+15000+10000-70000-30000-50000-100000</f>
        <v>834443</v>
      </c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8"/>
      <c r="AQ66" s="23"/>
    </row>
    <row r="67" spans="1:43" x14ac:dyDescent="0.2">
      <c r="A67" s="5" t="s">
        <v>78</v>
      </c>
      <c r="B67" s="5"/>
      <c r="C67" s="5"/>
      <c r="D67" s="74"/>
      <c r="E67" s="9"/>
      <c r="F67" s="6"/>
      <c r="G67" s="71"/>
      <c r="H67" s="71"/>
      <c r="I67" s="71"/>
      <c r="J67" s="35">
        <v>795</v>
      </c>
      <c r="K67" s="35">
        <f>K121-K111</f>
        <v>9702.1276595744675</v>
      </c>
      <c r="L67" s="35">
        <f>(K69+((L65+L66-L63)/2))*$B$128</f>
        <v>1316.5271760522257</v>
      </c>
      <c r="M67" s="35">
        <f t="shared" ref="M67:AO67" si="4">(L69+((M65+M66-M63)/2))*$B$128</f>
        <v>4171.5695131093462</v>
      </c>
      <c r="N67" s="35">
        <f t="shared" si="4"/>
        <v>7399.4294610763245</v>
      </c>
      <c r="O67" s="35">
        <f t="shared" si="4"/>
        <v>10622.076731933614</v>
      </c>
      <c r="P67" s="35">
        <f t="shared" si="4"/>
        <v>12421.972481683359</v>
      </c>
      <c r="Q67" s="35">
        <f t="shared" si="4"/>
        <v>14599.637491778609</v>
      </c>
      <c r="R67" s="35">
        <f t="shared" si="4"/>
        <v>18074.60652004246</v>
      </c>
      <c r="S67" s="35">
        <f t="shared" si="4"/>
        <v>19021.643162660996</v>
      </c>
      <c r="T67" s="35">
        <f t="shared" si="4"/>
        <v>20177.721255792825</v>
      </c>
      <c r="U67" s="35">
        <f t="shared" si="4"/>
        <v>21863.200187246097</v>
      </c>
      <c r="V67" s="35">
        <f t="shared" si="4"/>
        <v>23987.918637355393</v>
      </c>
      <c r="W67" s="35">
        <f t="shared" si="4"/>
        <v>28279.903325916566</v>
      </c>
      <c r="X67" s="35">
        <f t="shared" si="4"/>
        <v>32463.29807842799</v>
      </c>
      <c r="Y67" s="35">
        <f t="shared" si="4"/>
        <v>37082.822235086438</v>
      </c>
      <c r="Z67" s="35">
        <f t="shared" si="4"/>
        <v>39134.228339956673</v>
      </c>
      <c r="AA67" s="35">
        <f t="shared" si="4"/>
        <v>40780.084799642216</v>
      </c>
      <c r="AB67" s="35">
        <f t="shared" si="4"/>
        <v>44934.732616819827</v>
      </c>
      <c r="AC67" s="35">
        <f t="shared" si="4"/>
        <v>49823.458290105496</v>
      </c>
      <c r="AD67" s="35">
        <f t="shared" si="4"/>
        <v>55615.143720605149</v>
      </c>
      <c r="AE67" s="35">
        <f t="shared" si="4"/>
        <v>57365.929655654407</v>
      </c>
      <c r="AF67" s="35">
        <f t="shared" si="4"/>
        <v>59240.840972403756</v>
      </c>
      <c r="AG67" s="35">
        <f t="shared" si="4"/>
        <v>63003.945156938025</v>
      </c>
      <c r="AH67" s="35">
        <f t="shared" si="4"/>
        <v>67285.592344360222</v>
      </c>
      <c r="AI67" s="35">
        <f t="shared" si="4"/>
        <v>73646.681378810419</v>
      </c>
      <c r="AJ67" s="35">
        <f t="shared" si="4"/>
        <v>60923.945200024638</v>
      </c>
      <c r="AK67" s="35">
        <f t="shared" si="4"/>
        <v>49108.825666336219</v>
      </c>
      <c r="AL67" s="35">
        <f t="shared" si="4"/>
        <v>55844.003691279184</v>
      </c>
      <c r="AM67" s="35">
        <f t="shared" si="4"/>
        <v>60981.085967127736</v>
      </c>
      <c r="AN67" s="35">
        <f t="shared" si="4"/>
        <v>66725.361351141619</v>
      </c>
      <c r="AO67" s="35">
        <f t="shared" si="4"/>
        <v>53203.508026927047</v>
      </c>
      <c r="AP67" s="8"/>
      <c r="AQ67" s="23"/>
    </row>
    <row r="68" spans="1:43" x14ac:dyDescent="0.2">
      <c r="A68" s="5" t="s">
        <v>106</v>
      </c>
      <c r="B68" s="5"/>
      <c r="C68" s="5"/>
      <c r="D68" s="74"/>
      <c r="E68" s="9"/>
      <c r="F68" s="6"/>
      <c r="G68" s="71"/>
      <c r="H68" s="71"/>
      <c r="I68" s="71"/>
      <c r="J68" s="35"/>
      <c r="K68" s="35">
        <v>33600</v>
      </c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8"/>
      <c r="AQ68" s="23"/>
    </row>
    <row r="69" spans="1:43" ht="15.75" thickBot="1" x14ac:dyDescent="0.3">
      <c r="A69" s="5" t="s">
        <v>9</v>
      </c>
      <c r="B69" s="5"/>
      <c r="C69" s="5"/>
      <c r="D69" s="74"/>
      <c r="F69" s="6"/>
      <c r="G69" s="98"/>
      <c r="H69" s="98"/>
      <c r="I69" s="98"/>
      <c r="J69" s="87">
        <f>0-J63+J65+J66+J67</f>
        <v>53045</v>
      </c>
      <c r="K69" s="87">
        <f>849461-K63+K65+K66+K67+K68</f>
        <v>0.12765957447118126</v>
      </c>
      <c r="L69" s="13">
        <f>K69-L63+L65+L66+L67</f>
        <v>131766.65483562669</v>
      </c>
      <c r="M69" s="13">
        <f t="shared" ref="M69:AO69" si="5">L69-M63+M65+M66+M67</f>
        <v>285751.72434873605</v>
      </c>
      <c r="N69" s="13">
        <f t="shared" si="5"/>
        <v>454832.31380981236</v>
      </c>
      <c r="O69" s="13">
        <f t="shared" si="5"/>
        <v>608295.66398174607</v>
      </c>
      <c r="P69" s="13">
        <f t="shared" si="5"/>
        <v>634977.83308612951</v>
      </c>
      <c r="Q69" s="13">
        <f t="shared" si="5"/>
        <v>826250.83950122807</v>
      </c>
      <c r="R69" s="13">
        <f t="shared" si="5"/>
        <v>982775.80980380811</v>
      </c>
      <c r="S69" s="13">
        <f t="shared" si="5"/>
        <v>921036.55571947969</v>
      </c>
      <c r="T69" s="13">
        <f t="shared" si="5"/>
        <v>1098483.7825795452</v>
      </c>
      <c r="U69" s="13">
        <f t="shared" si="5"/>
        <v>1089730.4800082382</v>
      </c>
      <c r="V69" s="13">
        <f t="shared" si="5"/>
        <v>1311139.7147712449</v>
      </c>
      <c r="W69" s="13">
        <f t="shared" si="5"/>
        <v>1519300.8095978033</v>
      </c>
      <c r="X69" s="13">
        <f t="shared" si="5"/>
        <v>1729841.6424433191</v>
      </c>
      <c r="Y69" s="13">
        <f t="shared" si="5"/>
        <v>1981653.4642592934</v>
      </c>
      <c r="Z69" s="13">
        <f t="shared" si="5"/>
        <v>1935159.9882752022</v>
      </c>
      <c r="AA69" s="13">
        <f t="shared" si="5"/>
        <v>2146381.7084509684</v>
      </c>
      <c r="AB69" s="13">
        <f t="shared" si="5"/>
        <v>2350984.7317581177</v>
      </c>
      <c r="AC69" s="13">
        <f t="shared" si="5"/>
        <v>2635677.838594039</v>
      </c>
      <c r="AD69" s="13">
        <f t="shared" si="5"/>
        <v>2930655.0707249744</v>
      </c>
      <c r="AE69" s="13">
        <f t="shared" si="5"/>
        <v>2810908.1214895761</v>
      </c>
      <c r="AF69" s="13">
        <f t="shared" si="5"/>
        <v>3118308.6461055572</v>
      </c>
      <c r="AG69" s="13">
        <f t="shared" si="5"/>
        <v>3187544.5780777223</v>
      </c>
      <c r="AH69" s="13">
        <f t="shared" si="5"/>
        <v>3546844.3299324661</v>
      </c>
      <c r="AI69" s="13">
        <f t="shared" si="5"/>
        <v>3824204.6109897648</v>
      </c>
      <c r="AJ69" s="13">
        <f t="shared" si="5"/>
        <v>2273468.4047647896</v>
      </c>
      <c r="AK69" s="13">
        <f t="shared" si="5"/>
        <v>2641668.9869104284</v>
      </c>
      <c r="AL69" s="13">
        <f t="shared" si="5"/>
        <v>2947569.7480734163</v>
      </c>
      <c r="AM69" s="13">
        <f t="shared" si="5"/>
        <v>3155822.2951098457</v>
      </c>
      <c r="AN69" s="13">
        <f t="shared" si="5"/>
        <v>3522494.9747501425</v>
      </c>
      <c r="AO69" s="13">
        <f t="shared" si="5"/>
        <v>1802465.4192977238</v>
      </c>
      <c r="AP69" s="8"/>
      <c r="AQ69" s="23"/>
    </row>
    <row r="70" spans="1:43" ht="15" thickTop="1" x14ac:dyDescent="0.2">
      <c r="A70" s="5"/>
      <c r="B70" s="5"/>
      <c r="C70" s="5"/>
      <c r="D70" s="74"/>
      <c r="F70" s="6"/>
      <c r="G70" s="6"/>
      <c r="H70" s="6"/>
      <c r="I70" s="6"/>
      <c r="J70" s="6"/>
      <c r="K70" s="86"/>
      <c r="L70" s="35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4"/>
      <c r="AL70" s="4"/>
      <c r="AM70" s="4"/>
      <c r="AN70" s="4"/>
      <c r="AO70" s="4"/>
      <c r="AP70" s="8"/>
      <c r="AQ70" s="23"/>
    </row>
    <row r="71" spans="1:43" ht="43.5" customHeight="1" x14ac:dyDescent="0.2">
      <c r="N71" s="1"/>
      <c r="AP71" s="1"/>
      <c r="AQ71" s="23"/>
    </row>
    <row r="72" spans="1:43" ht="43.5" customHeight="1" x14ac:dyDescent="0.4">
      <c r="A72" s="56" t="s">
        <v>15</v>
      </c>
      <c r="N72" s="1"/>
      <c r="AP72" s="1"/>
      <c r="AQ72" s="23"/>
    </row>
    <row r="73" spans="1:43" ht="15" x14ac:dyDescent="0.25">
      <c r="A73" s="26" t="s">
        <v>2</v>
      </c>
      <c r="B73" s="107"/>
      <c r="C73" s="107"/>
      <c r="D73" s="2"/>
      <c r="E73" s="9"/>
      <c r="F73" s="6"/>
      <c r="G73" s="6"/>
      <c r="H73" s="6"/>
      <c r="I73" s="3"/>
      <c r="J73" s="3"/>
      <c r="K73" s="82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8"/>
    </row>
    <row r="74" spans="1:43" ht="14.25" customHeight="1" x14ac:dyDescent="0.2">
      <c r="A74" s="68" t="s">
        <v>48</v>
      </c>
      <c r="B74" s="5">
        <v>20</v>
      </c>
      <c r="C74" s="5">
        <v>19</v>
      </c>
      <c r="D74" s="2">
        <v>45931</v>
      </c>
      <c r="E74" s="2">
        <v>53114</v>
      </c>
      <c r="F74" s="6">
        <v>396000</v>
      </c>
      <c r="G74" s="6"/>
      <c r="H74" s="3">
        <f>140000+260000</f>
        <v>400000</v>
      </c>
      <c r="I74" s="3">
        <v>166387</v>
      </c>
      <c r="J74" s="82"/>
      <c r="K74" s="82">
        <f>396000+400000-I74</f>
        <v>629613</v>
      </c>
      <c r="L74" s="4"/>
      <c r="M74" s="3" t="s">
        <v>6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>
        <f>$F74/((1+$B$126)^-(AE$3-$L$3))</f>
        <v>694388.3970185318</v>
      </c>
      <c r="AF74" s="4"/>
      <c r="AG74" s="35" t="s">
        <v>6</v>
      </c>
      <c r="AH74" s="4"/>
      <c r="AI74" s="4"/>
      <c r="AJ74" s="4"/>
      <c r="AK74" s="4"/>
      <c r="AL74" s="4"/>
      <c r="AM74" s="4"/>
      <c r="AN74" s="4"/>
      <c r="AO74" s="4"/>
      <c r="AP74" s="8" t="s">
        <v>6</v>
      </c>
    </row>
    <row r="75" spans="1:43" ht="15" x14ac:dyDescent="0.25">
      <c r="A75" s="43"/>
      <c r="B75" s="5"/>
      <c r="C75" s="5"/>
      <c r="D75" s="2"/>
      <c r="E75" s="2"/>
      <c r="F75" s="6"/>
      <c r="G75" s="6"/>
      <c r="H75" s="3"/>
      <c r="I75" s="3"/>
      <c r="J75" s="82"/>
      <c r="K75" s="82"/>
      <c r="L75" s="4"/>
      <c r="M75" s="3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35"/>
      <c r="AH75" s="4"/>
      <c r="AI75" s="4"/>
      <c r="AJ75" s="4"/>
      <c r="AK75" s="4"/>
      <c r="AL75" s="4"/>
      <c r="AM75" s="4"/>
      <c r="AN75" s="4"/>
      <c r="AO75" s="4"/>
      <c r="AP75" s="8"/>
    </row>
    <row r="76" spans="1:43" ht="15" x14ac:dyDescent="0.25">
      <c r="A76" s="92" t="s">
        <v>49</v>
      </c>
      <c r="B76" s="5"/>
      <c r="C76" s="5"/>
      <c r="D76" s="2"/>
      <c r="E76" s="2"/>
      <c r="F76" s="6"/>
      <c r="G76" s="6"/>
      <c r="H76" s="3"/>
      <c r="I76" s="3"/>
      <c r="J76" s="82"/>
      <c r="K76" s="82"/>
      <c r="L76" s="4"/>
      <c r="M76" s="3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35"/>
      <c r="AH76" s="4"/>
      <c r="AI76" s="4"/>
      <c r="AJ76" s="4"/>
      <c r="AK76" s="4"/>
      <c r="AL76" s="4"/>
      <c r="AM76" s="4"/>
      <c r="AN76" s="4"/>
      <c r="AO76" s="4"/>
      <c r="AP76" s="8"/>
    </row>
    <row r="77" spans="1:43" x14ac:dyDescent="0.2">
      <c r="A77" s="5" t="s">
        <v>50</v>
      </c>
      <c r="B77" s="5">
        <v>8</v>
      </c>
      <c r="C77" s="5">
        <v>7</v>
      </c>
      <c r="D77" s="2">
        <v>45901</v>
      </c>
      <c r="E77" s="2">
        <v>48731</v>
      </c>
      <c r="F77" s="6">
        <v>70000</v>
      </c>
      <c r="G77" s="6"/>
      <c r="H77" s="3"/>
      <c r="I77" s="3">
        <v>6100</v>
      </c>
      <c r="J77" s="82">
        <v>20000</v>
      </c>
      <c r="K77" s="82">
        <f>140000+140000+33000</f>
        <v>313000</v>
      </c>
      <c r="L77" s="4"/>
      <c r="M77" s="4"/>
      <c r="N77" s="4"/>
      <c r="O77" s="4"/>
      <c r="P77" s="4"/>
      <c r="Q77" s="4"/>
      <c r="R77" s="4"/>
      <c r="S77" s="4">
        <f>$F77/((1+$B$126)^-(S$3-$L$3))</f>
        <v>86091.170579740894</v>
      </c>
      <c r="T77" s="4"/>
      <c r="U77" s="4"/>
      <c r="V77" s="4"/>
      <c r="W77" s="4"/>
      <c r="X77" s="4"/>
      <c r="Y77" s="4"/>
      <c r="Z77" s="4"/>
      <c r="AA77" s="4">
        <f>$F77/((1+$B$126)^-(AA$3-$L$3))</f>
        <v>109057.71916205352</v>
      </c>
      <c r="AB77" s="4"/>
      <c r="AC77" s="4"/>
      <c r="AD77" s="4"/>
      <c r="AE77" s="4"/>
      <c r="AF77" s="4"/>
      <c r="AG77" s="4"/>
      <c r="AH77" s="4"/>
      <c r="AI77" s="4">
        <f>$F77/((1+$B$126)^-(AI$3-$L$3))</f>
        <v>138151.05577886227</v>
      </c>
      <c r="AJ77" s="4"/>
      <c r="AK77" s="4"/>
      <c r="AL77" s="4"/>
      <c r="AM77" s="4"/>
      <c r="AN77" s="4"/>
      <c r="AO77" s="4"/>
      <c r="AP77" s="8"/>
    </row>
    <row r="78" spans="1:43" x14ac:dyDescent="0.2">
      <c r="A78" s="5" t="s">
        <v>101</v>
      </c>
      <c r="B78" s="5">
        <v>20</v>
      </c>
      <c r="C78" s="5">
        <v>19</v>
      </c>
      <c r="D78" s="2">
        <v>45962</v>
      </c>
      <c r="E78" s="2">
        <v>53114</v>
      </c>
      <c r="F78" s="6">
        <f>325000+35000</f>
        <v>360000</v>
      </c>
      <c r="G78" s="6"/>
      <c r="H78" s="3">
        <f>700000*1.06</f>
        <v>742000</v>
      </c>
      <c r="I78" s="3">
        <v>3500</v>
      </c>
      <c r="J78" s="82"/>
      <c r="K78" s="82">
        <v>433000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>
        <f>$F78/((1+$B$126)^-(AE$3-$L$3))</f>
        <v>631262.17910775612</v>
      </c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8"/>
    </row>
    <row r="79" spans="1:43" x14ac:dyDescent="0.2">
      <c r="A79" s="5"/>
      <c r="B79" s="5"/>
      <c r="C79" s="5"/>
      <c r="D79" s="2"/>
      <c r="E79" s="2"/>
      <c r="F79" s="42"/>
      <c r="G79" s="42"/>
      <c r="H79" s="3"/>
      <c r="I79" s="3"/>
      <c r="J79" s="82"/>
      <c r="K79" s="82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8"/>
    </row>
    <row r="80" spans="1:43" ht="15" x14ac:dyDescent="0.25">
      <c r="A80" s="26" t="s">
        <v>51</v>
      </c>
      <c r="B80" s="5"/>
      <c r="C80" s="5"/>
      <c r="D80" s="2"/>
      <c r="E80" s="2"/>
      <c r="F80" s="42"/>
      <c r="G80" s="42"/>
      <c r="H80" s="3"/>
      <c r="I80" s="3"/>
      <c r="J80" s="82"/>
      <c r="K80" s="82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8"/>
    </row>
    <row r="81" spans="1:42" x14ac:dyDescent="0.2">
      <c r="A81" s="5" t="s">
        <v>74</v>
      </c>
      <c r="B81" s="5">
        <v>20</v>
      </c>
      <c r="C81" s="5">
        <v>13</v>
      </c>
      <c r="D81" s="2">
        <v>38139</v>
      </c>
      <c r="E81" s="2">
        <v>50922</v>
      </c>
      <c r="F81" s="3">
        <v>70575</v>
      </c>
      <c r="G81" s="3"/>
      <c r="H81" s="3"/>
      <c r="I81" s="3"/>
      <c r="J81" s="82"/>
      <c r="K81" s="82"/>
      <c r="L81" s="4"/>
      <c r="M81" s="4"/>
      <c r="N81" s="4"/>
      <c r="O81" s="4" t="s">
        <v>6</v>
      </c>
      <c r="P81" s="4"/>
      <c r="Q81" s="4"/>
      <c r="R81" s="4"/>
      <c r="S81" s="4"/>
      <c r="T81" s="4"/>
      <c r="U81" s="4"/>
      <c r="V81" s="4"/>
      <c r="W81" s="4"/>
      <c r="X81" s="4"/>
      <c r="Y81" s="4">
        <f>$F81/((1+$B$126)^-(Y$3-$L$3))</f>
        <v>103641.76682684412</v>
      </c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8"/>
    </row>
    <row r="82" spans="1:42" x14ac:dyDescent="0.2">
      <c r="A82" s="5" t="s">
        <v>52</v>
      </c>
      <c r="B82" s="5">
        <v>40</v>
      </c>
      <c r="C82" s="5">
        <v>17</v>
      </c>
      <c r="D82" s="2">
        <v>39600</v>
      </c>
      <c r="E82" s="2">
        <v>52383</v>
      </c>
      <c r="F82" s="3">
        <v>41200</v>
      </c>
      <c r="G82" s="3"/>
      <c r="H82" s="3"/>
      <c r="I82" s="3"/>
      <c r="J82" s="82"/>
      <c r="K82" s="82" t="s">
        <v>105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>
        <f>$F82/((1+$B$126)^-(AC$3-$L$3))</f>
        <v>68097.322449596133</v>
      </c>
      <c r="AD82" s="4"/>
      <c r="AE82" s="4"/>
      <c r="AF82" s="4"/>
      <c r="AG82" s="4"/>
      <c r="AH82" s="4" t="s">
        <v>6</v>
      </c>
      <c r="AI82" s="4"/>
      <c r="AJ82" s="4"/>
      <c r="AK82" s="4"/>
      <c r="AL82" s="4"/>
      <c r="AM82" s="4"/>
      <c r="AN82" s="4"/>
      <c r="AO82" s="4"/>
      <c r="AP82" s="8"/>
    </row>
    <row r="83" spans="1:42" x14ac:dyDescent="0.2">
      <c r="A83" s="5" t="s">
        <v>61</v>
      </c>
      <c r="B83" s="5">
        <v>20</v>
      </c>
      <c r="C83" s="5">
        <v>9</v>
      </c>
      <c r="D83" s="2">
        <v>38139</v>
      </c>
      <c r="E83" s="2">
        <v>49461</v>
      </c>
      <c r="F83" s="3">
        <v>51500</v>
      </c>
      <c r="G83" s="3"/>
      <c r="H83" s="3"/>
      <c r="I83" s="3"/>
      <c r="J83" s="82"/>
      <c r="K83" s="82"/>
      <c r="L83" s="4"/>
      <c r="M83" s="4"/>
      <c r="N83" s="4"/>
      <c r="O83" s="4"/>
      <c r="P83" s="4"/>
      <c r="Q83" s="4"/>
      <c r="R83" s="4"/>
      <c r="S83" s="4"/>
      <c r="T83" s="4"/>
      <c r="U83" s="4">
        <f>$F83/((1+$B$126)^-(U$3-$L$3))</f>
        <v>67195.818967206083</v>
      </c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>
        <f>$F83/((1+$B$126)^-(AO$3-$L$3))</f>
        <v>121363.12355948295</v>
      </c>
      <c r="AP83" s="8"/>
    </row>
    <row r="84" spans="1:42" x14ac:dyDescent="0.2">
      <c r="A84" s="5"/>
      <c r="B84" s="5"/>
      <c r="C84" s="5"/>
      <c r="D84" s="2"/>
      <c r="E84" s="2"/>
      <c r="F84" s="3"/>
      <c r="G84" s="3"/>
      <c r="H84" s="3"/>
      <c r="I84" s="3"/>
      <c r="J84" s="82"/>
      <c r="K84" s="82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8"/>
    </row>
    <row r="85" spans="1:42" ht="15" x14ac:dyDescent="0.25">
      <c r="A85" s="26" t="s">
        <v>0</v>
      </c>
      <c r="B85" s="5"/>
      <c r="C85" s="5"/>
      <c r="D85" s="2"/>
      <c r="E85" s="2"/>
      <c r="F85" s="6"/>
      <c r="G85" s="6"/>
      <c r="H85" s="3"/>
      <c r="I85" s="3"/>
      <c r="J85" s="82"/>
      <c r="K85" s="82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8"/>
    </row>
    <row r="86" spans="1:42" x14ac:dyDescent="0.2">
      <c r="A86" s="5" t="s">
        <v>53</v>
      </c>
      <c r="B86" s="5">
        <v>1</v>
      </c>
      <c r="C86" s="5">
        <v>0</v>
      </c>
      <c r="D86" s="2" t="s">
        <v>82</v>
      </c>
      <c r="E86" s="2" t="s">
        <v>82</v>
      </c>
      <c r="F86" s="6">
        <v>15000</v>
      </c>
      <c r="G86" s="6">
        <v>4200</v>
      </c>
      <c r="H86" s="3">
        <v>7000</v>
      </c>
      <c r="I86" s="3">
        <v>7220</v>
      </c>
      <c r="J86" s="82">
        <v>15000</v>
      </c>
      <c r="K86" s="82">
        <f>4358+675</f>
        <v>5033</v>
      </c>
      <c r="L86" s="4">
        <f>F86</f>
        <v>15000</v>
      </c>
      <c r="M86" s="4">
        <f t="shared" ref="M86:AO86" si="6">$F86/((1+$B$126)^-(M$3-$L$3))</f>
        <v>15450</v>
      </c>
      <c r="N86" s="4">
        <f t="shared" si="6"/>
        <v>15913.5</v>
      </c>
      <c r="O86" s="4">
        <f t="shared" si="6"/>
        <v>16390.904999999999</v>
      </c>
      <c r="P86" s="4">
        <f t="shared" si="6"/>
        <v>16882.632149999998</v>
      </c>
      <c r="Q86" s="4">
        <f t="shared" si="6"/>
        <v>17389.111114499996</v>
      </c>
      <c r="R86" s="4">
        <f t="shared" si="6"/>
        <v>17910.784447934999</v>
      </c>
      <c r="S86" s="4">
        <f t="shared" si="6"/>
        <v>18448.10798137305</v>
      </c>
      <c r="T86" s="4">
        <f t="shared" si="6"/>
        <v>19001.551220814239</v>
      </c>
      <c r="U86" s="4">
        <f t="shared" si="6"/>
        <v>19571.597757438667</v>
      </c>
      <c r="V86" s="4">
        <f t="shared" si="6"/>
        <v>20158.745690161828</v>
      </c>
      <c r="W86" s="4">
        <f t="shared" si="6"/>
        <v>20763.508060866683</v>
      </c>
      <c r="X86" s="4">
        <f t="shared" si="6"/>
        <v>21386.413302692679</v>
      </c>
      <c r="Y86" s="4">
        <f t="shared" si="6"/>
        <v>22028.005701773458</v>
      </c>
      <c r="Z86" s="4">
        <f t="shared" si="6"/>
        <v>22688.845872826667</v>
      </c>
      <c r="AA86" s="4">
        <f t="shared" si="6"/>
        <v>23369.511249011466</v>
      </c>
      <c r="AB86" s="4">
        <f t="shared" si="6"/>
        <v>24070.596586481806</v>
      </c>
      <c r="AC86" s="4">
        <f t="shared" si="6"/>
        <v>24792.714484076259</v>
      </c>
      <c r="AD86" s="4">
        <f t="shared" si="6"/>
        <v>25536.49591859855</v>
      </c>
      <c r="AE86" s="4">
        <f t="shared" si="6"/>
        <v>26302.590796156506</v>
      </c>
      <c r="AF86" s="4">
        <f t="shared" si="6"/>
        <v>27091.668520041199</v>
      </c>
      <c r="AG86" s="4">
        <f t="shared" si="6"/>
        <v>27904.418575642434</v>
      </c>
      <c r="AH86" s="4">
        <f t="shared" si="6"/>
        <v>28741.551132911707</v>
      </c>
      <c r="AI86" s="4">
        <f t="shared" si="6"/>
        <v>29603.79766689906</v>
      </c>
      <c r="AJ86" s="4">
        <f t="shared" si="6"/>
        <v>30491.911596906029</v>
      </c>
      <c r="AK86" s="4">
        <f t="shared" si="6"/>
        <v>31406.668944813209</v>
      </c>
      <c r="AL86" s="4">
        <f t="shared" si="6"/>
        <v>32348.869013157608</v>
      </c>
      <c r="AM86" s="4">
        <f t="shared" si="6"/>
        <v>33319.335083552331</v>
      </c>
      <c r="AN86" s="4">
        <f t="shared" si="6"/>
        <v>34318.915136058902</v>
      </c>
      <c r="AO86" s="4">
        <f t="shared" si="6"/>
        <v>35348.482590140666</v>
      </c>
      <c r="AP86" s="8"/>
    </row>
    <row r="87" spans="1:42" x14ac:dyDescent="0.2">
      <c r="A87" s="5" t="s">
        <v>54</v>
      </c>
      <c r="B87" s="5">
        <v>10</v>
      </c>
      <c r="C87" s="5">
        <v>9</v>
      </c>
      <c r="D87" s="2">
        <v>45962</v>
      </c>
      <c r="E87" s="2">
        <v>49461</v>
      </c>
      <c r="F87" s="6">
        <v>21500</v>
      </c>
      <c r="G87" s="6"/>
      <c r="H87" s="3">
        <v>21500</v>
      </c>
      <c r="I87" s="3"/>
      <c r="J87" s="82"/>
      <c r="K87" s="82">
        <v>21500</v>
      </c>
      <c r="L87" s="4"/>
      <c r="M87" s="4"/>
      <c r="N87" s="4"/>
      <c r="O87" s="4"/>
      <c r="P87" s="4"/>
      <c r="Q87" s="4"/>
      <c r="R87" s="4"/>
      <c r="S87" s="4"/>
      <c r="T87" s="4"/>
      <c r="U87" s="4">
        <f>$F87/((1+$B$126)^-(U$3-$L$3))</f>
        <v>28052.623452328757</v>
      </c>
      <c r="V87" s="4"/>
      <c r="W87" s="4"/>
      <c r="X87" s="4"/>
      <c r="Y87" s="4"/>
      <c r="Z87" s="4"/>
      <c r="AA87" s="4"/>
      <c r="AB87" s="4"/>
      <c r="AC87" s="4"/>
      <c r="AD87" s="4"/>
      <c r="AE87" s="4">
        <f>$F87/((1+$B$126)^-(AE$3-$L$3))</f>
        <v>37700.380141157657</v>
      </c>
      <c r="AF87" s="4"/>
      <c r="AG87" s="4"/>
      <c r="AH87" s="4"/>
      <c r="AI87" s="4"/>
      <c r="AJ87" s="4"/>
      <c r="AK87" s="4"/>
      <c r="AL87" s="4"/>
      <c r="AM87" s="4"/>
      <c r="AN87" s="4"/>
      <c r="AO87" s="4">
        <f>$F87/((1+$B$126)^-(AO$3-$L$3))</f>
        <v>50666.158379201624</v>
      </c>
      <c r="AP87" s="8"/>
    </row>
    <row r="88" spans="1:42" x14ac:dyDescent="0.2">
      <c r="A88" s="5" t="s">
        <v>62</v>
      </c>
      <c r="B88" s="5">
        <v>5</v>
      </c>
      <c r="C88" s="5">
        <v>4</v>
      </c>
      <c r="D88" s="2">
        <v>45962</v>
      </c>
      <c r="E88" s="2">
        <v>47635</v>
      </c>
      <c r="F88" s="6">
        <v>21500</v>
      </c>
      <c r="G88" s="6"/>
      <c r="H88" s="3">
        <v>21500</v>
      </c>
      <c r="I88" s="3"/>
      <c r="J88" s="82"/>
      <c r="K88" s="82">
        <v>21500</v>
      </c>
      <c r="L88" s="4"/>
      <c r="M88" s="4"/>
      <c r="O88" s="4"/>
      <c r="P88" s="4">
        <f>$F88/((1+$B$126)^-(P$3-$L$3))</f>
        <v>24198.439414999997</v>
      </c>
      <c r="Q88" s="4"/>
      <c r="R88" s="4"/>
      <c r="T88" s="4"/>
      <c r="U88" s="4">
        <f>$F88/((1+$B$126)^-(U$3-$L$3))</f>
        <v>28052.623452328757</v>
      </c>
      <c r="V88" s="4"/>
      <c r="W88" s="4"/>
      <c r="Y88" s="4"/>
      <c r="Z88" s="4">
        <f>$F88/((1+$B$126)^-(Z$3-$L$3))</f>
        <v>32520.679084384887</v>
      </c>
      <c r="AA88" s="4"/>
      <c r="AB88" s="4"/>
      <c r="AD88" s="4"/>
      <c r="AE88" s="4">
        <f>$F88/((1+$B$126)^-(AE$3-$L$3))</f>
        <v>37700.380141157657</v>
      </c>
      <c r="AF88" s="4"/>
      <c r="AG88" s="4"/>
      <c r="AI88" s="4"/>
      <c r="AJ88" s="4">
        <f>$F88/((1+$B$126)^-(AJ$3-$L$3))</f>
        <v>43705.073288898639</v>
      </c>
      <c r="AK88" s="4"/>
      <c r="AL88" s="4"/>
      <c r="AM88" s="4"/>
      <c r="AN88" s="4"/>
      <c r="AO88" s="4">
        <f>$F88/((1+$B$126)^-(AO$3-$L$3))</f>
        <v>50666.158379201624</v>
      </c>
      <c r="AP88" s="8" t="s">
        <v>6</v>
      </c>
    </row>
    <row r="89" spans="1:42" x14ac:dyDescent="0.2">
      <c r="A89" s="5"/>
      <c r="B89" s="5"/>
      <c r="C89" s="5"/>
      <c r="D89" s="2"/>
      <c r="E89" s="2"/>
      <c r="F89" s="6"/>
      <c r="G89" s="6"/>
      <c r="H89" s="3"/>
      <c r="I89" s="3"/>
      <c r="J89" s="82"/>
      <c r="K89" s="82"/>
      <c r="L89" s="4"/>
      <c r="M89" s="4"/>
      <c r="O89" s="3"/>
      <c r="P89" s="4"/>
      <c r="Q89" s="4"/>
      <c r="R89" s="4"/>
      <c r="T89" s="4"/>
      <c r="U89" s="4"/>
      <c r="V89" s="4"/>
      <c r="W89" s="4"/>
      <c r="Y89" s="4"/>
      <c r="Z89" s="4"/>
      <c r="AA89" s="4"/>
      <c r="AB89" s="4"/>
      <c r="AD89" s="4"/>
      <c r="AE89" s="4"/>
      <c r="AF89" s="4"/>
      <c r="AG89" s="4"/>
      <c r="AI89" s="4"/>
      <c r="AJ89" s="4"/>
      <c r="AK89" s="4"/>
      <c r="AL89" s="4"/>
      <c r="AM89" s="4"/>
      <c r="AN89" s="4"/>
      <c r="AO89" s="4"/>
      <c r="AP89" s="8"/>
    </row>
    <row r="90" spans="1:42" ht="15" x14ac:dyDescent="0.25">
      <c r="A90" s="26" t="s">
        <v>55</v>
      </c>
      <c r="B90" s="5"/>
      <c r="C90" s="5"/>
      <c r="D90" s="2"/>
      <c r="E90" s="2"/>
      <c r="F90" s="6"/>
      <c r="G90" s="6"/>
      <c r="H90" s="3"/>
      <c r="I90" s="3"/>
      <c r="J90" s="82"/>
      <c r="K90" s="82"/>
      <c r="L90" s="4"/>
      <c r="M90" s="4"/>
      <c r="O90" s="3"/>
      <c r="P90" s="4"/>
      <c r="Q90" s="4"/>
      <c r="R90" s="4"/>
      <c r="T90" s="4"/>
      <c r="U90" s="4"/>
      <c r="V90" s="4"/>
      <c r="W90" s="4"/>
      <c r="Y90" s="4"/>
      <c r="Z90" s="4"/>
      <c r="AA90" s="4"/>
      <c r="AB90" s="4"/>
      <c r="AD90" s="4"/>
      <c r="AE90" s="4"/>
      <c r="AF90" s="4"/>
      <c r="AG90" s="4"/>
      <c r="AI90" s="4"/>
      <c r="AJ90" s="4"/>
      <c r="AK90" s="4"/>
      <c r="AL90" s="4"/>
      <c r="AM90" s="4"/>
      <c r="AN90" s="4"/>
      <c r="AO90" s="4"/>
      <c r="AP90" s="8"/>
    </row>
    <row r="91" spans="1:42" x14ac:dyDescent="0.2">
      <c r="A91" s="5" t="s">
        <v>56</v>
      </c>
      <c r="B91" s="5">
        <v>20</v>
      </c>
      <c r="C91" s="5">
        <v>19</v>
      </c>
      <c r="D91" s="2">
        <v>38657</v>
      </c>
      <c r="E91" s="2">
        <v>53114</v>
      </c>
      <c r="F91" s="3">
        <v>130000</v>
      </c>
      <c r="G91" s="3"/>
      <c r="H91" s="3"/>
      <c r="I91" s="3"/>
      <c r="J91" s="82">
        <v>130000</v>
      </c>
      <c r="K91" s="82">
        <v>130000</v>
      </c>
      <c r="L91" s="4"/>
      <c r="M91" s="4"/>
      <c r="N91" s="4"/>
      <c r="O91" s="4"/>
      <c r="P91" s="4"/>
      <c r="Q91" s="4" t="s">
        <v>6</v>
      </c>
      <c r="R91" s="4"/>
      <c r="S91" s="4"/>
      <c r="T91" s="4"/>
      <c r="U91" s="4" t="s">
        <v>6</v>
      </c>
      <c r="V91" s="4"/>
      <c r="W91" s="4"/>
      <c r="X91" s="4"/>
      <c r="Y91" s="4"/>
      <c r="Z91" s="4"/>
      <c r="AA91" s="4"/>
      <c r="AB91" s="4"/>
      <c r="AC91" s="4"/>
      <c r="AD91" s="4"/>
      <c r="AE91" s="4">
        <f>$F91/((1+$B$126)^-(AE$3-$L$3))</f>
        <v>227955.78690002306</v>
      </c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8"/>
    </row>
    <row r="92" spans="1:42" x14ac:dyDescent="0.2">
      <c r="A92" s="5" t="s">
        <v>12</v>
      </c>
      <c r="B92" s="5">
        <v>50</v>
      </c>
      <c r="C92" s="5">
        <v>5</v>
      </c>
      <c r="D92" s="2" t="s">
        <v>11</v>
      </c>
      <c r="E92" s="2">
        <v>48000</v>
      </c>
      <c r="F92" s="33">
        <v>124000</v>
      </c>
      <c r="G92" s="33"/>
      <c r="H92" s="3"/>
      <c r="I92" s="3"/>
      <c r="J92" s="82"/>
      <c r="K92" s="82"/>
      <c r="L92" s="3"/>
      <c r="M92" s="3"/>
      <c r="N92" s="3"/>
      <c r="O92" s="3"/>
      <c r="P92" s="3"/>
      <c r="Q92" s="4">
        <f>$F92/((1+$B$126)^-(Q$3-$L$3))</f>
        <v>143749.98521319998</v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8"/>
    </row>
    <row r="93" spans="1:42" x14ac:dyDescent="0.2">
      <c r="J93" s="72"/>
      <c r="N93" s="1"/>
      <c r="AP93" s="1"/>
    </row>
    <row r="94" spans="1:42" ht="19.5" customHeight="1" x14ac:dyDescent="0.25">
      <c r="A94" s="26" t="s">
        <v>57</v>
      </c>
      <c r="B94" s="5"/>
      <c r="C94" s="5"/>
      <c r="D94" s="2"/>
      <c r="E94" s="2"/>
      <c r="F94" s="6"/>
      <c r="G94" s="6"/>
      <c r="H94" s="3"/>
      <c r="I94" s="3"/>
      <c r="J94" s="82"/>
      <c r="K94" s="82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8"/>
    </row>
    <row r="95" spans="1:42" ht="15" x14ac:dyDescent="0.25">
      <c r="A95" s="5" t="s">
        <v>58</v>
      </c>
      <c r="B95" s="5">
        <v>8</v>
      </c>
      <c r="C95" s="5">
        <v>7</v>
      </c>
      <c r="D95" s="2">
        <v>45901</v>
      </c>
      <c r="E95" s="2">
        <v>48731</v>
      </c>
      <c r="F95" s="6">
        <v>166000</v>
      </c>
      <c r="G95" s="6"/>
      <c r="H95" s="3"/>
      <c r="I95" s="3"/>
      <c r="J95" s="86">
        <v>125000</v>
      </c>
      <c r="K95" s="86">
        <v>156000</v>
      </c>
      <c r="L95" s="4"/>
      <c r="M95" s="34"/>
      <c r="N95" s="4"/>
      <c r="O95" s="4"/>
      <c r="P95" s="4"/>
      <c r="Q95" s="4"/>
      <c r="R95" s="4" t="s">
        <v>6</v>
      </c>
      <c r="S95" s="4">
        <f>$F95/((1+$B$126)^-(S$3-$L$3))</f>
        <v>204159.06166052842</v>
      </c>
      <c r="T95" s="4"/>
      <c r="U95" s="4"/>
      <c r="V95" s="4"/>
      <c r="W95" s="4"/>
      <c r="X95" s="4"/>
      <c r="Y95" s="4"/>
      <c r="Z95" s="4" t="s">
        <v>6</v>
      </c>
      <c r="AA95" s="4">
        <f>$F95/((1+$B$126)^-(AA$3-$L$3))</f>
        <v>258622.5911557269</v>
      </c>
      <c r="AB95" s="4"/>
      <c r="AC95" s="4"/>
      <c r="AD95" s="4"/>
      <c r="AE95" s="4"/>
      <c r="AF95" s="4"/>
      <c r="AG95" s="4"/>
      <c r="AH95" s="4" t="s">
        <v>6</v>
      </c>
      <c r="AI95" s="4">
        <f>$F95/((1+$B$126)^-(AI$3-$L$3))</f>
        <v>327615.36084701627</v>
      </c>
      <c r="AJ95" s="4"/>
      <c r="AK95" s="4"/>
      <c r="AL95" s="4"/>
      <c r="AM95" s="4"/>
      <c r="AN95" s="4"/>
      <c r="AO95" s="4"/>
      <c r="AP95" s="8"/>
    </row>
    <row r="96" spans="1:42" ht="15" x14ac:dyDescent="0.25">
      <c r="A96" s="5"/>
      <c r="B96" s="5"/>
      <c r="C96" s="5"/>
      <c r="D96" s="2"/>
      <c r="E96" s="2"/>
      <c r="F96" s="6"/>
      <c r="G96" s="6"/>
      <c r="H96" s="3"/>
      <c r="I96" s="3"/>
      <c r="J96" s="82"/>
      <c r="K96" s="82"/>
      <c r="L96" s="4"/>
      <c r="M96" s="3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8"/>
    </row>
    <row r="97" spans="1:42" ht="15" x14ac:dyDescent="0.25">
      <c r="A97" s="26" t="s">
        <v>59</v>
      </c>
      <c r="B97" s="5"/>
      <c r="C97" s="5"/>
      <c r="D97" s="2"/>
      <c r="E97" s="2"/>
      <c r="F97" s="6"/>
      <c r="G97" s="6"/>
      <c r="H97" s="3"/>
      <c r="I97" s="3"/>
      <c r="J97" s="82"/>
      <c r="K97" s="82"/>
      <c r="L97" s="4"/>
      <c r="M97" s="3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8"/>
    </row>
    <row r="98" spans="1:42" ht="13.5" customHeight="1" x14ac:dyDescent="0.2">
      <c r="A98" s="5" t="s">
        <v>75</v>
      </c>
      <c r="B98" s="5">
        <v>40</v>
      </c>
      <c r="C98" s="5">
        <v>9</v>
      </c>
      <c r="D98" s="2" t="s">
        <v>11</v>
      </c>
      <c r="E98" s="2">
        <v>49461</v>
      </c>
      <c r="F98" s="6">
        <v>131500</v>
      </c>
      <c r="G98" s="6"/>
      <c r="H98" s="3"/>
      <c r="I98" s="3"/>
      <c r="J98" s="82"/>
      <c r="K98" s="82"/>
      <c r="L98" s="4"/>
      <c r="M98" s="4"/>
      <c r="N98" s="4"/>
      <c r="O98" s="4"/>
      <c r="P98" s="4"/>
      <c r="Q98" s="4"/>
      <c r="R98" s="4"/>
      <c r="S98" s="4"/>
      <c r="T98" s="4"/>
      <c r="U98" s="4">
        <f>$F98/((1+$B$126)^-(U$3-$L$3))</f>
        <v>171577.67367354565</v>
      </c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8"/>
    </row>
    <row r="99" spans="1:42" x14ac:dyDescent="0.2">
      <c r="A99" s="5" t="s">
        <v>13</v>
      </c>
      <c r="B99" s="5">
        <v>40</v>
      </c>
      <c r="C99" s="5">
        <v>4</v>
      </c>
      <c r="D99" s="2" t="s">
        <v>11</v>
      </c>
      <c r="E99" s="2">
        <v>47635</v>
      </c>
      <c r="F99" s="6">
        <v>63000</v>
      </c>
      <c r="G99" s="6"/>
      <c r="H99" s="3"/>
      <c r="I99" s="3"/>
      <c r="J99" s="82" t="s">
        <v>6</v>
      </c>
      <c r="K99" s="82" t="s">
        <v>6</v>
      </c>
      <c r="L99" s="4"/>
      <c r="M99" s="4"/>
      <c r="N99" s="4"/>
      <c r="O99" s="4"/>
      <c r="P99" s="4">
        <f>$F99/((1+$B$126)^-(P$3-$L$3))</f>
        <v>70907.055029999989</v>
      </c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8"/>
    </row>
    <row r="100" spans="1:42" ht="19.5" customHeight="1" x14ac:dyDescent="0.25">
      <c r="A100" s="26"/>
      <c r="B100" s="5"/>
      <c r="C100" s="5"/>
      <c r="D100" s="2"/>
      <c r="E100" s="2"/>
      <c r="F100" s="6"/>
      <c r="G100" s="6"/>
      <c r="H100" s="3"/>
      <c r="I100" s="3"/>
      <c r="J100" s="82"/>
      <c r="K100" s="8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8"/>
    </row>
    <row r="101" spans="1:42" ht="15" x14ac:dyDescent="0.25">
      <c r="A101" s="59" t="s">
        <v>60</v>
      </c>
      <c r="J101" s="72"/>
    </row>
    <row r="102" spans="1:42" x14ac:dyDescent="0.2">
      <c r="A102" s="5" t="s">
        <v>76</v>
      </c>
      <c r="B102" s="5">
        <v>32</v>
      </c>
      <c r="C102" s="5">
        <v>3</v>
      </c>
      <c r="D102" s="2" t="s">
        <v>11</v>
      </c>
      <c r="E102" s="2">
        <v>47270</v>
      </c>
      <c r="F102" s="6">
        <v>290000</v>
      </c>
      <c r="G102" s="6"/>
      <c r="H102" s="3"/>
      <c r="I102" s="3"/>
      <c r="J102" s="82" t="s">
        <v>6</v>
      </c>
      <c r="K102" s="82" t="s">
        <v>6</v>
      </c>
      <c r="L102" s="4"/>
      <c r="M102" s="4"/>
      <c r="N102" s="4"/>
      <c r="O102" s="4">
        <f>$F102/((1+$B$126)^-(O$3-$L$3))</f>
        <v>316890.83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8"/>
    </row>
    <row r="103" spans="1:42" x14ac:dyDescent="0.2">
      <c r="A103" s="68" t="s">
        <v>14</v>
      </c>
      <c r="B103" s="5">
        <v>20</v>
      </c>
      <c r="C103" s="5">
        <v>19</v>
      </c>
      <c r="D103" s="2">
        <v>45931</v>
      </c>
      <c r="E103" s="2">
        <v>53114</v>
      </c>
      <c r="F103" s="6">
        <v>14300</v>
      </c>
      <c r="G103" s="6"/>
      <c r="H103" s="3"/>
      <c r="I103" s="3"/>
      <c r="J103" s="82"/>
      <c r="K103" s="82"/>
      <c r="L103" s="4"/>
      <c r="M103" s="3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>
        <f>$F103/((1+$B$126)^-(AE$3-$L$3))</f>
        <v>25075.136559002534</v>
      </c>
      <c r="AF103" s="4"/>
      <c r="AG103" s="35"/>
      <c r="AH103" s="4"/>
      <c r="AI103" s="4"/>
      <c r="AJ103" s="4"/>
      <c r="AK103" s="4"/>
      <c r="AL103" s="4"/>
      <c r="AM103" s="4"/>
      <c r="AN103" s="4"/>
      <c r="AO103" s="4"/>
      <c r="AP103" s="8"/>
    </row>
    <row r="105" spans="1:42" x14ac:dyDescent="0.2">
      <c r="F105" s="35"/>
    </row>
    <row r="106" spans="1:42" ht="15" x14ac:dyDescent="0.25">
      <c r="A106" s="40" t="s">
        <v>15</v>
      </c>
      <c r="F106" s="35"/>
    </row>
    <row r="107" spans="1:42" ht="15.75" thickBot="1" x14ac:dyDescent="0.3">
      <c r="A107" s="36" t="s">
        <v>1</v>
      </c>
      <c r="B107" s="5"/>
      <c r="C107" s="5"/>
      <c r="D107" s="75"/>
      <c r="E107" s="63"/>
      <c r="F107" s="109"/>
      <c r="G107" s="85">
        <f t="shared" ref="G107:AN107" si="7">SUM(G73:G105)</f>
        <v>4200</v>
      </c>
      <c r="H107" s="85">
        <f t="shared" si="7"/>
        <v>1192000</v>
      </c>
      <c r="I107" s="85">
        <f t="shared" si="7"/>
        <v>183207</v>
      </c>
      <c r="J107" s="85">
        <f t="shared" si="7"/>
        <v>290000</v>
      </c>
      <c r="K107" s="85">
        <f t="shared" si="7"/>
        <v>1709646</v>
      </c>
      <c r="L107" s="11">
        <f t="shared" si="7"/>
        <v>15000</v>
      </c>
      <c r="M107" s="11">
        <f t="shared" si="7"/>
        <v>15450</v>
      </c>
      <c r="N107" s="11">
        <f t="shared" si="7"/>
        <v>15913.5</v>
      </c>
      <c r="O107" s="11">
        <f t="shared" si="7"/>
        <v>333281.73499999999</v>
      </c>
      <c r="P107" s="11">
        <f t="shared" si="7"/>
        <v>111988.12659499998</v>
      </c>
      <c r="Q107" s="11">
        <f t="shared" si="7"/>
        <v>161139.09632769998</v>
      </c>
      <c r="R107" s="11">
        <f t="shared" si="7"/>
        <v>17910.784447934999</v>
      </c>
      <c r="S107" s="11">
        <f t="shared" si="7"/>
        <v>308698.34022164234</v>
      </c>
      <c r="T107" s="11">
        <f t="shared" si="7"/>
        <v>19001.551220814239</v>
      </c>
      <c r="U107" s="11">
        <f t="shared" si="7"/>
        <v>314450.33730284788</v>
      </c>
      <c r="V107" s="11">
        <f t="shared" si="7"/>
        <v>20158.745690161828</v>
      </c>
      <c r="W107" s="11">
        <f t="shared" si="7"/>
        <v>20763.508060866683</v>
      </c>
      <c r="X107" s="11">
        <f t="shared" si="7"/>
        <v>21386.413302692679</v>
      </c>
      <c r="Y107" s="11">
        <f t="shared" si="7"/>
        <v>125669.77252861758</v>
      </c>
      <c r="Z107" s="11">
        <f t="shared" si="7"/>
        <v>55209.524957211557</v>
      </c>
      <c r="AA107" s="11">
        <f t="shared" si="7"/>
        <v>391049.82156679186</v>
      </c>
      <c r="AB107" s="11">
        <f t="shared" si="7"/>
        <v>24070.596586481806</v>
      </c>
      <c r="AC107" s="11">
        <f t="shared" si="7"/>
        <v>92890.036933672396</v>
      </c>
      <c r="AD107" s="11">
        <f t="shared" si="7"/>
        <v>25536.49591859855</v>
      </c>
      <c r="AE107" s="11">
        <f t="shared" si="7"/>
        <v>1680384.8506637854</v>
      </c>
      <c r="AF107" s="11">
        <f t="shared" si="7"/>
        <v>27091.668520041199</v>
      </c>
      <c r="AG107" s="11">
        <f t="shared" si="7"/>
        <v>27904.418575642434</v>
      </c>
      <c r="AH107" s="11">
        <f t="shared" si="7"/>
        <v>28741.551132911707</v>
      </c>
      <c r="AI107" s="11">
        <f t="shared" si="7"/>
        <v>495370.21429277759</v>
      </c>
      <c r="AJ107" s="11">
        <f t="shared" si="7"/>
        <v>74196.984885804675</v>
      </c>
      <c r="AK107" s="11">
        <f t="shared" si="7"/>
        <v>31406.668944813209</v>
      </c>
      <c r="AL107" s="11">
        <f t="shared" si="7"/>
        <v>32348.869013157608</v>
      </c>
      <c r="AM107" s="11">
        <f t="shared" si="7"/>
        <v>33319.335083552331</v>
      </c>
      <c r="AN107" s="11">
        <f t="shared" si="7"/>
        <v>34318.915136058902</v>
      </c>
      <c r="AO107" s="11">
        <f t="shared" ref="AO107" si="8">SUM(AO73:AO105)</f>
        <v>258043.92290802687</v>
      </c>
    </row>
    <row r="108" spans="1:42" ht="15" thickTop="1" x14ac:dyDescent="0.2">
      <c r="A108" s="5"/>
      <c r="B108" s="5"/>
      <c r="C108" s="5"/>
      <c r="D108" s="74"/>
      <c r="E108" s="63"/>
      <c r="I108" s="6"/>
      <c r="J108" s="6"/>
      <c r="K108" s="86"/>
    </row>
    <row r="109" spans="1:42" x14ac:dyDescent="0.2">
      <c r="A109" s="5" t="s">
        <v>77</v>
      </c>
      <c r="B109" s="5"/>
      <c r="C109" s="5"/>
      <c r="D109" s="76" t="s">
        <v>6</v>
      </c>
      <c r="E109" s="9" t="s">
        <v>6</v>
      </c>
      <c r="F109" s="35" t="s">
        <v>6</v>
      </c>
      <c r="G109" s="99"/>
      <c r="H109" s="99"/>
      <c r="I109" s="71"/>
      <c r="J109" s="6">
        <v>97750</v>
      </c>
      <c r="K109" s="76">
        <v>97750</v>
      </c>
      <c r="L109" s="6">
        <v>147500</v>
      </c>
      <c r="M109" s="6">
        <f t="shared" ref="M109:AO109" si="9">L109*(1+$B$126)</f>
        <v>151925</v>
      </c>
      <c r="N109" s="6">
        <f t="shared" si="9"/>
        <v>156482.75</v>
      </c>
      <c r="O109" s="6">
        <f t="shared" si="9"/>
        <v>161177.23250000001</v>
      </c>
      <c r="P109" s="6">
        <f t="shared" si="9"/>
        <v>166012.54947500001</v>
      </c>
      <c r="Q109" s="6">
        <f t="shared" si="9"/>
        <v>170992.92595925002</v>
      </c>
      <c r="R109" s="6">
        <f t="shared" si="9"/>
        <v>176122.71373802752</v>
      </c>
      <c r="S109" s="6">
        <f t="shared" si="9"/>
        <v>181406.39515016836</v>
      </c>
      <c r="T109" s="6">
        <f t="shared" si="9"/>
        <v>186848.58700467341</v>
      </c>
      <c r="U109" s="6">
        <f t="shared" si="9"/>
        <v>192454.04461481361</v>
      </c>
      <c r="V109" s="6">
        <f t="shared" si="9"/>
        <v>198227.66595325802</v>
      </c>
      <c r="W109" s="6">
        <f t="shared" si="9"/>
        <v>204174.49593185578</v>
      </c>
      <c r="X109" s="6">
        <f t="shared" si="9"/>
        <v>210299.73080981147</v>
      </c>
      <c r="Y109" s="6">
        <f t="shared" si="9"/>
        <v>216608.72273410583</v>
      </c>
      <c r="Z109" s="6">
        <f t="shared" si="9"/>
        <v>223106.98441612901</v>
      </c>
      <c r="AA109" s="6">
        <f t="shared" si="9"/>
        <v>229800.1939486129</v>
      </c>
      <c r="AB109" s="6">
        <f t="shared" si="9"/>
        <v>236694.19976707129</v>
      </c>
      <c r="AC109" s="6">
        <f t="shared" si="9"/>
        <v>243795.02576008343</v>
      </c>
      <c r="AD109" s="6">
        <f t="shared" si="9"/>
        <v>251108.87653288594</v>
      </c>
      <c r="AE109" s="6">
        <f t="shared" si="9"/>
        <v>258642.14282887254</v>
      </c>
      <c r="AF109" s="6">
        <f t="shared" si="9"/>
        <v>266401.40711373871</v>
      </c>
      <c r="AG109" s="6">
        <f t="shared" si="9"/>
        <v>274393.44932715088</v>
      </c>
      <c r="AH109" s="6">
        <f t="shared" si="9"/>
        <v>282625.25280696544</v>
      </c>
      <c r="AI109" s="6">
        <f t="shared" si="9"/>
        <v>291104.01039117441</v>
      </c>
      <c r="AJ109" s="6">
        <f t="shared" si="9"/>
        <v>299837.13070290966</v>
      </c>
      <c r="AK109" s="6">
        <f t="shared" si="9"/>
        <v>308832.24462399696</v>
      </c>
      <c r="AL109" s="6">
        <f t="shared" si="9"/>
        <v>318097.21196271689</v>
      </c>
      <c r="AM109" s="6">
        <f t="shared" si="9"/>
        <v>327640.1283215984</v>
      </c>
      <c r="AN109" s="6">
        <f t="shared" si="9"/>
        <v>337469.33217124635</v>
      </c>
      <c r="AO109" s="6">
        <f t="shared" si="9"/>
        <v>347593.41213638376</v>
      </c>
    </row>
    <row r="110" spans="1:42" x14ac:dyDescent="0.2">
      <c r="A110" s="5" t="s">
        <v>79</v>
      </c>
      <c r="B110" s="5"/>
      <c r="C110" s="5"/>
      <c r="D110" s="76"/>
      <c r="E110" s="9"/>
      <c r="F110" s="35"/>
      <c r="G110" s="99"/>
      <c r="H110" s="99"/>
      <c r="I110" s="71"/>
      <c r="J110" s="6">
        <f>J91</f>
        <v>130000</v>
      </c>
      <c r="K110" s="76">
        <f>130000+140000+333000+140000+33000+31000+396000</f>
        <v>1203000</v>
      </c>
    </row>
    <row r="111" spans="1:42" x14ac:dyDescent="0.2">
      <c r="A111" s="5" t="s">
        <v>78</v>
      </c>
      <c r="B111" s="5"/>
      <c r="C111" s="5"/>
      <c r="D111" s="76" t="s">
        <v>6</v>
      </c>
      <c r="E111" s="9" t="s">
        <v>6</v>
      </c>
      <c r="F111" s="6" t="s">
        <v>6</v>
      </c>
      <c r="G111" s="71"/>
      <c r="H111" s="71"/>
      <c r="I111" s="71"/>
      <c r="J111" s="35">
        <v>1134</v>
      </c>
      <c r="K111" s="35">
        <f>((K109/(K109+K65))*K121)</f>
        <v>9297.8723404255325</v>
      </c>
      <c r="L111" s="35">
        <f>(K113+((L109+L110-L107)/2))*$B$128</f>
        <v>3182.7675489113872</v>
      </c>
      <c r="M111" s="35">
        <f t="shared" ref="M111:AO111" si="10">(L113+((M109+M110-M107)/2))*$B$128</f>
        <v>5961.5531958861575</v>
      </c>
      <c r="N111" s="35">
        <f t="shared" si="10"/>
        <v>8877.8631467636005</v>
      </c>
      <c r="O111" s="35">
        <f t="shared" si="10"/>
        <v>8738.7977177265875</v>
      </c>
      <c r="P111" s="35">
        <f t="shared" si="10"/>
        <v>7723.4995561148025</v>
      </c>
      <c r="Q111" s="35">
        <f t="shared" si="10"/>
        <v>8524.0641027643087</v>
      </c>
      <c r="R111" s="35">
        <f t="shared" si="10"/>
        <v>10392.266372444428</v>
      </c>
      <c r="S111" s="35">
        <f t="shared" si="10"/>
        <v>10914.077552810271</v>
      </c>
      <c r="T111" s="35">
        <f t="shared" si="10"/>
        <v>11543.66036388887</v>
      </c>
      <c r="U111" s="35">
        <f t="shared" si="10"/>
        <v>12239.395563993712</v>
      </c>
      <c r="V111" s="35">
        <f t="shared" si="10"/>
        <v>13052.334806869683</v>
      </c>
      <c r="W111" s="35">
        <f t="shared" si="10"/>
        <v>16963.907293833116</v>
      </c>
      <c r="X111" s="35">
        <f t="shared" si="10"/>
        <v>21063.875936709817</v>
      </c>
      <c r="Y111" s="35">
        <f t="shared" si="10"/>
        <v>24313.355555540489</v>
      </c>
      <c r="Z111" s="35">
        <f t="shared" si="10"/>
        <v>27416.328049879001</v>
      </c>
      <c r="AA111" s="35">
        <f t="shared" si="10"/>
        <v>28036.800067910648</v>
      </c>
      <c r="AB111" s="35">
        <f t="shared" si="10"/>
        <v>29121.180110414763</v>
      </c>
      <c r="AC111" s="35">
        <f t="shared" si="10"/>
        <v>33377.767568360912</v>
      </c>
      <c r="AD111" s="35">
        <f t="shared" si="10"/>
        <v>37850.952866228865</v>
      </c>
      <c r="AE111" s="35">
        <f t="shared" si="10"/>
        <v>26542.986291624718</v>
      </c>
      <c r="AF111" s="35">
        <f t="shared" si="10"/>
        <v>15145.4155574345</v>
      </c>
      <c r="AG111" s="35">
        <f t="shared" si="10"/>
        <v>20353.883587039709</v>
      </c>
      <c r="AH111" s="35">
        <f t="shared" si="10"/>
        <v>25814.564215161696</v>
      </c>
      <c r="AI111" s="35">
        <f t="shared" si="10"/>
        <v>26836.363172576126</v>
      </c>
      <c r="AJ111" s="35">
        <f t="shared" si="10"/>
        <v>27593.747495018495</v>
      </c>
      <c r="AK111" s="35">
        <f t="shared" si="10"/>
        <v>33227.738235969759</v>
      </c>
      <c r="AL111" s="35">
        <f t="shared" si="10"/>
        <v>39582.070065090331</v>
      </c>
      <c r="AM111" s="35">
        <f t="shared" si="10"/>
        <v>46235.169528230363</v>
      </c>
      <c r="AN111" s="35">
        <f t="shared" si="10"/>
        <v>53198.182343788932</v>
      </c>
      <c r="AO111" s="35">
        <f t="shared" si="10"/>
        <v>58235.150669883304</v>
      </c>
    </row>
    <row r="112" spans="1:42" x14ac:dyDescent="0.2">
      <c r="A112" s="5" t="s">
        <v>106</v>
      </c>
      <c r="B112" s="5"/>
      <c r="C112" s="5"/>
      <c r="D112" s="76"/>
      <c r="E112" s="9"/>
      <c r="F112" s="6"/>
      <c r="G112" s="71"/>
      <c r="H112" s="71"/>
      <c r="I112" s="71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</row>
    <row r="113" spans="1:41" ht="15.75" thickBot="1" x14ac:dyDescent="0.3">
      <c r="A113" s="5" t="s">
        <v>9</v>
      </c>
      <c r="B113" s="5"/>
      <c r="C113" s="5"/>
      <c r="D113" s="76" t="s">
        <v>6</v>
      </c>
      <c r="E113" s="61" t="s">
        <v>6</v>
      </c>
      <c r="F113" s="12"/>
      <c r="G113" s="98"/>
      <c r="H113" s="98"/>
      <c r="I113" s="98"/>
      <c r="J113" s="87">
        <f>H123-J107+J109+J110+J111</f>
        <v>7290</v>
      </c>
      <c r="K113" s="87">
        <f>I123-849461-K107+K109+K110+K111</f>
        <v>91434.872340425529</v>
      </c>
      <c r="L113" s="13">
        <f>K113-L107+L109+L110+L111</f>
        <v>227117.63988933692</v>
      </c>
      <c r="M113" s="13">
        <f t="shared" ref="M113:AO113" si="11">L113-M107+M109+M110+M111</f>
        <v>369554.19308522303</v>
      </c>
      <c r="N113" s="13">
        <f t="shared" si="11"/>
        <v>519001.30623198661</v>
      </c>
      <c r="O113" s="13">
        <f t="shared" si="11"/>
        <v>355635.60144971329</v>
      </c>
      <c r="P113" s="13">
        <f t="shared" si="11"/>
        <v>417383.52388582809</v>
      </c>
      <c r="Q113" s="13">
        <f t="shared" si="11"/>
        <v>435761.4176201424</v>
      </c>
      <c r="R113" s="13">
        <f t="shared" si="11"/>
        <v>604365.61328267935</v>
      </c>
      <c r="S113" s="13">
        <f t="shared" si="11"/>
        <v>487987.74576401565</v>
      </c>
      <c r="T113" s="13">
        <f t="shared" si="11"/>
        <v>667378.44191176363</v>
      </c>
      <c r="U113" s="13">
        <f t="shared" si="11"/>
        <v>557621.54478772311</v>
      </c>
      <c r="V113" s="13">
        <f t="shared" si="11"/>
        <v>748742.79985768907</v>
      </c>
      <c r="W113" s="13">
        <f t="shared" si="11"/>
        <v>949117.69502251118</v>
      </c>
      <c r="X113" s="13">
        <f t="shared" si="11"/>
        <v>1159094.8884663398</v>
      </c>
      <c r="Y113" s="13">
        <f t="shared" si="11"/>
        <v>1274347.1942273683</v>
      </c>
      <c r="Z113" s="13">
        <f t="shared" si="11"/>
        <v>1469660.981736165</v>
      </c>
      <c r="AA113" s="13">
        <f t="shared" si="11"/>
        <v>1336448.154185897</v>
      </c>
      <c r="AB113" s="13">
        <f t="shared" si="11"/>
        <v>1578192.9374769011</v>
      </c>
      <c r="AC113" s="13">
        <f t="shared" si="11"/>
        <v>1762475.6938716732</v>
      </c>
      <c r="AD113" s="13">
        <f t="shared" si="11"/>
        <v>2025899.0273521894</v>
      </c>
      <c r="AE113" s="13">
        <f t="shared" si="11"/>
        <v>630699.30580890132</v>
      </c>
      <c r="AF113" s="13">
        <f t="shared" si="11"/>
        <v>885154.45996003342</v>
      </c>
      <c r="AG113" s="13">
        <f t="shared" si="11"/>
        <v>1151997.3742985816</v>
      </c>
      <c r="AH113" s="13">
        <f t="shared" si="11"/>
        <v>1431695.6401877969</v>
      </c>
      <c r="AI113" s="13">
        <f t="shared" si="11"/>
        <v>1254265.7994587698</v>
      </c>
      <c r="AJ113" s="13">
        <f t="shared" si="11"/>
        <v>1507499.6927708932</v>
      </c>
      <c r="AK113" s="13">
        <f t="shared" si="11"/>
        <v>1818153.0066860467</v>
      </c>
      <c r="AL113" s="13">
        <f t="shared" si="11"/>
        <v>2143483.4197006961</v>
      </c>
      <c r="AM113" s="13">
        <f t="shared" si="11"/>
        <v>2484039.3824669728</v>
      </c>
      <c r="AN113" s="13">
        <f t="shared" si="11"/>
        <v>2840387.9818459493</v>
      </c>
      <c r="AO113" s="13">
        <f t="shared" si="11"/>
        <v>2988172.6217441899</v>
      </c>
    </row>
    <row r="114" spans="1:41" ht="15" thickTop="1" x14ac:dyDescent="0.2">
      <c r="A114" s="5"/>
      <c r="B114" s="5"/>
      <c r="C114" s="5"/>
      <c r="D114" s="74"/>
      <c r="F114" s="6"/>
      <c r="G114" s="6"/>
      <c r="H114" s="6"/>
      <c r="I114" s="6"/>
      <c r="J114" s="6"/>
      <c r="K114" s="76"/>
      <c r="L114" s="35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</row>
    <row r="115" spans="1:41" ht="15" x14ac:dyDescent="0.25">
      <c r="A115" s="5"/>
      <c r="F115" s="37"/>
      <c r="G115" s="37"/>
      <c r="H115" s="37"/>
      <c r="L115" s="35"/>
      <c r="M115" s="35"/>
      <c r="N115" s="4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</row>
    <row r="116" spans="1:41" ht="15" x14ac:dyDescent="0.25">
      <c r="A116" s="54" t="s">
        <v>21</v>
      </c>
      <c r="B116" s="44"/>
      <c r="C116" s="44"/>
      <c r="D116" s="77"/>
      <c r="E116" s="64"/>
      <c r="F116" s="45"/>
      <c r="G116" s="45"/>
      <c r="H116" s="45"/>
      <c r="I116" s="44"/>
      <c r="J116" s="44"/>
      <c r="K116" s="77"/>
      <c r="L116" s="44"/>
      <c r="M116" s="44"/>
      <c r="N116" s="46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</row>
    <row r="117" spans="1:41" ht="15.75" thickBot="1" x14ac:dyDescent="0.3">
      <c r="A117" s="47" t="s">
        <v>1</v>
      </c>
      <c r="B117" s="48"/>
      <c r="C117" s="48"/>
      <c r="D117" s="78"/>
      <c r="E117" s="65"/>
      <c r="F117" s="70"/>
      <c r="G117" s="49">
        <f t="shared" ref="G117:AO117" si="12">+G63+G107</f>
        <v>90220</v>
      </c>
      <c r="H117" s="49">
        <f t="shared" si="12"/>
        <v>3381182</v>
      </c>
      <c r="I117" s="49">
        <f t="shared" si="12"/>
        <v>478763</v>
      </c>
      <c r="J117" s="88">
        <f t="shared" si="12"/>
        <v>477250</v>
      </c>
      <c r="K117" s="88">
        <f t="shared" si="12"/>
        <v>3538852</v>
      </c>
      <c r="L117" s="49">
        <f t="shared" si="12"/>
        <v>36950</v>
      </c>
      <c r="M117" s="49">
        <f t="shared" si="12"/>
        <v>22608.5</v>
      </c>
      <c r="N117" s="49">
        <f t="shared" si="12"/>
        <v>15913.5</v>
      </c>
      <c r="O117" s="49">
        <f t="shared" si="12"/>
        <v>356972.05635999999</v>
      </c>
      <c r="P117" s="49">
        <f t="shared" si="12"/>
        <v>269255.47261629999</v>
      </c>
      <c r="Q117" s="49">
        <f t="shared" si="12"/>
        <v>161139.09632769998</v>
      </c>
      <c r="R117" s="49">
        <f t="shared" si="12"/>
        <v>61433.990656417052</v>
      </c>
      <c r="S117" s="49">
        <f t="shared" si="12"/>
        <v>576892.01455938211</v>
      </c>
      <c r="T117" s="49">
        <f t="shared" si="12"/>
        <v>54787.806020014395</v>
      </c>
      <c r="U117" s="49">
        <f t="shared" si="12"/>
        <v>543914.27327697794</v>
      </c>
      <c r="V117" s="49">
        <f t="shared" si="12"/>
        <v>27550.285776554498</v>
      </c>
      <c r="W117" s="49">
        <f t="shared" si="12"/>
        <v>51839.558458630483</v>
      </c>
      <c r="X117" s="49">
        <f t="shared" si="12"/>
        <v>60594.837690962588</v>
      </c>
      <c r="Y117" s="49">
        <f t="shared" si="12"/>
        <v>134745.31087774824</v>
      </c>
      <c r="Z117" s="49">
        <f t="shared" si="12"/>
        <v>371355.90334917832</v>
      </c>
      <c r="AA117" s="49">
        <f t="shared" si="12"/>
        <v>458042.42048062471</v>
      </c>
      <c r="AB117" s="49">
        <f t="shared" si="12"/>
        <v>108959.56721480767</v>
      </c>
      <c r="AC117" s="49">
        <f t="shared" si="12"/>
        <v>109914.36754607143</v>
      </c>
      <c r="AD117" s="49">
        <f t="shared" si="12"/>
        <v>45625.206041229409</v>
      </c>
      <c r="AE117" s="49">
        <f t="shared" si="12"/>
        <v>2124732.0520437881</v>
      </c>
      <c r="AF117" s="49">
        <f t="shared" si="12"/>
        <v>54183.337040082391</v>
      </c>
      <c r="AG117" s="49">
        <f t="shared" si="12"/>
        <v>305181.32448894274</v>
      </c>
      <c r="AH117" s="49">
        <f t="shared" si="12"/>
        <v>28741.551132911707</v>
      </c>
      <c r="AI117" s="49">
        <f t="shared" si="12"/>
        <v>592431.19890998397</v>
      </c>
      <c r="AJ117" s="49">
        <f t="shared" si="12"/>
        <v>1995654.9581353702</v>
      </c>
      <c r="AK117" s="49">
        <f t="shared" si="12"/>
        <v>31406.668944813209</v>
      </c>
      <c r="AL117" s="49">
        <f t="shared" si="12"/>
        <v>110956.62071513059</v>
      </c>
      <c r="AM117" s="49">
        <f t="shared" si="12"/>
        <v>224572.31846314273</v>
      </c>
      <c r="AN117" s="49">
        <f t="shared" si="12"/>
        <v>83051.774629262538</v>
      </c>
      <c r="AO117" s="49">
        <f t="shared" si="12"/>
        <v>2390417.5695032021</v>
      </c>
    </row>
    <row r="118" spans="1:41" ht="15" thickTop="1" x14ac:dyDescent="0.2">
      <c r="A118" s="48"/>
      <c r="B118" s="48"/>
      <c r="C118" s="48"/>
      <c r="D118" s="79"/>
      <c r="E118" s="65"/>
      <c r="F118" s="44"/>
      <c r="G118" s="44"/>
      <c r="H118" s="44"/>
      <c r="I118" s="50"/>
      <c r="J118" s="50"/>
      <c r="K118" s="89"/>
      <c r="L118" s="51"/>
      <c r="M118" s="51"/>
      <c r="N118" s="52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44"/>
      <c r="AL118" s="44"/>
      <c r="AM118" s="44"/>
      <c r="AN118" s="44"/>
      <c r="AO118" s="44"/>
    </row>
    <row r="119" spans="1:41" x14ac:dyDescent="0.2">
      <c r="A119" s="48" t="s">
        <v>77</v>
      </c>
      <c r="B119" s="48"/>
      <c r="C119" s="48"/>
      <c r="D119" s="79"/>
      <c r="E119" s="66"/>
      <c r="F119" s="44"/>
      <c r="G119" s="94">
        <v>172250</v>
      </c>
      <c r="H119" s="94">
        <v>172250</v>
      </c>
      <c r="I119" s="50">
        <v>172250</v>
      </c>
      <c r="J119" s="90">
        <f t="shared" ref="J119:AO119" si="13">J109+J65</f>
        <v>199750</v>
      </c>
      <c r="K119" s="90">
        <f t="shared" si="13"/>
        <v>199750</v>
      </c>
      <c r="L119" s="90">
        <f t="shared" si="13"/>
        <v>299900</v>
      </c>
      <c r="M119" s="90">
        <f t="shared" si="13"/>
        <v>308897</v>
      </c>
      <c r="N119" s="90">
        <f t="shared" si="13"/>
        <v>318163.91000000003</v>
      </c>
      <c r="O119" s="90">
        <f t="shared" si="13"/>
        <v>327708.8273</v>
      </c>
      <c r="P119" s="90">
        <f t="shared" si="13"/>
        <v>337540.09211900004</v>
      </c>
      <c r="Q119" s="90">
        <f t="shared" si="13"/>
        <v>347666.29488257004</v>
      </c>
      <c r="R119" s="90">
        <f t="shared" si="13"/>
        <v>358096.28372904717</v>
      </c>
      <c r="S119" s="90">
        <f t="shared" si="13"/>
        <v>368839.17224091862</v>
      </c>
      <c r="T119" s="90">
        <f t="shared" si="13"/>
        <v>379904.34740814613</v>
      </c>
      <c r="U119" s="90">
        <f t="shared" si="13"/>
        <v>391301.47783039056</v>
      </c>
      <c r="V119" s="90">
        <f t="shared" si="13"/>
        <v>403040.52216530225</v>
      </c>
      <c r="W119" s="90">
        <f t="shared" si="13"/>
        <v>415131.73783026135</v>
      </c>
      <c r="X119" s="90">
        <f t="shared" si="13"/>
        <v>427585.68996516918</v>
      </c>
      <c r="Y119" s="90">
        <f t="shared" si="13"/>
        <v>440413.26066412427</v>
      </c>
      <c r="Z119" s="90">
        <f t="shared" si="13"/>
        <v>453625.65848404798</v>
      </c>
      <c r="AA119" s="90">
        <f t="shared" si="13"/>
        <v>467234.42823856947</v>
      </c>
      <c r="AB119" s="90">
        <f t="shared" si="13"/>
        <v>481251.46108572657</v>
      </c>
      <c r="AC119" s="90">
        <f t="shared" si="13"/>
        <v>495689.00491829833</v>
      </c>
      <c r="AD119" s="90">
        <f t="shared" si="13"/>
        <v>510559.67506584735</v>
      </c>
      <c r="AE119" s="90">
        <f t="shared" si="13"/>
        <v>525876.46531782276</v>
      </c>
      <c r="AF119" s="90">
        <f t="shared" si="13"/>
        <v>541652.75927735749</v>
      </c>
      <c r="AG119" s="90">
        <f t="shared" si="13"/>
        <v>557902.34205567825</v>
      </c>
      <c r="AH119" s="90">
        <f t="shared" si="13"/>
        <v>574639.41231734864</v>
      </c>
      <c r="AI119" s="90">
        <f t="shared" si="13"/>
        <v>591878.59468686907</v>
      </c>
      <c r="AJ119" s="90">
        <f t="shared" si="13"/>
        <v>609634.95252747531</v>
      </c>
      <c r="AK119" s="90">
        <f t="shared" si="13"/>
        <v>627924.00110329944</v>
      </c>
      <c r="AL119" s="90">
        <f t="shared" si="13"/>
        <v>646761.7211363985</v>
      </c>
      <c r="AM119" s="90">
        <f t="shared" si="13"/>
        <v>666164.57277049054</v>
      </c>
      <c r="AN119" s="90">
        <f t="shared" si="13"/>
        <v>686149.50995360524</v>
      </c>
      <c r="AO119" s="90">
        <f t="shared" si="13"/>
        <v>706733.99525221344</v>
      </c>
    </row>
    <row r="120" spans="1:41" x14ac:dyDescent="0.2">
      <c r="A120" s="48" t="s">
        <v>79</v>
      </c>
      <c r="B120" s="48"/>
      <c r="C120" s="48"/>
      <c r="D120" s="79"/>
      <c r="E120" s="66"/>
      <c r="F120" s="44"/>
      <c r="G120" s="94">
        <v>0</v>
      </c>
      <c r="H120" s="50">
        <f>68406+H117-H119-H121-G123</f>
        <v>2529736</v>
      </c>
      <c r="I120" s="50">
        <v>917467</v>
      </c>
      <c r="J120" s="90">
        <f t="shared" ref="J120:AO120" si="14">J110+J66</f>
        <v>267500</v>
      </c>
      <c r="K120" s="90">
        <f t="shared" si="14"/>
        <v>2037443</v>
      </c>
      <c r="L120" s="90">
        <f t="shared" si="14"/>
        <v>0</v>
      </c>
      <c r="M120" s="90">
        <f t="shared" si="14"/>
        <v>0</v>
      </c>
      <c r="N120" s="90">
        <f t="shared" si="14"/>
        <v>0</v>
      </c>
      <c r="O120" s="90">
        <f t="shared" si="14"/>
        <v>0</v>
      </c>
      <c r="P120" s="90">
        <f t="shared" si="14"/>
        <v>0</v>
      </c>
      <c r="Q120" s="90">
        <f t="shared" si="14"/>
        <v>0</v>
      </c>
      <c r="R120" s="90">
        <f t="shared" si="14"/>
        <v>0</v>
      </c>
      <c r="S120" s="90">
        <f t="shared" si="14"/>
        <v>0</v>
      </c>
      <c r="T120" s="90">
        <f t="shared" si="14"/>
        <v>0</v>
      </c>
      <c r="U120" s="90">
        <f t="shared" si="14"/>
        <v>0</v>
      </c>
      <c r="V120" s="90">
        <f t="shared" si="14"/>
        <v>0</v>
      </c>
      <c r="W120" s="90">
        <f t="shared" si="14"/>
        <v>0</v>
      </c>
      <c r="X120" s="90">
        <f t="shared" si="14"/>
        <v>0</v>
      </c>
      <c r="Y120" s="90">
        <f t="shared" si="14"/>
        <v>0</v>
      </c>
      <c r="Z120" s="90">
        <f t="shared" si="14"/>
        <v>0</v>
      </c>
      <c r="AA120" s="90">
        <f t="shared" si="14"/>
        <v>0</v>
      </c>
      <c r="AB120" s="90">
        <f t="shared" si="14"/>
        <v>0</v>
      </c>
      <c r="AC120" s="90">
        <f t="shared" si="14"/>
        <v>0</v>
      </c>
      <c r="AD120" s="90">
        <f t="shared" si="14"/>
        <v>0</v>
      </c>
      <c r="AE120" s="90">
        <f t="shared" si="14"/>
        <v>0</v>
      </c>
      <c r="AF120" s="90">
        <f t="shared" si="14"/>
        <v>0</v>
      </c>
      <c r="AG120" s="90">
        <f t="shared" si="14"/>
        <v>0</v>
      </c>
      <c r="AH120" s="90">
        <f t="shared" si="14"/>
        <v>0</v>
      </c>
      <c r="AI120" s="90">
        <f t="shared" si="14"/>
        <v>0</v>
      </c>
      <c r="AJ120" s="90">
        <f t="shared" si="14"/>
        <v>0</v>
      </c>
      <c r="AK120" s="90">
        <f t="shared" si="14"/>
        <v>0</v>
      </c>
      <c r="AL120" s="90">
        <f t="shared" si="14"/>
        <v>0</v>
      </c>
      <c r="AM120" s="90">
        <f t="shared" si="14"/>
        <v>0</v>
      </c>
      <c r="AN120" s="90">
        <f t="shared" si="14"/>
        <v>0</v>
      </c>
      <c r="AO120" s="90">
        <f t="shared" si="14"/>
        <v>0</v>
      </c>
    </row>
    <row r="121" spans="1:41" x14ac:dyDescent="0.2">
      <c r="A121" s="48" t="s">
        <v>78</v>
      </c>
      <c r="B121" s="48"/>
      <c r="C121" s="48"/>
      <c r="D121" s="79"/>
      <c r="E121" s="66"/>
      <c r="F121" s="50"/>
      <c r="G121" s="95">
        <v>15147</v>
      </c>
      <c r="H121" s="95">
        <v>16260</v>
      </c>
      <c r="I121" s="50">
        <v>17121</v>
      </c>
      <c r="J121" s="90">
        <f>J111+J67</f>
        <v>1929</v>
      </c>
      <c r="K121" s="90">
        <v>19000</v>
      </c>
      <c r="L121" s="90">
        <f t="shared" ref="L121:AO121" si="15">L111+L67</f>
        <v>4499.2947249636127</v>
      </c>
      <c r="M121" s="50">
        <f t="shared" si="15"/>
        <v>10133.122708995503</v>
      </c>
      <c r="N121" s="50">
        <f t="shared" si="15"/>
        <v>16277.292607839925</v>
      </c>
      <c r="O121" s="50">
        <f t="shared" si="15"/>
        <v>19360.874449660201</v>
      </c>
      <c r="P121" s="50">
        <f t="shared" si="15"/>
        <v>20145.472037798161</v>
      </c>
      <c r="Q121" s="50">
        <f t="shared" si="15"/>
        <v>23123.701594542916</v>
      </c>
      <c r="R121" s="50">
        <f t="shared" si="15"/>
        <v>28466.872892486888</v>
      </c>
      <c r="S121" s="50">
        <f t="shared" si="15"/>
        <v>29935.720715471267</v>
      </c>
      <c r="T121" s="50">
        <f t="shared" si="15"/>
        <v>31721.381619681695</v>
      </c>
      <c r="U121" s="50">
        <f t="shared" si="15"/>
        <v>34102.595751239809</v>
      </c>
      <c r="V121" s="50">
        <f t="shared" si="15"/>
        <v>37040.253444225076</v>
      </c>
      <c r="W121" s="50">
        <f t="shared" si="15"/>
        <v>45243.810619749682</v>
      </c>
      <c r="X121" s="50">
        <f t="shared" si="15"/>
        <v>53527.174015137804</v>
      </c>
      <c r="Y121" s="50">
        <f t="shared" si="15"/>
        <v>61396.177790626927</v>
      </c>
      <c r="Z121" s="50">
        <f t="shared" si="15"/>
        <v>66550.556389835678</v>
      </c>
      <c r="AA121" s="50">
        <f t="shared" si="15"/>
        <v>68816.884867552872</v>
      </c>
      <c r="AB121" s="50">
        <f t="shared" si="15"/>
        <v>74055.912727234594</v>
      </c>
      <c r="AC121" s="50">
        <f t="shared" si="15"/>
        <v>83201.225858466409</v>
      </c>
      <c r="AD121" s="50">
        <f t="shared" si="15"/>
        <v>93466.096586834014</v>
      </c>
      <c r="AE121" s="50">
        <f t="shared" si="15"/>
        <v>83908.915947279122</v>
      </c>
      <c r="AF121" s="50">
        <f t="shared" si="15"/>
        <v>74386.256529838254</v>
      </c>
      <c r="AG121" s="50">
        <f t="shared" si="15"/>
        <v>83357.828743977734</v>
      </c>
      <c r="AH121" s="50">
        <f t="shared" si="15"/>
        <v>93100.156559521914</v>
      </c>
      <c r="AI121" s="50">
        <f t="shared" si="15"/>
        <v>100483.04455138654</v>
      </c>
      <c r="AJ121" s="50">
        <f t="shared" si="15"/>
        <v>88517.692695043137</v>
      </c>
      <c r="AK121" s="50">
        <f t="shared" si="15"/>
        <v>82336.563902305978</v>
      </c>
      <c r="AL121" s="50">
        <f t="shared" si="15"/>
        <v>95426.073756369515</v>
      </c>
      <c r="AM121" s="50">
        <f t="shared" si="15"/>
        <v>107216.2554953581</v>
      </c>
      <c r="AN121" s="50">
        <f t="shared" si="15"/>
        <v>119923.54369493056</v>
      </c>
      <c r="AO121" s="50">
        <f t="shared" si="15"/>
        <v>111438.65869681035</v>
      </c>
    </row>
    <row r="122" spans="1:41" x14ac:dyDescent="0.2">
      <c r="A122" s="48" t="s">
        <v>102</v>
      </c>
      <c r="B122" s="48"/>
      <c r="C122" s="48"/>
      <c r="D122" s="79"/>
      <c r="E122" s="66"/>
      <c r="F122" s="50"/>
      <c r="G122" s="95">
        <f>(731342-664942)</f>
        <v>66400</v>
      </c>
      <c r="H122" s="95"/>
      <c r="I122" s="50">
        <v>-18923</v>
      </c>
      <c r="J122" s="90"/>
      <c r="K122" s="90">
        <f>K112+K68</f>
        <v>33600</v>
      </c>
      <c r="L122" s="9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</row>
    <row r="123" spans="1:41" ht="15.75" thickBot="1" x14ac:dyDescent="0.3">
      <c r="A123" s="48" t="s">
        <v>9</v>
      </c>
      <c r="B123" s="48"/>
      <c r="C123" s="48"/>
      <c r="D123" s="79"/>
      <c r="E123" s="64"/>
      <c r="F123" s="60"/>
      <c r="G123" s="53">
        <f>B125-G117+G119+G120+G121+G122</f>
        <v>731342</v>
      </c>
      <c r="H123" s="53">
        <f>G123-H117+H119+H120+H121</f>
        <v>68406</v>
      </c>
      <c r="I123" s="53">
        <f>G123-I117+I119+I120+I121+I122</f>
        <v>1340494</v>
      </c>
      <c r="J123" s="91">
        <f>J113+J69</f>
        <v>60335</v>
      </c>
      <c r="K123" s="91">
        <f>K113+K69</f>
        <v>91435</v>
      </c>
      <c r="L123" s="91">
        <f t="shared" ref="L123:AO123" si="16">L113+L69</f>
        <v>358884.29472496361</v>
      </c>
      <c r="M123" s="91">
        <f t="shared" si="16"/>
        <v>655305.91743395908</v>
      </c>
      <c r="N123" s="91">
        <f t="shared" si="16"/>
        <v>973833.62004179903</v>
      </c>
      <c r="O123" s="91">
        <f t="shared" si="16"/>
        <v>963931.26543145929</v>
      </c>
      <c r="P123" s="91">
        <f t="shared" si="16"/>
        <v>1052361.3569719577</v>
      </c>
      <c r="Q123" s="91">
        <f t="shared" si="16"/>
        <v>1262012.2571213704</v>
      </c>
      <c r="R123" s="91">
        <f t="shared" si="16"/>
        <v>1587141.4230864875</v>
      </c>
      <c r="S123" s="91">
        <f t="shared" si="16"/>
        <v>1409024.3014834954</v>
      </c>
      <c r="T123" s="91">
        <f t="shared" si="16"/>
        <v>1765862.2244913089</v>
      </c>
      <c r="U123" s="91">
        <f t="shared" si="16"/>
        <v>1647352.0247959613</v>
      </c>
      <c r="V123" s="91">
        <f t="shared" si="16"/>
        <v>2059882.514628934</v>
      </c>
      <c r="W123" s="91">
        <f t="shared" si="16"/>
        <v>2468418.5046203146</v>
      </c>
      <c r="X123" s="91">
        <f t="shared" si="16"/>
        <v>2888936.5309096589</v>
      </c>
      <c r="Y123" s="91">
        <f t="shared" si="16"/>
        <v>3256000.6584866615</v>
      </c>
      <c r="Z123" s="91">
        <f t="shared" si="16"/>
        <v>3404820.9700113675</v>
      </c>
      <c r="AA123" s="91">
        <f t="shared" si="16"/>
        <v>3482829.8626368651</v>
      </c>
      <c r="AB123" s="91">
        <f t="shared" si="16"/>
        <v>3929177.669235019</v>
      </c>
      <c r="AC123" s="91">
        <f t="shared" si="16"/>
        <v>4398153.5324657122</v>
      </c>
      <c r="AD123" s="91">
        <f t="shared" si="16"/>
        <v>4956554.098077164</v>
      </c>
      <c r="AE123" s="91">
        <f t="shared" si="16"/>
        <v>3441607.4272984774</v>
      </c>
      <c r="AF123" s="91">
        <f t="shared" si="16"/>
        <v>4003463.1060655909</v>
      </c>
      <c r="AG123" s="91">
        <f t="shared" si="16"/>
        <v>4339541.9523763042</v>
      </c>
      <c r="AH123" s="91">
        <f t="shared" si="16"/>
        <v>4978539.9701202633</v>
      </c>
      <c r="AI123" s="91">
        <f t="shared" si="16"/>
        <v>5078470.4104485344</v>
      </c>
      <c r="AJ123" s="91">
        <f t="shared" si="16"/>
        <v>3780968.0975356828</v>
      </c>
      <c r="AK123" s="91">
        <f t="shared" si="16"/>
        <v>4459821.9935964756</v>
      </c>
      <c r="AL123" s="91">
        <f t="shared" si="16"/>
        <v>5091053.1677741129</v>
      </c>
      <c r="AM123" s="91">
        <f t="shared" si="16"/>
        <v>5639861.6775768185</v>
      </c>
      <c r="AN123" s="91">
        <f t="shared" si="16"/>
        <v>6362882.9565960914</v>
      </c>
      <c r="AO123" s="91">
        <f t="shared" si="16"/>
        <v>4790638.0410419134</v>
      </c>
    </row>
    <row r="124" spans="1:41" ht="15.75" thickTop="1" x14ac:dyDescent="0.25">
      <c r="A124" s="5"/>
      <c r="F124" s="37"/>
      <c r="G124" s="37"/>
      <c r="H124" s="37"/>
      <c r="I124" s="102"/>
    </row>
    <row r="125" spans="1:41" ht="15" x14ac:dyDescent="0.25">
      <c r="A125" s="5" t="s">
        <v>84</v>
      </c>
      <c r="B125" s="96">
        <v>567765</v>
      </c>
      <c r="F125" s="37"/>
      <c r="G125" s="37"/>
      <c r="H125" s="37"/>
      <c r="I125" s="35"/>
      <c r="J125" s="35"/>
      <c r="K125" s="86"/>
      <c r="M125" s="35"/>
    </row>
    <row r="126" spans="1:41" ht="15" x14ac:dyDescent="0.25">
      <c r="A126" s="5" t="s">
        <v>86</v>
      </c>
      <c r="B126" s="97">
        <v>0.03</v>
      </c>
      <c r="F126" s="37"/>
      <c r="G126" s="104"/>
      <c r="H126" s="37"/>
      <c r="I126" s="103"/>
      <c r="M126" s="97"/>
    </row>
    <row r="127" spans="1:41" ht="15" x14ac:dyDescent="0.25">
      <c r="A127" s="5" t="s">
        <v>88</v>
      </c>
      <c r="B127" s="97">
        <v>0.02</v>
      </c>
      <c r="F127" s="37"/>
      <c r="G127" s="37"/>
      <c r="H127" s="37"/>
      <c r="L127" s="97"/>
      <c r="M127" s="97"/>
    </row>
    <row r="128" spans="1:41" ht="15" x14ac:dyDescent="0.25">
      <c r="A128" s="5" t="s">
        <v>89</v>
      </c>
      <c r="B128" s="97">
        <f>((1+($B$127/12))^12)-1</f>
        <v>2.0184355681502009E-2</v>
      </c>
      <c r="F128" s="37"/>
      <c r="G128" s="37"/>
      <c r="H128" s="37"/>
      <c r="L128" s="97"/>
      <c r="M128" s="97"/>
    </row>
    <row r="129" spans="1:14" ht="15" x14ac:dyDescent="0.25">
      <c r="A129" s="5"/>
      <c r="B129" s="97"/>
      <c r="F129" s="37"/>
      <c r="G129" s="37"/>
      <c r="H129" s="37"/>
      <c r="L129" s="97"/>
      <c r="M129" s="97"/>
    </row>
    <row r="130" spans="1:14" ht="15" customHeight="1" x14ac:dyDescent="0.2">
      <c r="A130" s="1" t="s">
        <v>10</v>
      </c>
      <c r="E130" s="67"/>
      <c r="I130" s="100"/>
      <c r="J130" s="100"/>
      <c r="K130" s="101"/>
      <c r="L130" s="35"/>
      <c r="M130" s="35"/>
      <c r="N130" s="101"/>
    </row>
    <row r="131" spans="1:14" x14ac:dyDescent="0.2">
      <c r="A131" s="1" t="s">
        <v>94</v>
      </c>
      <c r="E131" s="67"/>
      <c r="I131" s="35"/>
      <c r="J131" s="35"/>
      <c r="K131" s="86"/>
      <c r="L131" s="35"/>
      <c r="M131" s="35"/>
      <c r="N131" s="35"/>
    </row>
    <row r="132" spans="1:14" x14ac:dyDescent="0.2">
      <c r="A132" s="1" t="s">
        <v>87</v>
      </c>
      <c r="I132" s="35"/>
      <c r="J132" s="35"/>
      <c r="K132" s="86"/>
      <c r="L132" s="35"/>
      <c r="M132" s="35"/>
      <c r="N132" s="1"/>
    </row>
    <row r="133" spans="1:14" x14ac:dyDescent="0.2">
      <c r="A133" s="1" t="s">
        <v>85</v>
      </c>
      <c r="I133" s="35"/>
      <c r="J133" s="35"/>
      <c r="K133" s="86"/>
      <c r="L133" s="35"/>
      <c r="M133" s="35"/>
      <c r="N133" s="1"/>
    </row>
    <row r="134" spans="1:14" x14ac:dyDescent="0.2">
      <c r="A134" s="1" t="s">
        <v>91</v>
      </c>
      <c r="I134" s="35"/>
      <c r="J134" s="35"/>
      <c r="K134" s="86"/>
      <c r="L134" s="35"/>
      <c r="M134" s="35"/>
      <c r="N134" s="1"/>
    </row>
    <row r="135" spans="1:14" x14ac:dyDescent="0.2">
      <c r="A135" s="1" t="s">
        <v>103</v>
      </c>
    </row>
  </sheetData>
  <mergeCells count="2">
    <mergeCell ref="K1:N1"/>
    <mergeCell ref="A1:G1"/>
  </mergeCells>
  <printOptions gridLines="1"/>
  <pageMargins left="0.25" right="0.25" top="0.25" bottom="0.25" header="0" footer="0"/>
  <pageSetup scale="65" fitToWidth="0" orientation="landscape" r:id="rId1"/>
  <rowBreaks count="2" manualBreakCount="2">
    <brk id="71" max="16383" man="1"/>
    <brk id="11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Draft Reserve Schedule</vt:lpstr>
      <vt:lpstr>'2026 Draft Reserve Schedule'!Print_Area</vt:lpstr>
      <vt:lpstr>'2026 Draft Reserve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Royal St. Andrew</cp:lastModifiedBy>
  <cp:lastPrinted>2024-10-22T00:29:06Z</cp:lastPrinted>
  <dcterms:created xsi:type="dcterms:W3CDTF">2017-10-17T20:54:18Z</dcterms:created>
  <dcterms:modified xsi:type="dcterms:W3CDTF">2025-11-20T18:10:13Z</dcterms:modified>
</cp:coreProperties>
</file>